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TBA\Emily\各年統計\2026統計\2026草本\"/>
    </mc:Choice>
  </mc:AlternateContent>
  <xr:revisionPtr revIDLastSave="0" documentId="13_ncr:1_{62347F1C-7F73-475A-8A48-B4237DC8BF9A}" xr6:coauthVersionLast="47" xr6:coauthVersionMax="47" xr10:uidLastSave="{00000000-0000-0000-0000-000000000000}"/>
  <bookViews>
    <workbookView xWindow="-60" yWindow="0" windowWidth="20700" windowHeight="10905" tabRatio="775" xr2:uid="{00000000-000D-0000-FFFF-FFFF00000000}"/>
  </bookViews>
  <sheets>
    <sheet name="整車出口" sheetId="1" r:id="rId1"/>
    <sheet name="整車出口比較" sheetId="2" r:id="rId2"/>
    <sheet name="整車出口試算" sheetId="3" state="hidden" r:id="rId3"/>
    <sheet name="整車進口試算" sheetId="5" state="hidden" r:id="rId4"/>
    <sheet name="整車進口" sheetId="4" r:id="rId5"/>
    <sheet name="整車進口比較" sheetId="26" r:id="rId6"/>
    <sheet name="電動輔助自行車" sheetId="14" r:id="rId7"/>
    <sheet name="電動輔助自行車比較" sheetId="16" r:id="rId8"/>
    <sheet name="折疊車出口" sheetId="6" r:id="rId9"/>
    <sheet name="折疊車出口試算" sheetId="7" state="hidden" r:id="rId10"/>
    <sheet name="折疊車出口比較" sheetId="8" r:id="rId11"/>
    <sheet name="台灣--中國" sheetId="9" r:id="rId12"/>
    <sheet name="台灣出口至中國" sheetId="11" r:id="rId13"/>
    <sheet name="台灣出口中國試算" sheetId="10" state="hidden" r:id="rId14"/>
    <sheet name="台灣自中國進口試算" sheetId="12" state="hidden" r:id="rId15"/>
    <sheet name="台灣自中國進口" sheetId="13" r:id="rId16"/>
    <sheet name="電動輔助自行車試算" sheetId="15" state="hidden" r:id="rId17"/>
    <sheet name="零件進出口" sheetId="17" r:id="rId18"/>
    <sheet name="零件進出口試算表" sheetId="18" state="hidden" r:id="rId19"/>
    <sheet name="零件出口比較" sheetId="19" r:id="rId20"/>
    <sheet name="零件進口比較" sheetId="20" r:id="rId21"/>
    <sheet name="整車-數量 " sheetId="28" r:id="rId22"/>
    <sheet name="整車-金額 " sheetId="29" r:id="rId23"/>
    <sheet name="整車-平均單價 " sheetId="27" r:id="rId24"/>
    <sheet name="電輔車-數量" sheetId="31" r:id="rId25"/>
    <sheet name="電輔車-金額" sheetId="32" r:id="rId26"/>
    <sheet name="電輔車-平均單價 " sheetId="30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20" l="1"/>
  <c r="F55" i="20"/>
  <c r="F52" i="20"/>
  <c r="F50" i="20"/>
  <c r="F48" i="20"/>
  <c r="F45" i="20"/>
  <c r="F39" i="20"/>
  <c r="F37" i="20"/>
  <c r="F35" i="20"/>
  <c r="F32" i="20"/>
  <c r="F27" i="20"/>
  <c r="F29" i="20"/>
  <c r="F24" i="20"/>
  <c r="F22" i="20"/>
  <c r="F19" i="20"/>
  <c r="F16" i="20"/>
  <c r="C58" i="20"/>
  <c r="C55" i="20"/>
  <c r="C52" i="20"/>
  <c r="C50" i="20"/>
  <c r="C48" i="20"/>
  <c r="C45" i="20"/>
  <c r="C39" i="20"/>
  <c r="C37" i="20"/>
  <c r="C35" i="20"/>
  <c r="C32" i="20"/>
  <c r="C29" i="20"/>
  <c r="C27" i="20"/>
  <c r="C24" i="20"/>
  <c r="C22" i="20"/>
  <c r="C19" i="20"/>
  <c r="C16" i="20"/>
  <c r="F13" i="20"/>
  <c r="C13" i="20"/>
  <c r="F58" i="19"/>
  <c r="F55" i="19"/>
  <c r="F52" i="19"/>
  <c r="F50" i="19"/>
  <c r="F48" i="19"/>
  <c r="F45" i="19"/>
  <c r="F39" i="19"/>
  <c r="F37" i="19"/>
  <c r="F35" i="19"/>
  <c r="F32" i="19"/>
  <c r="F29" i="19"/>
  <c r="F27" i="19"/>
  <c r="F24" i="19"/>
  <c r="F22" i="19"/>
  <c r="F19" i="19"/>
  <c r="F16" i="19"/>
  <c r="C58" i="19"/>
  <c r="C55" i="19"/>
  <c r="C52" i="19"/>
  <c r="C50" i="19"/>
  <c r="C48" i="19"/>
  <c r="C45" i="19"/>
  <c r="C39" i="19"/>
  <c r="C37" i="19"/>
  <c r="C35" i="19"/>
  <c r="C32" i="19"/>
  <c r="C29" i="19"/>
  <c r="C27" i="19"/>
  <c r="C24" i="19"/>
  <c r="C22" i="19"/>
  <c r="C19" i="19"/>
  <c r="C16" i="19"/>
  <c r="F13" i="19"/>
  <c r="C13" i="19"/>
  <c r="L20" i="17"/>
  <c r="L17" i="17"/>
  <c r="M59" i="17"/>
  <c r="L59" i="17"/>
  <c r="M56" i="17"/>
  <c r="L56" i="17"/>
  <c r="M53" i="17"/>
  <c r="L53" i="17"/>
  <c r="M51" i="17"/>
  <c r="L51" i="17"/>
  <c r="M49" i="17"/>
  <c r="L49" i="17"/>
  <c r="M46" i="17"/>
  <c r="L46" i="17"/>
  <c r="M40" i="17"/>
  <c r="L40" i="17"/>
  <c r="M38" i="17"/>
  <c r="L38" i="17"/>
  <c r="M36" i="17"/>
  <c r="L36" i="17"/>
  <c r="M33" i="17"/>
  <c r="L33" i="17"/>
  <c r="M30" i="17"/>
  <c r="L30" i="17"/>
  <c r="M28" i="17"/>
  <c r="L28" i="17"/>
  <c r="M24" i="17"/>
  <c r="L24" i="17"/>
  <c r="M22" i="17"/>
  <c r="L22" i="17"/>
  <c r="M19" i="17"/>
  <c r="L19" i="17"/>
  <c r="M16" i="17"/>
  <c r="L16" i="17"/>
  <c r="M13" i="17"/>
  <c r="L13" i="17"/>
  <c r="I20" i="17"/>
  <c r="I17" i="17"/>
  <c r="J59" i="17"/>
  <c r="I59" i="17"/>
  <c r="J56" i="17"/>
  <c r="I56" i="17"/>
  <c r="J53" i="17"/>
  <c r="I53" i="17"/>
  <c r="J51" i="17"/>
  <c r="I51" i="17"/>
  <c r="J49" i="17"/>
  <c r="I49" i="17"/>
  <c r="J46" i="17"/>
  <c r="I46" i="17"/>
  <c r="J40" i="17"/>
  <c r="I40" i="17"/>
  <c r="J38" i="17"/>
  <c r="I38" i="17"/>
  <c r="J36" i="17"/>
  <c r="I36" i="17"/>
  <c r="J33" i="17"/>
  <c r="I33" i="17"/>
  <c r="J30" i="17"/>
  <c r="I30" i="17"/>
  <c r="J28" i="17"/>
  <c r="I28" i="17"/>
  <c r="J24" i="17"/>
  <c r="I24" i="17"/>
  <c r="J22" i="17"/>
  <c r="I22" i="17"/>
  <c r="J19" i="17"/>
  <c r="I19" i="17"/>
  <c r="J16" i="17"/>
  <c r="I16" i="17"/>
  <c r="J13" i="17"/>
  <c r="I13" i="17"/>
  <c r="F20" i="17"/>
  <c r="F17" i="17"/>
  <c r="G59" i="17"/>
  <c r="F59" i="17"/>
  <c r="G56" i="17"/>
  <c r="F56" i="17"/>
  <c r="G53" i="17"/>
  <c r="F53" i="17"/>
  <c r="G51" i="17"/>
  <c r="F51" i="17"/>
  <c r="G49" i="17"/>
  <c r="F49" i="17"/>
  <c r="G46" i="17"/>
  <c r="F46" i="17"/>
  <c r="G40" i="17"/>
  <c r="F40" i="17"/>
  <c r="G38" i="17"/>
  <c r="F38" i="17"/>
  <c r="G36" i="17"/>
  <c r="F36" i="17"/>
  <c r="G33" i="17"/>
  <c r="F33" i="17"/>
  <c r="G30" i="17"/>
  <c r="F30" i="17"/>
  <c r="G28" i="17"/>
  <c r="F28" i="17"/>
  <c r="G24" i="17"/>
  <c r="F24" i="17"/>
  <c r="G22" i="17"/>
  <c r="F22" i="17"/>
  <c r="G19" i="17"/>
  <c r="F19" i="17"/>
  <c r="G16" i="17"/>
  <c r="F16" i="17"/>
  <c r="G13" i="17"/>
  <c r="F13" i="17"/>
  <c r="C20" i="17"/>
  <c r="C17" i="17"/>
  <c r="D59" i="17"/>
  <c r="C59" i="17"/>
  <c r="D56" i="17"/>
  <c r="C56" i="17"/>
  <c r="D53" i="17"/>
  <c r="C53" i="17"/>
  <c r="D51" i="17"/>
  <c r="C51" i="17"/>
  <c r="D49" i="17"/>
  <c r="C49" i="17"/>
  <c r="D46" i="17"/>
  <c r="C46" i="17"/>
  <c r="D40" i="17"/>
  <c r="C40" i="17"/>
  <c r="D38" i="17"/>
  <c r="C38" i="17"/>
  <c r="D36" i="17"/>
  <c r="C36" i="17"/>
  <c r="D33" i="17"/>
  <c r="C33" i="17"/>
  <c r="D30" i="17"/>
  <c r="C30" i="17"/>
  <c r="D28" i="17"/>
  <c r="C28" i="17"/>
  <c r="D24" i="17"/>
  <c r="C24" i="17"/>
  <c r="D22" i="17"/>
  <c r="C22" i="17"/>
  <c r="D19" i="17"/>
  <c r="C19" i="17"/>
  <c r="D16" i="17"/>
  <c r="C16" i="17"/>
  <c r="D13" i="17"/>
  <c r="C13" i="17"/>
  <c r="G35" i="13"/>
  <c r="G36" i="13"/>
  <c r="G37" i="13"/>
  <c r="G38" i="13"/>
  <c r="G39" i="13"/>
  <c r="G34" i="13"/>
  <c r="D35" i="13"/>
  <c r="D36" i="13"/>
  <c r="D37" i="13"/>
  <c r="D38" i="13"/>
  <c r="D39" i="13"/>
  <c r="D34" i="13"/>
  <c r="G23" i="13"/>
  <c r="G24" i="13"/>
  <c r="G25" i="13"/>
  <c r="G26" i="13"/>
  <c r="G27" i="13"/>
  <c r="G28" i="13"/>
  <c r="G29" i="13"/>
  <c r="G30" i="13"/>
  <c r="G31" i="13"/>
  <c r="G32" i="13"/>
  <c r="D23" i="13"/>
  <c r="D24" i="13"/>
  <c r="D25" i="13"/>
  <c r="D26" i="13"/>
  <c r="D27" i="13"/>
  <c r="D28" i="13"/>
  <c r="D29" i="13"/>
  <c r="D30" i="13"/>
  <c r="D31" i="13"/>
  <c r="D32" i="13"/>
  <c r="G22" i="13"/>
  <c r="D22" i="13"/>
  <c r="F35" i="13"/>
  <c r="F36" i="13"/>
  <c r="F37" i="13"/>
  <c r="F38" i="13"/>
  <c r="F39" i="13"/>
  <c r="F34" i="13"/>
  <c r="F23" i="13"/>
  <c r="F24" i="13"/>
  <c r="F25" i="13"/>
  <c r="F26" i="13"/>
  <c r="F27" i="13"/>
  <c r="F28" i="13"/>
  <c r="F29" i="13"/>
  <c r="F30" i="13"/>
  <c r="F31" i="13"/>
  <c r="F32" i="13"/>
  <c r="F22" i="13"/>
  <c r="C35" i="13"/>
  <c r="C36" i="13"/>
  <c r="C37" i="13"/>
  <c r="C38" i="13"/>
  <c r="C39" i="13"/>
  <c r="C34" i="13"/>
  <c r="C23" i="13"/>
  <c r="C24" i="13"/>
  <c r="C25" i="13"/>
  <c r="C26" i="13"/>
  <c r="C27" i="13"/>
  <c r="C28" i="13"/>
  <c r="C29" i="13"/>
  <c r="C30" i="13"/>
  <c r="C31" i="13"/>
  <c r="C32" i="13"/>
  <c r="C22" i="13"/>
  <c r="F35" i="11"/>
  <c r="F36" i="11"/>
  <c r="F37" i="11"/>
  <c r="F38" i="11"/>
  <c r="F39" i="11"/>
  <c r="F34" i="11"/>
  <c r="F23" i="11"/>
  <c r="F24" i="11"/>
  <c r="F25" i="11"/>
  <c r="F26" i="11"/>
  <c r="F28" i="11"/>
  <c r="F29" i="11"/>
  <c r="F30" i="11"/>
  <c r="F31" i="11"/>
  <c r="F32" i="11"/>
  <c r="F22" i="11"/>
  <c r="C35" i="11"/>
  <c r="C36" i="11"/>
  <c r="C37" i="11"/>
  <c r="C38" i="11"/>
  <c r="C39" i="11"/>
  <c r="C34" i="11"/>
  <c r="C23" i="11"/>
  <c r="C24" i="11"/>
  <c r="C25" i="11"/>
  <c r="C26" i="11"/>
  <c r="C28" i="11"/>
  <c r="C29" i="11"/>
  <c r="C30" i="11"/>
  <c r="C31" i="11"/>
  <c r="C32" i="11"/>
  <c r="C22" i="11"/>
  <c r="G35" i="11"/>
  <c r="G36" i="11"/>
  <c r="G37" i="11"/>
  <c r="G38" i="11"/>
  <c r="G39" i="11"/>
  <c r="G34" i="11"/>
  <c r="D35" i="11"/>
  <c r="D36" i="11"/>
  <c r="D37" i="11"/>
  <c r="D38" i="11"/>
  <c r="D39" i="11"/>
  <c r="D34" i="11"/>
  <c r="G23" i="11"/>
  <c r="G24" i="11"/>
  <c r="G25" i="11"/>
  <c r="G26" i="11"/>
  <c r="G29" i="11"/>
  <c r="G30" i="11"/>
  <c r="G31" i="11"/>
  <c r="G32" i="11"/>
  <c r="D23" i="11"/>
  <c r="D24" i="11"/>
  <c r="D25" i="11"/>
  <c r="D26" i="11"/>
  <c r="D29" i="11"/>
  <c r="D30" i="11"/>
  <c r="D31" i="11"/>
  <c r="D32" i="11"/>
  <c r="G22" i="11"/>
  <c r="D22" i="11"/>
  <c r="G35" i="9"/>
  <c r="G36" i="9"/>
  <c r="G37" i="9"/>
  <c r="G38" i="9"/>
  <c r="G39" i="9"/>
  <c r="G34" i="9"/>
  <c r="G23" i="9"/>
  <c r="G24" i="9"/>
  <c r="G25" i="9"/>
  <c r="G26" i="9"/>
  <c r="G27" i="9"/>
  <c r="G28" i="9"/>
  <c r="G29" i="9"/>
  <c r="G30" i="9"/>
  <c r="G31" i="9"/>
  <c r="G32" i="9"/>
  <c r="D35" i="9"/>
  <c r="D36" i="9"/>
  <c r="D37" i="9"/>
  <c r="D38" i="9"/>
  <c r="D39" i="9"/>
  <c r="D34" i="9"/>
  <c r="D23" i="9"/>
  <c r="D24" i="9"/>
  <c r="D25" i="9"/>
  <c r="D26" i="9"/>
  <c r="D27" i="9"/>
  <c r="D28" i="9"/>
  <c r="D29" i="9"/>
  <c r="D30" i="9"/>
  <c r="D31" i="9"/>
  <c r="D32" i="9"/>
  <c r="G22" i="9"/>
  <c r="D22" i="9"/>
  <c r="F35" i="9"/>
  <c r="F36" i="9"/>
  <c r="F37" i="9"/>
  <c r="F38" i="9"/>
  <c r="F39" i="9"/>
  <c r="F34" i="9"/>
  <c r="F23" i="9"/>
  <c r="F24" i="9"/>
  <c r="F25" i="9"/>
  <c r="F26" i="9"/>
  <c r="F28" i="9"/>
  <c r="F29" i="9"/>
  <c r="F30" i="9"/>
  <c r="F31" i="9"/>
  <c r="F32" i="9"/>
  <c r="F22" i="9"/>
  <c r="C35" i="9"/>
  <c r="C36" i="9"/>
  <c r="C37" i="9"/>
  <c r="C38" i="9"/>
  <c r="C39" i="9"/>
  <c r="C34" i="9"/>
  <c r="C23" i="9"/>
  <c r="C24" i="9"/>
  <c r="C25" i="9"/>
  <c r="C26" i="9"/>
  <c r="C28" i="9"/>
  <c r="C29" i="9"/>
  <c r="C30" i="9"/>
  <c r="C31" i="9"/>
  <c r="C32" i="9"/>
  <c r="C22" i="9"/>
  <c r="G47" i="6"/>
  <c r="E47" i="6"/>
  <c r="G68" i="6"/>
  <c r="G58" i="6"/>
  <c r="G57" i="6"/>
  <c r="G56" i="6"/>
  <c r="G49" i="6"/>
  <c r="E68" i="6"/>
  <c r="E49" i="6"/>
  <c r="E56" i="6"/>
  <c r="E57" i="6"/>
  <c r="E58" i="6"/>
  <c r="G13" i="6"/>
  <c r="G12" i="6" s="1"/>
  <c r="G7" i="6"/>
  <c r="E7" i="6"/>
  <c r="E12" i="6"/>
  <c r="E13" i="6"/>
  <c r="G8" i="6"/>
  <c r="E8" i="6"/>
  <c r="F64" i="16"/>
  <c r="F62" i="16"/>
  <c r="F61" i="16"/>
  <c r="F50" i="16"/>
  <c r="F51" i="16"/>
  <c r="F52" i="16"/>
  <c r="F53" i="16"/>
  <c r="F54" i="16"/>
  <c r="F55" i="16"/>
  <c r="F56" i="16"/>
  <c r="F57" i="16"/>
  <c r="F58" i="16"/>
  <c r="F49" i="16"/>
  <c r="F44" i="16"/>
  <c r="F43" i="16"/>
  <c r="F30" i="16"/>
  <c r="F29" i="16"/>
  <c r="F28" i="16"/>
  <c r="F26" i="16"/>
  <c r="F25" i="16"/>
  <c r="F19" i="16"/>
  <c r="F20" i="16"/>
  <c r="F15" i="16"/>
  <c r="F16" i="16"/>
  <c r="F17" i="16"/>
  <c r="F18" i="16"/>
  <c r="F14" i="16"/>
  <c r="F10" i="16"/>
  <c r="F11" i="16"/>
  <c r="F9" i="16"/>
  <c r="C64" i="16"/>
  <c r="C50" i="16"/>
  <c r="C51" i="16"/>
  <c r="C52" i="16"/>
  <c r="C53" i="16"/>
  <c r="C54" i="16"/>
  <c r="C55" i="16"/>
  <c r="C56" i="16"/>
  <c r="C57" i="16"/>
  <c r="C58" i="16"/>
  <c r="C61" i="16"/>
  <c r="C62" i="16"/>
  <c r="C49" i="16"/>
  <c r="C44" i="16"/>
  <c r="C43" i="16"/>
  <c r="C15" i="16"/>
  <c r="C16" i="16"/>
  <c r="C17" i="16"/>
  <c r="C18" i="16"/>
  <c r="C19" i="16"/>
  <c r="C20" i="16"/>
  <c r="C25" i="16"/>
  <c r="C26" i="16"/>
  <c r="C28" i="16"/>
  <c r="C29" i="16"/>
  <c r="C30" i="16"/>
  <c r="C14" i="16"/>
  <c r="C10" i="16"/>
  <c r="C11" i="16"/>
  <c r="C9" i="16"/>
  <c r="G64" i="14"/>
  <c r="G62" i="14"/>
  <c r="G61" i="14"/>
  <c r="G50" i="14"/>
  <c r="G51" i="14"/>
  <c r="G52" i="14"/>
  <c r="G53" i="14"/>
  <c r="G54" i="14"/>
  <c r="G55" i="14"/>
  <c r="G56" i="14"/>
  <c r="G57" i="14"/>
  <c r="G58" i="14"/>
  <c r="G49" i="14"/>
  <c r="G44" i="14"/>
  <c r="G43" i="14"/>
  <c r="G36" i="14"/>
  <c r="G30" i="14"/>
  <c r="G28" i="14"/>
  <c r="G26" i="14"/>
  <c r="G15" i="14"/>
  <c r="G16" i="14"/>
  <c r="G17" i="14"/>
  <c r="G18" i="14"/>
  <c r="G19" i="14"/>
  <c r="G20" i="14"/>
  <c r="G14" i="14"/>
  <c r="G10" i="14"/>
  <c r="G11" i="14"/>
  <c r="G9" i="14"/>
  <c r="E64" i="14"/>
  <c r="E50" i="14"/>
  <c r="E51" i="14"/>
  <c r="E52" i="14"/>
  <c r="E53" i="14"/>
  <c r="E54" i="14"/>
  <c r="E55" i="14"/>
  <c r="E56" i="14"/>
  <c r="E57" i="14"/>
  <c r="E58" i="14"/>
  <c r="E61" i="14"/>
  <c r="E62" i="14"/>
  <c r="E49" i="14"/>
  <c r="E44" i="14"/>
  <c r="E43" i="14"/>
  <c r="E15" i="14"/>
  <c r="E16" i="14"/>
  <c r="E17" i="14"/>
  <c r="E18" i="14"/>
  <c r="E19" i="14"/>
  <c r="E20" i="14"/>
  <c r="E26" i="14"/>
  <c r="E28" i="14"/>
  <c r="E30" i="14"/>
  <c r="E36" i="14"/>
  <c r="E14" i="14"/>
  <c r="E10" i="14"/>
  <c r="E11" i="14"/>
  <c r="E9" i="14"/>
  <c r="C64" i="14"/>
  <c r="B64" i="14"/>
  <c r="B50" i="14"/>
  <c r="C50" i="14"/>
  <c r="B51" i="14"/>
  <c r="C51" i="14"/>
  <c r="B52" i="14"/>
  <c r="C52" i="14"/>
  <c r="B53" i="14"/>
  <c r="C53" i="14"/>
  <c r="B54" i="14"/>
  <c r="C54" i="14"/>
  <c r="B55" i="14"/>
  <c r="C55" i="14"/>
  <c r="B56" i="14"/>
  <c r="C56" i="14"/>
  <c r="B57" i="14"/>
  <c r="C57" i="14"/>
  <c r="B58" i="14"/>
  <c r="C58" i="14"/>
  <c r="B61" i="14"/>
  <c r="C61" i="14"/>
  <c r="B62" i="14"/>
  <c r="C62" i="14"/>
  <c r="C49" i="14"/>
  <c r="B49" i="14"/>
  <c r="C43" i="14"/>
  <c r="B43" i="14"/>
  <c r="B15" i="14"/>
  <c r="C15" i="14"/>
  <c r="B16" i="14"/>
  <c r="C16" i="14"/>
  <c r="B17" i="14"/>
  <c r="C17" i="14"/>
  <c r="B18" i="14"/>
  <c r="C18" i="14"/>
  <c r="B19" i="14"/>
  <c r="C19" i="14"/>
  <c r="B20" i="14"/>
  <c r="C20" i="14"/>
  <c r="B26" i="14"/>
  <c r="C26" i="14"/>
  <c r="B28" i="14"/>
  <c r="C28" i="14"/>
  <c r="B30" i="14"/>
  <c r="C30" i="14"/>
  <c r="C14" i="14"/>
  <c r="B14" i="14"/>
  <c r="C10" i="14"/>
  <c r="C11" i="14"/>
  <c r="C9" i="14"/>
  <c r="B10" i="14"/>
  <c r="B11" i="14"/>
  <c r="B9" i="14"/>
  <c r="C48" i="26"/>
  <c r="F65" i="26"/>
  <c r="F61" i="26"/>
  <c r="F59" i="26"/>
  <c r="F58" i="26"/>
  <c r="F57" i="26"/>
  <c r="F49" i="26"/>
  <c r="F48" i="26"/>
  <c r="F17" i="26"/>
  <c r="F16" i="26"/>
  <c r="F15" i="26"/>
  <c r="F14" i="26"/>
  <c r="F8" i="26"/>
  <c r="C65" i="26"/>
  <c r="C49" i="26"/>
  <c r="C57" i="26"/>
  <c r="C58" i="26"/>
  <c r="C59" i="26"/>
  <c r="C61" i="26"/>
  <c r="C14" i="26"/>
  <c r="C15" i="26"/>
  <c r="C16" i="26"/>
  <c r="C17" i="26"/>
  <c r="C8" i="26"/>
  <c r="G65" i="4"/>
  <c r="G61" i="4"/>
  <c r="G59" i="4"/>
  <c r="G58" i="4"/>
  <c r="G49" i="4"/>
  <c r="G48" i="4"/>
  <c r="G17" i="4"/>
  <c r="G16" i="4"/>
  <c r="G14" i="4"/>
  <c r="E65" i="4"/>
  <c r="E49" i="4"/>
  <c r="E58" i="4"/>
  <c r="E59" i="4"/>
  <c r="E61" i="4"/>
  <c r="E48" i="4"/>
  <c r="G41" i="4"/>
  <c r="E41" i="4"/>
  <c r="E14" i="4"/>
  <c r="E16" i="4"/>
  <c r="E17" i="4"/>
  <c r="G9" i="4"/>
  <c r="G8" i="4"/>
  <c r="E9" i="4"/>
  <c r="E8" i="4"/>
  <c r="C65" i="4"/>
  <c r="B65" i="4"/>
  <c r="B49" i="4"/>
  <c r="C49" i="4"/>
  <c r="B58" i="4"/>
  <c r="C58" i="4"/>
  <c r="B59" i="4"/>
  <c r="C59" i="4"/>
  <c r="B61" i="4"/>
  <c r="C61" i="4"/>
  <c r="C48" i="4"/>
  <c r="B48" i="4"/>
  <c r="B14" i="4"/>
  <c r="C14" i="4"/>
  <c r="B17" i="4"/>
  <c r="C17" i="4"/>
  <c r="B9" i="4"/>
  <c r="C9" i="4"/>
  <c r="C8" i="4"/>
  <c r="B8" i="4"/>
  <c r="F67" i="2"/>
  <c r="F65" i="2"/>
  <c r="F64" i="2"/>
  <c r="F60" i="2"/>
  <c r="F62" i="2"/>
  <c r="F61" i="2"/>
  <c r="F49" i="2"/>
  <c r="F50" i="2"/>
  <c r="F51" i="2"/>
  <c r="F52" i="2"/>
  <c r="F53" i="2"/>
  <c r="F54" i="2"/>
  <c r="F55" i="2"/>
  <c r="F56" i="2"/>
  <c r="F57" i="2"/>
  <c r="F58" i="2"/>
  <c r="F48" i="2"/>
  <c r="F44" i="2"/>
  <c r="F43" i="2"/>
  <c r="F42" i="2"/>
  <c r="F39" i="2"/>
  <c r="F35" i="2"/>
  <c r="F34" i="2"/>
  <c r="F33" i="2"/>
  <c r="F32" i="2"/>
  <c r="F28" i="2"/>
  <c r="F29" i="2"/>
  <c r="F27" i="2"/>
  <c r="F25" i="2"/>
  <c r="F14" i="2"/>
  <c r="F15" i="2"/>
  <c r="F16" i="2"/>
  <c r="F17" i="2"/>
  <c r="F18" i="2"/>
  <c r="F19" i="2"/>
  <c r="F13" i="2"/>
  <c r="F9" i="2"/>
  <c r="F10" i="2"/>
  <c r="F8" i="2"/>
  <c r="C67" i="2"/>
  <c r="C49" i="2"/>
  <c r="C50" i="2"/>
  <c r="C51" i="2"/>
  <c r="C52" i="2"/>
  <c r="C53" i="2"/>
  <c r="C54" i="2"/>
  <c r="C55" i="2"/>
  <c r="C56" i="2"/>
  <c r="C57" i="2"/>
  <c r="C58" i="2"/>
  <c r="C60" i="2"/>
  <c r="C61" i="2"/>
  <c r="C62" i="2"/>
  <c r="C64" i="2"/>
  <c r="C65" i="2"/>
  <c r="C48" i="2"/>
  <c r="C43" i="2"/>
  <c r="C44" i="2"/>
  <c r="C42" i="2"/>
  <c r="C14" i="2"/>
  <c r="C15" i="2"/>
  <c r="C16" i="2"/>
  <c r="C17" i="2"/>
  <c r="C18" i="2"/>
  <c r="C19" i="2"/>
  <c r="C25" i="2"/>
  <c r="C27" i="2"/>
  <c r="C28" i="2"/>
  <c r="C29" i="2"/>
  <c r="C32" i="2"/>
  <c r="C33" i="2"/>
  <c r="C34" i="2"/>
  <c r="C35" i="2"/>
  <c r="C39" i="2"/>
  <c r="C13" i="2"/>
  <c r="C9" i="2"/>
  <c r="C10" i="2"/>
  <c r="C8" i="2"/>
  <c r="G67" i="1"/>
  <c r="G49" i="1"/>
  <c r="G50" i="1"/>
  <c r="G51" i="1"/>
  <c r="G52" i="1"/>
  <c r="G53" i="1"/>
  <c r="G54" i="1"/>
  <c r="G55" i="1"/>
  <c r="G56" i="1"/>
  <c r="G57" i="1"/>
  <c r="G58" i="1"/>
  <c r="G60" i="1"/>
  <c r="G61" i="1"/>
  <c r="G62" i="1"/>
  <c r="G64" i="1"/>
  <c r="G65" i="1"/>
  <c r="G48" i="1"/>
  <c r="G43" i="1"/>
  <c r="G42" i="1"/>
  <c r="G14" i="1"/>
  <c r="G15" i="1"/>
  <c r="G16" i="1"/>
  <c r="G17" i="1"/>
  <c r="G18" i="1"/>
  <c r="G19" i="1"/>
  <c r="G21" i="1"/>
  <c r="G25" i="1"/>
  <c r="G26" i="1"/>
  <c r="G27" i="1"/>
  <c r="G28" i="1"/>
  <c r="G29" i="1"/>
  <c r="G33" i="1"/>
  <c r="G34" i="1"/>
  <c r="G39" i="1"/>
  <c r="G13" i="1"/>
  <c r="G9" i="1"/>
  <c r="G10" i="1"/>
  <c r="G8" i="1"/>
  <c r="C65" i="1"/>
  <c r="C64" i="1"/>
  <c r="C61" i="1"/>
  <c r="C62" i="1"/>
  <c r="C60" i="1"/>
  <c r="C49" i="1"/>
  <c r="C50" i="1"/>
  <c r="C51" i="1"/>
  <c r="C52" i="1"/>
  <c r="C53" i="1"/>
  <c r="C54" i="1"/>
  <c r="C55" i="1"/>
  <c r="C56" i="1"/>
  <c r="C57" i="1"/>
  <c r="C58" i="1"/>
  <c r="C48" i="1"/>
  <c r="C43" i="1"/>
  <c r="C42" i="1"/>
  <c r="C39" i="1"/>
  <c r="C34" i="1"/>
  <c r="C33" i="1"/>
  <c r="C29" i="1"/>
  <c r="C28" i="1"/>
  <c r="C27" i="1"/>
  <c r="C26" i="1"/>
  <c r="C25" i="1"/>
  <c r="C21" i="1"/>
  <c r="C14" i="1"/>
  <c r="C15" i="1"/>
  <c r="C16" i="1"/>
  <c r="C17" i="1"/>
  <c r="C18" i="1"/>
  <c r="C19" i="1"/>
  <c r="C13" i="1"/>
  <c r="C9" i="1"/>
  <c r="C10" i="1"/>
  <c r="C8" i="1"/>
  <c r="C67" i="1"/>
  <c r="E67" i="1"/>
  <c r="E49" i="1"/>
  <c r="E50" i="1"/>
  <c r="E51" i="1"/>
  <c r="E52" i="1"/>
  <c r="E53" i="1"/>
  <c r="E54" i="1"/>
  <c r="E55" i="1"/>
  <c r="E56" i="1"/>
  <c r="E57" i="1"/>
  <c r="E58" i="1"/>
  <c r="E60" i="1"/>
  <c r="E61" i="1"/>
  <c r="E62" i="1"/>
  <c r="E64" i="1"/>
  <c r="E65" i="1"/>
  <c r="E48" i="1"/>
  <c r="E43" i="1"/>
  <c r="E42" i="1"/>
  <c r="E14" i="1"/>
  <c r="E15" i="1"/>
  <c r="E16" i="1"/>
  <c r="E17" i="1"/>
  <c r="E18" i="1"/>
  <c r="E19" i="1"/>
  <c r="E21" i="1"/>
  <c r="E25" i="1"/>
  <c r="E26" i="1"/>
  <c r="E27" i="1"/>
  <c r="E28" i="1"/>
  <c r="E29" i="1"/>
  <c r="E33" i="1"/>
  <c r="E34" i="1"/>
  <c r="E39" i="1"/>
  <c r="E13" i="1"/>
  <c r="E9" i="1"/>
  <c r="E10" i="1"/>
  <c r="E8" i="1"/>
  <c r="B67" i="1"/>
  <c r="B49" i="1"/>
  <c r="B50" i="1"/>
  <c r="B51" i="1"/>
  <c r="B52" i="1"/>
  <c r="B53" i="1"/>
  <c r="B54" i="1"/>
  <c r="B55" i="1"/>
  <c r="B56" i="1"/>
  <c r="B57" i="1"/>
  <c r="B58" i="1"/>
  <c r="B60" i="1"/>
  <c r="B61" i="1"/>
  <c r="B62" i="1"/>
  <c r="B64" i="1"/>
  <c r="B65" i="1"/>
  <c r="B48" i="1"/>
  <c r="B43" i="1"/>
  <c r="B42" i="1"/>
  <c r="B14" i="1"/>
  <c r="B15" i="1"/>
  <c r="B16" i="1"/>
  <c r="B17" i="1"/>
  <c r="B18" i="1"/>
  <c r="B19" i="1"/>
  <c r="B21" i="1"/>
  <c r="B25" i="1"/>
  <c r="B26" i="1"/>
  <c r="B27" i="1"/>
  <c r="B28" i="1"/>
  <c r="B29" i="1"/>
  <c r="B33" i="1"/>
  <c r="B34" i="1"/>
  <c r="B39" i="1"/>
  <c r="B13" i="1"/>
  <c r="B9" i="1"/>
  <c r="B10" i="1"/>
  <c r="B8" i="1"/>
  <c r="N34" i="30"/>
  <c r="N25" i="30"/>
  <c r="N23" i="32"/>
  <c r="N14" i="32"/>
  <c r="N23" i="31"/>
  <c r="N14" i="31"/>
  <c r="N25" i="27"/>
  <c r="N34" i="27"/>
  <c r="N34" i="29"/>
  <c r="N25" i="29"/>
  <c r="N26" i="28"/>
  <c r="N34" i="28"/>
  <c r="N25" i="28"/>
  <c r="F67" i="17" l="1"/>
  <c r="E35" i="13"/>
  <c r="E34" i="13"/>
  <c r="E47" i="4"/>
  <c r="B41" i="4"/>
  <c r="E7" i="1"/>
  <c r="G11" i="13"/>
  <c r="G14" i="13" s="1"/>
  <c r="F11" i="13"/>
  <c r="F14" i="13" s="1"/>
  <c r="F42" i="13"/>
  <c r="C42" i="13"/>
  <c r="F42" i="11"/>
  <c r="C42" i="11"/>
  <c r="F11" i="11"/>
  <c r="F14" i="11" s="1"/>
  <c r="C11" i="11"/>
  <c r="G12" i="1"/>
  <c r="E12" i="1"/>
  <c r="G7" i="1"/>
  <c r="M67" i="17"/>
  <c r="L67" i="17"/>
  <c r="G67" i="17"/>
  <c r="C11" i="13"/>
  <c r="C14" i="13" s="1"/>
  <c r="J6" i="9"/>
  <c r="J7" i="9"/>
  <c r="J8" i="9"/>
  <c r="J9" i="9"/>
  <c r="J10" i="9"/>
  <c r="H7" i="9"/>
  <c r="G67" i="6"/>
  <c r="E67" i="6"/>
  <c r="G48" i="14"/>
  <c r="E48" i="14"/>
  <c r="G42" i="14"/>
  <c r="E42" i="14"/>
  <c r="G8" i="14"/>
  <c r="E8" i="14"/>
  <c r="G13" i="14"/>
  <c r="E13" i="14"/>
  <c r="G47" i="4"/>
  <c r="G7" i="4"/>
  <c r="G12" i="4"/>
  <c r="E12" i="4"/>
  <c r="F47" i="4"/>
  <c r="F7" i="4"/>
  <c r="E7" i="4"/>
  <c r="G47" i="1"/>
  <c r="E47" i="1"/>
  <c r="G41" i="1"/>
  <c r="E41" i="1"/>
  <c r="N21" i="32"/>
  <c r="N20" i="32"/>
  <c r="N12" i="32"/>
  <c r="N11" i="32"/>
  <c r="N10" i="32"/>
  <c r="N9" i="32"/>
  <c r="N8" i="32"/>
  <c r="N7" i="32"/>
  <c r="N6" i="32"/>
  <c r="N5" i="32"/>
  <c r="N4" i="32"/>
  <c r="N3" i="32"/>
  <c r="N21" i="31"/>
  <c r="N20" i="31"/>
  <c r="N12" i="31"/>
  <c r="N11" i="31"/>
  <c r="N10" i="31"/>
  <c r="N9" i="31"/>
  <c r="N8" i="31"/>
  <c r="N7" i="31"/>
  <c r="N6" i="31"/>
  <c r="N5" i="31"/>
  <c r="N4" i="31"/>
  <c r="N3" i="31"/>
  <c r="N32" i="30"/>
  <c r="N31" i="30"/>
  <c r="N23" i="30"/>
  <c r="N22" i="30"/>
  <c r="N21" i="30"/>
  <c r="N20" i="30"/>
  <c r="N19" i="30"/>
  <c r="N18" i="30"/>
  <c r="N17" i="30"/>
  <c r="N16" i="30"/>
  <c r="N15" i="30"/>
  <c r="N14" i="30"/>
  <c r="N4" i="30"/>
  <c r="N3" i="30"/>
  <c r="N32" i="29"/>
  <c r="N31" i="29"/>
  <c r="N23" i="29"/>
  <c r="N22" i="29"/>
  <c r="N21" i="29"/>
  <c r="N20" i="29"/>
  <c r="N18" i="29"/>
  <c r="N17" i="29"/>
  <c r="N16" i="29"/>
  <c r="N15" i="29"/>
  <c r="N14" i="29"/>
  <c r="N13" i="29"/>
  <c r="N12" i="29"/>
  <c r="N11" i="29"/>
  <c r="N10" i="29"/>
  <c r="N9" i="29"/>
  <c r="N8" i="29"/>
  <c r="N7" i="29"/>
  <c r="N6" i="29"/>
  <c r="N5" i="29"/>
  <c r="N4" i="29"/>
  <c r="N3" i="29"/>
  <c r="N32" i="28"/>
  <c r="N31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N5" i="28"/>
  <c r="N4" i="28"/>
  <c r="N3" i="28"/>
  <c r="N32" i="27"/>
  <c r="N31" i="27"/>
  <c r="N18" i="27"/>
  <c r="N17" i="27"/>
  <c r="N16" i="27"/>
  <c r="N15" i="27"/>
  <c r="N14" i="27"/>
  <c r="N13" i="27"/>
  <c r="N12" i="27"/>
  <c r="N11" i="27"/>
  <c r="N10" i="27"/>
  <c r="N9" i="27"/>
  <c r="N8" i="27"/>
  <c r="N7" i="27"/>
  <c r="N6" i="27"/>
  <c r="N5" i="27"/>
  <c r="N4" i="27"/>
  <c r="N3" i="27"/>
  <c r="I11" i="11" l="1"/>
  <c r="E66" i="1"/>
  <c r="G66" i="1"/>
  <c r="C14" i="11"/>
  <c r="E63" i="14"/>
  <c r="F64" i="4"/>
  <c r="C67" i="17"/>
  <c r="G63" i="14"/>
  <c r="D42" i="13"/>
  <c r="B12" i="1"/>
  <c r="E64" i="4"/>
  <c r="G64" i="4"/>
  <c r="C12" i="1"/>
  <c r="D32" i="14"/>
  <c r="D46" i="14"/>
  <c r="D30" i="14"/>
  <c r="D31" i="14"/>
  <c r="D36" i="14"/>
  <c r="D37" i="14"/>
  <c r="D38" i="14"/>
  <c r="H31" i="11"/>
  <c r="D60" i="4"/>
  <c r="D19" i="4"/>
  <c r="D23" i="4"/>
  <c r="D25" i="4"/>
  <c r="D29" i="4"/>
  <c r="D31" i="4"/>
  <c r="D36" i="4"/>
  <c r="B63" i="19"/>
  <c r="D32" i="16"/>
  <c r="D38" i="16"/>
  <c r="D50" i="8"/>
  <c r="D53" i="8"/>
  <c r="D54" i="8"/>
  <c r="D60" i="8"/>
  <c r="D63" i="8"/>
  <c r="D19" i="8"/>
  <c r="D25" i="8"/>
  <c r="D31" i="8"/>
  <c r="D37" i="8"/>
  <c r="D60" i="26"/>
  <c r="D23" i="26"/>
  <c r="D29" i="26"/>
  <c r="D60" i="16"/>
  <c r="D59" i="16"/>
  <c r="D45" i="16"/>
  <c r="D46" i="16"/>
  <c r="D22" i="16"/>
  <c r="D23" i="16"/>
  <c r="D24" i="16"/>
  <c r="D30" i="16"/>
  <c r="D31" i="16"/>
  <c r="D33" i="16"/>
  <c r="D34" i="16"/>
  <c r="D35" i="16"/>
  <c r="D36" i="16"/>
  <c r="D37" i="16"/>
  <c r="D39" i="16"/>
  <c r="D40" i="16"/>
  <c r="E50" i="16"/>
  <c r="D51" i="14"/>
  <c r="E51" i="16"/>
  <c r="E52" i="16"/>
  <c r="D53" i="14"/>
  <c r="E53" i="16"/>
  <c r="D54" i="14"/>
  <c r="E54" i="16"/>
  <c r="E55" i="16"/>
  <c r="E56" i="16"/>
  <c r="E57" i="16"/>
  <c r="E58" i="16"/>
  <c r="D59" i="14"/>
  <c r="E59" i="16"/>
  <c r="D60" i="14"/>
  <c r="E60" i="16"/>
  <c r="E61" i="16"/>
  <c r="E62" i="16"/>
  <c r="E44" i="16"/>
  <c r="D45" i="14"/>
  <c r="E45" i="16"/>
  <c r="E46" i="16"/>
  <c r="E15" i="16"/>
  <c r="E16" i="16"/>
  <c r="E17" i="16"/>
  <c r="E18" i="16"/>
  <c r="E19" i="16"/>
  <c r="E20" i="16"/>
  <c r="D21" i="14"/>
  <c r="E21" i="16"/>
  <c r="D22" i="14"/>
  <c r="E22" i="16"/>
  <c r="D23" i="14"/>
  <c r="E23" i="16"/>
  <c r="D24" i="14"/>
  <c r="E24" i="16"/>
  <c r="E25" i="16"/>
  <c r="E26" i="16"/>
  <c r="E27" i="16"/>
  <c r="E28" i="16"/>
  <c r="E29" i="16"/>
  <c r="E30" i="16"/>
  <c r="E31" i="16"/>
  <c r="E32" i="16"/>
  <c r="D33" i="14"/>
  <c r="E33" i="16"/>
  <c r="D34" i="14"/>
  <c r="E34" i="16"/>
  <c r="D35" i="14"/>
  <c r="E35" i="16"/>
  <c r="E36" i="16"/>
  <c r="E37" i="16"/>
  <c r="E38" i="16"/>
  <c r="D39" i="14"/>
  <c r="E39" i="16"/>
  <c r="D40" i="14"/>
  <c r="E40" i="16"/>
  <c r="D51" i="8"/>
  <c r="D52" i="8"/>
  <c r="D55" i="8"/>
  <c r="D61" i="8"/>
  <c r="D62" i="8"/>
  <c r="D64" i="8"/>
  <c r="D43" i="8"/>
  <c r="D44" i="8"/>
  <c r="D45" i="8"/>
  <c r="D14" i="8"/>
  <c r="D16" i="8"/>
  <c r="D17" i="8"/>
  <c r="D18" i="8"/>
  <c r="D20" i="8"/>
  <c r="D21" i="8"/>
  <c r="D22" i="8"/>
  <c r="D23" i="8"/>
  <c r="D26" i="8"/>
  <c r="D27" i="8"/>
  <c r="D28" i="8"/>
  <c r="D29" i="8"/>
  <c r="D30" i="8"/>
  <c r="D32" i="8"/>
  <c r="D33" i="8"/>
  <c r="E33" i="8"/>
  <c r="D34" i="8"/>
  <c r="D35" i="8"/>
  <c r="D36" i="8"/>
  <c r="D38" i="8"/>
  <c r="D39" i="8"/>
  <c r="D9" i="8"/>
  <c r="D10" i="8"/>
  <c r="E49" i="8"/>
  <c r="D50" i="6"/>
  <c r="C50" i="6"/>
  <c r="E50" i="8"/>
  <c r="D51" i="6"/>
  <c r="C51" i="6"/>
  <c r="E51" i="8"/>
  <c r="D52" i="6"/>
  <c r="C52" i="6"/>
  <c r="E52" i="8"/>
  <c r="E53" i="8"/>
  <c r="D54" i="6"/>
  <c r="C54" i="6"/>
  <c r="E54" i="8"/>
  <c r="D55" i="6"/>
  <c r="C55" i="6"/>
  <c r="E55" i="8"/>
  <c r="E56" i="8"/>
  <c r="E57" i="8"/>
  <c r="D58" i="6"/>
  <c r="E58" i="8"/>
  <c r="E59" i="8"/>
  <c r="D60" i="6"/>
  <c r="C60" i="6"/>
  <c r="E60" i="8"/>
  <c r="D61" i="6"/>
  <c r="C61" i="6"/>
  <c r="E61" i="8"/>
  <c r="D62" i="6"/>
  <c r="C62" i="6"/>
  <c r="E62" i="8"/>
  <c r="D63" i="6"/>
  <c r="C63" i="6"/>
  <c r="E63" i="8"/>
  <c r="D64" i="6"/>
  <c r="C64" i="6"/>
  <c r="E64" i="8"/>
  <c r="D65" i="6"/>
  <c r="C65" i="6"/>
  <c r="E65" i="8"/>
  <c r="E66" i="8"/>
  <c r="C48" i="6"/>
  <c r="D14" i="6"/>
  <c r="C14" i="6"/>
  <c r="E14" i="8"/>
  <c r="E15" i="8"/>
  <c r="D16" i="6"/>
  <c r="C16" i="6"/>
  <c r="E16" i="8"/>
  <c r="D17" i="6"/>
  <c r="C17" i="6"/>
  <c r="E17" i="8"/>
  <c r="D18" i="6"/>
  <c r="C18" i="6"/>
  <c r="E18" i="8"/>
  <c r="D19" i="6"/>
  <c r="C19" i="6"/>
  <c r="E19" i="8"/>
  <c r="D20" i="6"/>
  <c r="C20" i="6"/>
  <c r="E20" i="8"/>
  <c r="D21" i="6"/>
  <c r="C21" i="6"/>
  <c r="E21" i="8"/>
  <c r="D22" i="6"/>
  <c r="C22" i="6"/>
  <c r="E22" i="8"/>
  <c r="D23" i="6"/>
  <c r="C23" i="6"/>
  <c r="E23" i="8"/>
  <c r="D24" i="6"/>
  <c r="C24" i="6"/>
  <c r="E24" i="8"/>
  <c r="D25" i="6"/>
  <c r="C25" i="6"/>
  <c r="E25" i="8"/>
  <c r="D26" i="6"/>
  <c r="C26" i="6"/>
  <c r="E26" i="8"/>
  <c r="D27" i="6"/>
  <c r="C27" i="6"/>
  <c r="E27" i="8"/>
  <c r="D28" i="6"/>
  <c r="C28" i="6"/>
  <c r="E28" i="8"/>
  <c r="D29" i="6"/>
  <c r="C29" i="6"/>
  <c r="E29" i="8"/>
  <c r="D30" i="6"/>
  <c r="C30" i="6"/>
  <c r="E30" i="8"/>
  <c r="D31" i="6"/>
  <c r="C31" i="6"/>
  <c r="E31" i="8"/>
  <c r="D32" i="6"/>
  <c r="C32" i="6"/>
  <c r="E32" i="8"/>
  <c r="D33" i="6"/>
  <c r="C33" i="6"/>
  <c r="D34" i="6"/>
  <c r="C34" i="6"/>
  <c r="E34" i="8"/>
  <c r="D35" i="6"/>
  <c r="C35" i="6"/>
  <c r="E35" i="8"/>
  <c r="D36" i="6"/>
  <c r="C36" i="6"/>
  <c r="E36" i="8"/>
  <c r="D37" i="6"/>
  <c r="C37" i="6"/>
  <c r="E37" i="8"/>
  <c r="D38" i="6"/>
  <c r="C38" i="6"/>
  <c r="E38" i="8"/>
  <c r="D39" i="6"/>
  <c r="C39" i="6"/>
  <c r="E39" i="8"/>
  <c r="D50" i="26"/>
  <c r="D51" i="26"/>
  <c r="D52" i="26"/>
  <c r="D53" i="26"/>
  <c r="D55" i="26"/>
  <c r="D62" i="26"/>
  <c r="D63" i="26"/>
  <c r="D43" i="26"/>
  <c r="D44" i="26"/>
  <c r="D45" i="26"/>
  <c r="D18" i="26"/>
  <c r="D19" i="26"/>
  <c r="D20" i="26"/>
  <c r="D21" i="26"/>
  <c r="D22" i="26"/>
  <c r="D25" i="26"/>
  <c r="D26" i="26"/>
  <c r="D27" i="26"/>
  <c r="D28" i="26"/>
  <c r="D30" i="26"/>
  <c r="D31" i="26"/>
  <c r="D33" i="26"/>
  <c r="D34" i="26"/>
  <c r="D35" i="26"/>
  <c r="D36" i="26"/>
  <c r="D37" i="26"/>
  <c r="D38" i="26"/>
  <c r="D39" i="26"/>
  <c r="E49" i="26"/>
  <c r="D50" i="4"/>
  <c r="E50" i="26"/>
  <c r="D51" i="4"/>
  <c r="E51" i="26"/>
  <c r="D52" i="4"/>
  <c r="E52" i="26"/>
  <c r="D53" i="4"/>
  <c r="E53" i="26"/>
  <c r="E54" i="26"/>
  <c r="D55" i="4"/>
  <c r="E55" i="26"/>
  <c r="E56" i="26"/>
  <c r="E57" i="26"/>
  <c r="D58" i="4"/>
  <c r="E58" i="26"/>
  <c r="E59" i="26"/>
  <c r="E60" i="26"/>
  <c r="E61" i="26"/>
  <c r="D62" i="4"/>
  <c r="E62" i="26"/>
  <c r="D63" i="4"/>
  <c r="E63" i="26"/>
  <c r="D14" i="4"/>
  <c r="E14" i="26"/>
  <c r="E15" i="26"/>
  <c r="E16" i="26"/>
  <c r="E17" i="26"/>
  <c r="D18" i="4"/>
  <c r="E18" i="26"/>
  <c r="E19" i="26"/>
  <c r="D20" i="4"/>
  <c r="E20" i="26"/>
  <c r="D21" i="4"/>
  <c r="E21" i="26"/>
  <c r="D22" i="4"/>
  <c r="E22" i="26"/>
  <c r="E23" i="26"/>
  <c r="D24" i="4"/>
  <c r="E24" i="26"/>
  <c r="E25" i="26"/>
  <c r="D26" i="4"/>
  <c r="E26" i="26"/>
  <c r="D27" i="4"/>
  <c r="E27" i="26"/>
  <c r="D28" i="4"/>
  <c r="E28" i="26"/>
  <c r="E29" i="26"/>
  <c r="D30" i="4"/>
  <c r="E30" i="26"/>
  <c r="E31" i="26"/>
  <c r="E32" i="26"/>
  <c r="D33" i="4"/>
  <c r="E33" i="26"/>
  <c r="D34" i="4"/>
  <c r="E34" i="26"/>
  <c r="D35" i="4"/>
  <c r="E35" i="26"/>
  <c r="E36" i="26"/>
  <c r="D37" i="4"/>
  <c r="E37" i="26"/>
  <c r="D38" i="4"/>
  <c r="E38" i="26"/>
  <c r="D39" i="4"/>
  <c r="E39" i="26"/>
  <c r="D9" i="4"/>
  <c r="D10" i="4"/>
  <c r="C12" i="26" l="1"/>
  <c r="D56" i="4"/>
  <c r="D32" i="4"/>
  <c r="D54" i="4"/>
  <c r="D15" i="6"/>
  <c r="D61" i="14"/>
  <c r="D17" i="4"/>
  <c r="D16" i="4"/>
  <c r="D49" i="6"/>
  <c r="D28" i="14"/>
  <c r="D27" i="14"/>
  <c r="D26" i="14"/>
  <c r="D20" i="14"/>
  <c r="D19" i="14"/>
  <c r="D17" i="14"/>
  <c r="D15" i="14"/>
  <c r="D56" i="6"/>
  <c r="D15" i="4"/>
  <c r="D61" i="4"/>
  <c r="D49" i="4"/>
  <c r="D59" i="6"/>
  <c r="D57" i="6"/>
  <c r="D53" i="6"/>
  <c r="D44" i="14"/>
  <c r="D62" i="14"/>
  <c r="D58" i="14"/>
  <c r="D57" i="14"/>
  <c r="D56" i="14"/>
  <c r="D55" i="14"/>
  <c r="D52" i="14"/>
  <c r="D50" i="14"/>
  <c r="D59" i="4"/>
  <c r="D57" i="4"/>
  <c r="D66" i="6"/>
  <c r="D29" i="14"/>
  <c r="D25" i="14"/>
  <c r="D18" i="14"/>
  <c r="D16" i="14"/>
  <c r="D70" i="4" l="1"/>
  <c r="E45" i="8" l="1"/>
  <c r="E44" i="8"/>
  <c r="E43" i="8"/>
  <c r="E10" i="8"/>
  <c r="E9" i="8"/>
  <c r="E45" i="26"/>
  <c r="E44" i="26"/>
  <c r="E43" i="26"/>
  <c r="F45" i="2"/>
  <c r="F22" i="2"/>
  <c r="H13" i="11"/>
  <c r="I13" i="11"/>
  <c r="H8" i="11"/>
  <c r="H7" i="11"/>
  <c r="I7" i="11"/>
  <c r="H6" i="11"/>
  <c r="H5" i="11"/>
  <c r="F34" i="6" l="1"/>
  <c r="F31" i="6"/>
  <c r="F15" i="6"/>
  <c r="F29" i="6"/>
  <c r="F63" i="6"/>
  <c r="F27" i="6"/>
  <c r="F62" i="6"/>
  <c r="F58" i="6"/>
  <c r="F54" i="6"/>
  <c r="F51" i="6"/>
  <c r="F33" i="6"/>
  <c r="F14" i="6"/>
  <c r="F22" i="6"/>
  <c r="F57" i="6"/>
  <c r="F26" i="6"/>
  <c r="F50" i="6"/>
  <c r="F18" i="6"/>
  <c r="F39" i="6"/>
  <c r="F23" i="6"/>
  <c r="F66" i="6"/>
  <c r="F37" i="6"/>
  <c r="F21" i="6"/>
  <c r="F35" i="6"/>
  <c r="F19" i="6"/>
  <c r="F60" i="6"/>
  <c r="F56" i="6"/>
  <c r="F52" i="6"/>
  <c r="F20" i="6"/>
  <c r="F25" i="6"/>
  <c r="F49" i="6"/>
  <c r="F17" i="6"/>
  <c r="F32" i="6"/>
  <c r="F16" i="6"/>
  <c r="F65" i="6"/>
  <c r="F30" i="6"/>
  <c r="F64" i="6"/>
  <c r="F28" i="6"/>
  <c r="F59" i="6"/>
  <c r="F55" i="6"/>
  <c r="F24" i="6"/>
  <c r="F38" i="6"/>
  <c r="F36" i="6"/>
  <c r="F61" i="6"/>
  <c r="F53" i="6"/>
  <c r="F34" i="14"/>
  <c r="F39" i="14"/>
  <c r="F30" i="14"/>
  <c r="F26" i="14"/>
  <c r="F22" i="14"/>
  <c r="F18" i="14"/>
  <c r="F46" i="14"/>
  <c r="F36" i="14"/>
  <c r="F62" i="14"/>
  <c r="F58" i="14"/>
  <c r="F50" i="14"/>
  <c r="F33" i="14"/>
  <c r="F29" i="14"/>
  <c r="F17" i="14"/>
  <c r="F35" i="14"/>
  <c r="F57" i="14"/>
  <c r="F11" i="14"/>
  <c r="F31" i="14"/>
  <c r="F38" i="14"/>
  <c r="F28" i="14"/>
  <c r="F24" i="14"/>
  <c r="F20" i="14"/>
  <c r="F16" i="14"/>
  <c r="F45" i="14"/>
  <c r="F60" i="14"/>
  <c r="F56" i="14"/>
  <c r="F52" i="14"/>
  <c r="F25" i="14"/>
  <c r="F40" i="14"/>
  <c r="F37" i="14"/>
  <c r="F27" i="14"/>
  <c r="F23" i="14"/>
  <c r="F19" i="14"/>
  <c r="F15" i="14"/>
  <c r="F10" i="14"/>
  <c r="F44" i="14"/>
  <c r="F59" i="14"/>
  <c r="F55" i="14"/>
  <c r="F51" i="14"/>
  <c r="F54" i="14"/>
  <c r="F32" i="14"/>
  <c r="F21" i="14"/>
  <c r="F61" i="14"/>
  <c r="F53" i="14"/>
  <c r="I5" i="11"/>
  <c r="I6" i="11"/>
  <c r="I8" i="11"/>
  <c r="I9" i="11"/>
  <c r="I10" i="11"/>
  <c r="H9" i="11"/>
  <c r="H10" i="11"/>
  <c r="J5" i="11"/>
  <c r="E5" i="11"/>
  <c r="E6" i="11"/>
  <c r="J6" i="11"/>
  <c r="E7" i="11"/>
  <c r="J7" i="11"/>
  <c r="K7" i="11" s="1"/>
  <c r="J8" i="11"/>
  <c r="E8" i="11"/>
  <c r="J9" i="11"/>
  <c r="E9" i="11"/>
  <c r="E10" i="11"/>
  <c r="J10" i="11"/>
  <c r="E13" i="11"/>
  <c r="J13" i="11"/>
  <c r="K13" i="11" s="1"/>
  <c r="E5" i="13"/>
  <c r="E6" i="13"/>
  <c r="E7" i="13"/>
  <c r="E8" i="13"/>
  <c r="E9" i="13"/>
  <c r="E10" i="13"/>
  <c r="I43" i="16"/>
  <c r="I9" i="16"/>
  <c r="I50" i="14"/>
  <c r="K9" i="11" l="1"/>
  <c r="K5" i="11"/>
  <c r="K6" i="11"/>
  <c r="K8" i="11"/>
  <c r="K10" i="11"/>
  <c r="I7" i="9"/>
  <c r="D29" i="1"/>
  <c r="H35" i="13"/>
  <c r="E31" i="13"/>
  <c r="E30" i="13"/>
  <c r="E29" i="13"/>
  <c r="E28" i="13"/>
  <c r="H27" i="13"/>
  <c r="E27" i="13"/>
  <c r="E26" i="13"/>
  <c r="E25" i="13"/>
  <c r="E24" i="13"/>
  <c r="E23" i="13"/>
  <c r="E22" i="13"/>
  <c r="E21" i="13"/>
  <c r="E41" i="11"/>
  <c r="E40" i="11"/>
  <c r="E39" i="11"/>
  <c r="E38" i="11"/>
  <c r="E37" i="11"/>
  <c r="E36" i="11"/>
  <c r="H35" i="11"/>
  <c r="E35" i="11"/>
  <c r="E34" i="11"/>
  <c r="E33" i="11"/>
  <c r="E32" i="11"/>
  <c r="E31" i="11"/>
  <c r="E30" i="11"/>
  <c r="E29" i="11"/>
  <c r="E28" i="11"/>
  <c r="H27" i="11"/>
  <c r="E27" i="11"/>
  <c r="E26" i="11"/>
  <c r="E25" i="11"/>
  <c r="E24" i="11"/>
  <c r="E23" i="11"/>
  <c r="E22" i="11"/>
  <c r="E21" i="11"/>
  <c r="E20" i="11"/>
  <c r="E32" i="13" l="1"/>
  <c r="E33" i="13"/>
  <c r="E36" i="13"/>
  <c r="E37" i="13"/>
  <c r="E38" i="13"/>
  <c r="E39" i="13"/>
  <c r="E40" i="13"/>
  <c r="E41" i="13"/>
  <c r="I10" i="9"/>
  <c r="I6" i="9"/>
  <c r="H20" i="11"/>
  <c r="H21" i="11"/>
  <c r="H22" i="11"/>
  <c r="H23" i="11"/>
  <c r="H24" i="11"/>
  <c r="H25" i="11"/>
  <c r="H26" i="11"/>
  <c r="H28" i="11"/>
  <c r="H29" i="11"/>
  <c r="H30" i="11"/>
  <c r="H32" i="11"/>
  <c r="H33" i="11"/>
  <c r="H34" i="11"/>
  <c r="H36" i="11"/>
  <c r="H37" i="11"/>
  <c r="H38" i="11"/>
  <c r="H39" i="11"/>
  <c r="H40" i="11"/>
  <c r="H41" i="11"/>
  <c r="H20" i="13"/>
  <c r="H21" i="13"/>
  <c r="H23" i="13"/>
  <c r="H24" i="13"/>
  <c r="H25" i="13"/>
  <c r="H26" i="13"/>
  <c r="H28" i="13"/>
  <c r="H29" i="13"/>
  <c r="H30" i="13"/>
  <c r="H31" i="13"/>
  <c r="H32" i="13"/>
  <c r="H33" i="13"/>
  <c r="H34" i="13"/>
  <c r="H36" i="13"/>
  <c r="H37" i="13"/>
  <c r="H38" i="13"/>
  <c r="H39" i="13"/>
  <c r="H40" i="13"/>
  <c r="H41" i="13"/>
  <c r="I9" i="9"/>
  <c r="I8" i="9"/>
  <c r="G63" i="26"/>
  <c r="G62" i="26"/>
  <c r="G60" i="26"/>
  <c r="G57" i="26"/>
  <c r="G55" i="26"/>
  <c r="G53" i="26"/>
  <c r="G52" i="26"/>
  <c r="G51" i="26"/>
  <c r="G50" i="26"/>
  <c r="G45" i="26"/>
  <c r="G44" i="26"/>
  <c r="G43" i="26"/>
  <c r="G42" i="26"/>
  <c r="G39" i="26"/>
  <c r="G38" i="26"/>
  <c r="G37" i="26"/>
  <c r="G36" i="26"/>
  <c r="G35" i="26"/>
  <c r="G34" i="26"/>
  <c r="G33" i="26"/>
  <c r="G32" i="26"/>
  <c r="G31" i="26"/>
  <c r="G30" i="26"/>
  <c r="G29" i="26"/>
  <c r="G27" i="26"/>
  <c r="G26" i="26"/>
  <c r="G25" i="26"/>
  <c r="G23" i="26"/>
  <c r="G22" i="26"/>
  <c r="G21" i="26"/>
  <c r="G19" i="26"/>
  <c r="G18" i="26"/>
  <c r="G10" i="26"/>
  <c r="I63" i="4"/>
  <c r="I62" i="4"/>
  <c r="I60" i="4"/>
  <c r="I56" i="4"/>
  <c r="I55" i="4"/>
  <c r="I54" i="4"/>
  <c r="I53" i="4"/>
  <c r="I52" i="4"/>
  <c r="I51" i="4"/>
  <c r="I50" i="4"/>
  <c r="I48" i="4"/>
  <c r="I45" i="4"/>
  <c r="I44" i="4"/>
  <c r="I43" i="4"/>
  <c r="I42" i="4"/>
  <c r="I39" i="4"/>
  <c r="I38" i="4"/>
  <c r="I37" i="4"/>
  <c r="I36" i="4"/>
  <c r="I35" i="4"/>
  <c r="I34" i="4"/>
  <c r="I33" i="4"/>
  <c r="I32" i="4"/>
  <c r="I31" i="4"/>
  <c r="I30" i="4"/>
  <c r="I29" i="4"/>
  <c r="I28" i="4"/>
  <c r="I26" i="4"/>
  <c r="I25" i="4"/>
  <c r="I24" i="4"/>
  <c r="I23" i="4"/>
  <c r="I22" i="4"/>
  <c r="I21" i="4"/>
  <c r="I20" i="4"/>
  <c r="I18" i="4"/>
  <c r="I16" i="4"/>
  <c r="I14" i="4"/>
  <c r="I10" i="4"/>
  <c r="I8" i="4"/>
  <c r="G45" i="2"/>
  <c r="I60" i="1"/>
  <c r="I58" i="1"/>
  <c r="I56" i="1"/>
  <c r="I54" i="1"/>
  <c r="I52" i="1"/>
  <c r="I50" i="1"/>
  <c r="I48" i="1"/>
  <c r="I45" i="1"/>
  <c r="H44" i="1"/>
  <c r="I44" i="1"/>
  <c r="I42" i="1"/>
  <c r="I38" i="1"/>
  <c r="I36" i="1"/>
  <c r="I34" i="1"/>
  <c r="I32" i="1"/>
  <c r="I30" i="1"/>
  <c r="I28" i="1"/>
  <c r="I26" i="1"/>
  <c r="I24" i="1"/>
  <c r="I22" i="1"/>
  <c r="I20" i="1"/>
  <c r="I18" i="1"/>
  <c r="I16" i="1"/>
  <c r="I14" i="1"/>
  <c r="I10" i="1"/>
  <c r="I8" i="1"/>
  <c r="G60" i="16"/>
  <c r="G46" i="16"/>
  <c r="G45" i="16"/>
  <c r="G40" i="16"/>
  <c r="G39" i="16"/>
  <c r="G38" i="16"/>
  <c r="G37" i="16"/>
  <c r="G36" i="16"/>
  <c r="G33" i="16"/>
  <c r="G21" i="16"/>
  <c r="I61" i="14"/>
  <c r="I60" i="14"/>
  <c r="I59" i="14"/>
  <c r="I57" i="14"/>
  <c r="I55" i="14"/>
  <c r="I53" i="14"/>
  <c r="I46" i="14"/>
  <c r="I40" i="14"/>
  <c r="I39" i="14"/>
  <c r="I38" i="14"/>
  <c r="I37" i="14"/>
  <c r="I36" i="14"/>
  <c r="I35" i="14"/>
  <c r="I34" i="14"/>
  <c r="I33" i="14"/>
  <c r="I31" i="14"/>
  <c r="I24" i="14"/>
  <c r="I23" i="14"/>
  <c r="G63" i="8"/>
  <c r="G62" i="8"/>
  <c r="G61" i="8"/>
  <c r="G60" i="8"/>
  <c r="G53" i="8"/>
  <c r="G52" i="8"/>
  <c r="G51" i="8"/>
  <c r="G45" i="8"/>
  <c r="G44" i="8"/>
  <c r="G43" i="8"/>
  <c r="G42" i="8"/>
  <c r="G39" i="8"/>
  <c r="G38" i="8"/>
  <c r="G36" i="8"/>
  <c r="G35" i="8"/>
  <c r="G34" i="8"/>
  <c r="G33" i="8"/>
  <c r="G31" i="8"/>
  <c r="G30" i="8"/>
  <c r="G29" i="8"/>
  <c r="G27" i="8"/>
  <c r="G26" i="8"/>
  <c r="G25" i="8"/>
  <c r="G23" i="8"/>
  <c r="G22" i="8"/>
  <c r="G21" i="8"/>
  <c r="G20" i="8"/>
  <c r="G19" i="8"/>
  <c r="G18" i="8"/>
  <c r="G16" i="8"/>
  <c r="G9" i="8"/>
  <c r="I64" i="6"/>
  <c r="I63" i="6"/>
  <c r="I62" i="6"/>
  <c r="I61" i="6"/>
  <c r="I60" i="6"/>
  <c r="I55" i="6"/>
  <c r="I53" i="6"/>
  <c r="I52" i="6"/>
  <c r="I51" i="6"/>
  <c r="I50" i="6"/>
  <c r="I45" i="6"/>
  <c r="I44" i="6"/>
  <c r="I43" i="6"/>
  <c r="I42" i="6"/>
  <c r="I39" i="6"/>
  <c r="I38" i="6"/>
  <c r="I37" i="6"/>
  <c r="I36" i="6"/>
  <c r="I35" i="6"/>
  <c r="I34" i="6"/>
  <c r="I33" i="6"/>
  <c r="I32" i="6"/>
  <c r="I31" i="6"/>
  <c r="I30" i="6"/>
  <c r="I29" i="6"/>
  <c r="I27" i="6"/>
  <c r="I26" i="6"/>
  <c r="I25" i="6"/>
  <c r="I23" i="6"/>
  <c r="I22" i="6"/>
  <c r="I21" i="6"/>
  <c r="I20" i="6"/>
  <c r="I19" i="6"/>
  <c r="I18" i="6"/>
  <c r="I17" i="6"/>
  <c r="I16" i="6"/>
  <c r="I15" i="6"/>
  <c r="I10" i="6"/>
  <c r="D48" i="6"/>
  <c r="D45" i="6"/>
  <c r="D44" i="6"/>
  <c r="D43" i="6"/>
  <c r="D42" i="6"/>
  <c r="D10" i="6"/>
  <c r="D9" i="6"/>
  <c r="D8" i="6"/>
  <c r="D45" i="4"/>
  <c r="D44" i="4"/>
  <c r="D43" i="4"/>
  <c r="D42" i="4"/>
  <c r="D41" i="4"/>
  <c r="D13" i="4"/>
  <c r="D59" i="1"/>
  <c r="D45" i="1"/>
  <c r="D44" i="1"/>
  <c r="D38" i="1"/>
  <c r="D37" i="1"/>
  <c r="D36" i="1"/>
  <c r="D35" i="1"/>
  <c r="D34" i="1"/>
  <c r="D33" i="1"/>
  <c r="D32" i="1"/>
  <c r="D30" i="1"/>
  <c r="D25" i="1"/>
  <c r="D24" i="1"/>
  <c r="D22" i="1"/>
  <c r="D21" i="1"/>
  <c r="D20" i="1"/>
  <c r="I62" i="1" l="1"/>
  <c r="I64" i="1"/>
  <c r="D9" i="1"/>
  <c r="D13" i="1"/>
  <c r="D15" i="1"/>
  <c r="D17" i="1"/>
  <c r="D19" i="1"/>
  <c r="D48" i="4"/>
  <c r="D13" i="6"/>
  <c r="I9" i="1"/>
  <c r="I13" i="1"/>
  <c r="I15" i="1"/>
  <c r="I17" i="1"/>
  <c r="I19" i="1"/>
  <c r="I21" i="1"/>
  <c r="I23" i="1"/>
  <c r="I9" i="4"/>
  <c r="I13" i="4"/>
  <c r="I15" i="4"/>
  <c r="I17" i="4"/>
  <c r="I19" i="4"/>
  <c r="I27" i="4"/>
  <c r="I49" i="4"/>
  <c r="I57" i="4"/>
  <c r="I59" i="4"/>
  <c r="I61" i="4"/>
  <c r="I9" i="6"/>
  <c r="I13" i="6"/>
  <c r="I49" i="6"/>
  <c r="I57" i="6"/>
  <c r="I59" i="6"/>
  <c r="I65" i="6"/>
  <c r="I25" i="1"/>
  <c r="I27" i="1"/>
  <c r="I29" i="1"/>
  <c r="I31" i="1"/>
  <c r="I33" i="1"/>
  <c r="I35" i="1"/>
  <c r="I37" i="1"/>
  <c r="I39" i="1"/>
  <c r="I55" i="1"/>
  <c r="I57" i="1"/>
  <c r="I59" i="1"/>
  <c r="I61" i="1"/>
  <c r="I63" i="1"/>
  <c r="I58" i="4"/>
  <c r="D23" i="1"/>
  <c r="D26" i="1"/>
  <c r="D28" i="1"/>
  <c r="D31" i="1"/>
  <c r="D39" i="1"/>
  <c r="D43" i="1"/>
  <c r="D49" i="1"/>
  <c r="D51" i="1"/>
  <c r="D53" i="1"/>
  <c r="D55" i="1"/>
  <c r="D57" i="1"/>
  <c r="D61" i="1"/>
  <c r="D63" i="1"/>
  <c r="D65" i="1"/>
  <c r="D8" i="4"/>
  <c r="D10" i="14"/>
  <c r="D14" i="14"/>
  <c r="I10" i="14"/>
  <c r="I14" i="14"/>
  <c r="I16" i="14"/>
  <c r="I18" i="14"/>
  <c r="I20" i="14"/>
  <c r="I22" i="14"/>
  <c r="I26" i="14"/>
  <c r="I28" i="14"/>
  <c r="I30" i="14"/>
  <c r="I32" i="14"/>
  <c r="I44" i="14"/>
  <c r="I51" i="14"/>
  <c r="I43" i="1"/>
  <c r="I8" i="6"/>
  <c r="I14" i="6"/>
  <c r="I24" i="6"/>
  <c r="I28" i="6"/>
  <c r="I48" i="6"/>
  <c r="I54" i="6"/>
  <c r="I56" i="6"/>
  <c r="I58" i="6"/>
  <c r="I66" i="6"/>
  <c r="I8" i="8"/>
  <c r="I10" i="16"/>
  <c r="I14" i="16"/>
  <c r="I16" i="16"/>
  <c r="I18" i="16"/>
  <c r="I20" i="16"/>
  <c r="I22" i="16"/>
  <c r="I24" i="16"/>
  <c r="I26" i="16"/>
  <c r="I28" i="16"/>
  <c r="I30" i="16"/>
  <c r="I32" i="16"/>
  <c r="I34" i="16"/>
  <c r="I36" i="16"/>
  <c r="J36" i="16" s="1"/>
  <c r="I38" i="16"/>
  <c r="J38" i="16" s="1"/>
  <c r="I40" i="16"/>
  <c r="J40" i="16" s="1"/>
  <c r="I45" i="16"/>
  <c r="J45" i="16" s="1"/>
  <c r="I49" i="16"/>
  <c r="I51" i="16"/>
  <c r="I53" i="16"/>
  <c r="I55" i="16"/>
  <c r="I57" i="16"/>
  <c r="I59" i="16"/>
  <c r="I61" i="16"/>
  <c r="I9" i="2"/>
  <c r="I13" i="2"/>
  <c r="I15" i="2"/>
  <c r="I17" i="2"/>
  <c r="I19" i="2"/>
  <c r="I21" i="2"/>
  <c r="I23" i="2"/>
  <c r="I25" i="2"/>
  <c r="I27" i="2"/>
  <c r="I29" i="2"/>
  <c r="I31" i="2"/>
  <c r="I33" i="2"/>
  <c r="I35" i="2"/>
  <c r="I37" i="2"/>
  <c r="I39" i="2"/>
  <c r="I43" i="2"/>
  <c r="I45" i="2"/>
  <c r="J45" i="2" s="1"/>
  <c r="D45" i="2"/>
  <c r="I49" i="2"/>
  <c r="I51" i="2"/>
  <c r="I53" i="2"/>
  <c r="I55" i="2"/>
  <c r="I57" i="2"/>
  <c r="I59" i="2"/>
  <c r="I61" i="2"/>
  <c r="I63" i="2"/>
  <c r="I65" i="2"/>
  <c r="I9" i="26"/>
  <c r="I13" i="26"/>
  <c r="I15" i="26"/>
  <c r="I17" i="26"/>
  <c r="I19" i="26"/>
  <c r="J19" i="26" s="1"/>
  <c r="I21" i="26"/>
  <c r="J21" i="26" s="1"/>
  <c r="I23" i="26"/>
  <c r="J23" i="26" s="1"/>
  <c r="I25" i="26"/>
  <c r="J25" i="26" s="1"/>
  <c r="I27" i="26"/>
  <c r="J27" i="26" s="1"/>
  <c r="I29" i="26"/>
  <c r="J29" i="26" s="1"/>
  <c r="I31" i="26"/>
  <c r="J31" i="26" s="1"/>
  <c r="I33" i="26"/>
  <c r="J33" i="26" s="1"/>
  <c r="I35" i="26"/>
  <c r="J35" i="26" s="1"/>
  <c r="I37" i="26"/>
  <c r="J37" i="26" s="1"/>
  <c r="I39" i="26"/>
  <c r="J39" i="26" s="1"/>
  <c r="I43" i="26"/>
  <c r="J43" i="26" s="1"/>
  <c r="I45" i="26"/>
  <c r="J45" i="26" s="1"/>
  <c r="I49" i="26"/>
  <c r="I51" i="26"/>
  <c r="J51" i="26" s="1"/>
  <c r="I53" i="26"/>
  <c r="J53" i="26" s="1"/>
  <c r="I55" i="26"/>
  <c r="J55" i="26" s="1"/>
  <c r="I57" i="26"/>
  <c r="I59" i="26"/>
  <c r="I61" i="26"/>
  <c r="I63" i="26"/>
  <c r="J63" i="26" s="1"/>
  <c r="I19" i="8"/>
  <c r="J19" i="8" s="1"/>
  <c r="I25" i="8"/>
  <c r="J25" i="8" s="1"/>
  <c r="I29" i="8"/>
  <c r="J29" i="8" s="1"/>
  <c r="I31" i="8"/>
  <c r="J31" i="8" s="1"/>
  <c r="I37" i="8"/>
  <c r="I39" i="8"/>
  <c r="J39" i="8" s="1"/>
  <c r="I45" i="8"/>
  <c r="J45" i="8" s="1"/>
  <c r="I49" i="8"/>
  <c r="I51" i="8"/>
  <c r="J51" i="8" s="1"/>
  <c r="I53" i="8"/>
  <c r="J53" i="8" s="1"/>
  <c r="I55" i="8"/>
  <c r="I57" i="8"/>
  <c r="I59" i="8"/>
  <c r="I61" i="8"/>
  <c r="J61" i="8" s="1"/>
  <c r="I63" i="8"/>
  <c r="J63" i="8" s="1"/>
  <c r="I65" i="8"/>
  <c r="I13" i="8"/>
  <c r="I17" i="8"/>
  <c r="I23" i="8"/>
  <c r="J23" i="8" s="1"/>
  <c r="I35" i="8"/>
  <c r="J35" i="8" s="1"/>
  <c r="I54" i="14"/>
  <c r="I56" i="14"/>
  <c r="I58" i="14"/>
  <c r="I62" i="14"/>
  <c r="I11" i="16"/>
  <c r="I15" i="16"/>
  <c r="I17" i="16"/>
  <c r="I19" i="16"/>
  <c r="I21" i="16"/>
  <c r="I23" i="16"/>
  <c r="I25" i="16"/>
  <c r="I27" i="16"/>
  <c r="I29" i="16"/>
  <c r="I31" i="16"/>
  <c r="I33" i="16"/>
  <c r="J33" i="16" s="1"/>
  <c r="I35" i="16"/>
  <c r="I37" i="16"/>
  <c r="J37" i="16" s="1"/>
  <c r="I39" i="16"/>
  <c r="J39" i="16" s="1"/>
  <c r="I44" i="16"/>
  <c r="I46" i="16"/>
  <c r="J46" i="16" s="1"/>
  <c r="I50" i="16"/>
  <c r="I52" i="16"/>
  <c r="I54" i="16"/>
  <c r="I56" i="16"/>
  <c r="I58" i="16"/>
  <c r="I60" i="16"/>
  <c r="J60" i="16" s="1"/>
  <c r="I62" i="16"/>
  <c r="I49" i="1"/>
  <c r="I51" i="1"/>
  <c r="I53" i="1"/>
  <c r="I65" i="1"/>
  <c r="I8" i="2"/>
  <c r="I10" i="2"/>
  <c r="I14" i="2"/>
  <c r="I16" i="2"/>
  <c r="I18" i="2"/>
  <c r="I20" i="2"/>
  <c r="I22" i="2"/>
  <c r="I24" i="2"/>
  <c r="I26" i="2"/>
  <c r="I28" i="2"/>
  <c r="I30" i="2"/>
  <c r="I32" i="2"/>
  <c r="I34" i="2"/>
  <c r="I36" i="2"/>
  <c r="I38" i="2"/>
  <c r="I42" i="2"/>
  <c r="I44" i="2"/>
  <c r="I48" i="2"/>
  <c r="I50" i="2"/>
  <c r="I52" i="2"/>
  <c r="I54" i="2"/>
  <c r="I56" i="2"/>
  <c r="I58" i="2"/>
  <c r="I60" i="2"/>
  <c r="I62" i="2"/>
  <c r="I64" i="2"/>
  <c r="I8" i="26"/>
  <c r="I10" i="26"/>
  <c r="J10" i="26" s="1"/>
  <c r="D10" i="26"/>
  <c r="I14" i="26"/>
  <c r="I16" i="26"/>
  <c r="I18" i="26"/>
  <c r="J18" i="26" s="1"/>
  <c r="I20" i="26"/>
  <c r="I22" i="26"/>
  <c r="J22" i="26" s="1"/>
  <c r="I24" i="26"/>
  <c r="I26" i="26"/>
  <c r="J26" i="26" s="1"/>
  <c r="I28" i="26"/>
  <c r="I30" i="26"/>
  <c r="J30" i="26" s="1"/>
  <c r="I32" i="26"/>
  <c r="I34" i="26"/>
  <c r="J34" i="26" s="1"/>
  <c r="I36" i="26"/>
  <c r="J36" i="26" s="1"/>
  <c r="I38" i="26"/>
  <c r="J38" i="26" s="1"/>
  <c r="I42" i="26"/>
  <c r="J42" i="26" s="1"/>
  <c r="D42" i="26"/>
  <c r="I44" i="26"/>
  <c r="J44" i="26" s="1"/>
  <c r="I48" i="26"/>
  <c r="I50" i="26"/>
  <c r="J50" i="26" s="1"/>
  <c r="I52" i="26"/>
  <c r="J52" i="26" s="1"/>
  <c r="I54" i="26"/>
  <c r="I56" i="26"/>
  <c r="I58" i="26"/>
  <c r="I60" i="26"/>
  <c r="J60" i="26" s="1"/>
  <c r="I62" i="26"/>
  <c r="J62" i="26" s="1"/>
  <c r="I9" i="8"/>
  <c r="J9" i="8" s="1"/>
  <c r="I15" i="8"/>
  <c r="I21" i="8"/>
  <c r="J21" i="8" s="1"/>
  <c r="I27" i="8"/>
  <c r="J27" i="8" s="1"/>
  <c r="I33" i="8"/>
  <c r="J33" i="8" s="1"/>
  <c r="I43" i="8"/>
  <c r="J43" i="8" s="1"/>
  <c r="D8" i="1"/>
  <c r="D10" i="1"/>
  <c r="D14" i="1"/>
  <c r="D16" i="1"/>
  <c r="D18" i="1"/>
  <c r="D27" i="1"/>
  <c r="D42" i="1"/>
  <c r="D48" i="1"/>
  <c r="D50" i="1"/>
  <c r="D52" i="1"/>
  <c r="D54" i="1"/>
  <c r="D56" i="1"/>
  <c r="D58" i="1"/>
  <c r="D60" i="1"/>
  <c r="D62" i="1"/>
  <c r="D64" i="1"/>
  <c r="I10" i="8"/>
  <c r="I14" i="8"/>
  <c r="I16" i="8"/>
  <c r="J16" i="8" s="1"/>
  <c r="I18" i="8"/>
  <c r="J18" i="8" s="1"/>
  <c r="I20" i="8"/>
  <c r="J20" i="8" s="1"/>
  <c r="I22" i="8"/>
  <c r="J22" i="8" s="1"/>
  <c r="I24" i="8"/>
  <c r="I26" i="8"/>
  <c r="J26" i="8" s="1"/>
  <c r="I28" i="8"/>
  <c r="I30" i="8"/>
  <c r="J30" i="8" s="1"/>
  <c r="I32" i="8"/>
  <c r="I34" i="8"/>
  <c r="J34" i="8" s="1"/>
  <c r="I36" i="8"/>
  <c r="J36" i="8" s="1"/>
  <c r="I38" i="8"/>
  <c r="J38" i="8" s="1"/>
  <c r="I42" i="8"/>
  <c r="J42" i="8" s="1"/>
  <c r="D42" i="8"/>
  <c r="I44" i="8"/>
  <c r="J44" i="8" s="1"/>
  <c r="I48" i="8"/>
  <c r="I50" i="8"/>
  <c r="I52" i="8"/>
  <c r="J52" i="8" s="1"/>
  <c r="I54" i="8"/>
  <c r="I56" i="8"/>
  <c r="I58" i="8"/>
  <c r="I60" i="8"/>
  <c r="J60" i="8" s="1"/>
  <c r="I62" i="8"/>
  <c r="J62" i="8" s="1"/>
  <c r="I64" i="8"/>
  <c r="I66" i="8"/>
  <c r="D9" i="14"/>
  <c r="D11" i="14"/>
  <c r="D43" i="14"/>
  <c r="D49" i="14"/>
  <c r="I9" i="14"/>
  <c r="I11" i="14"/>
  <c r="I15" i="14"/>
  <c r="I17" i="14"/>
  <c r="I19" i="14"/>
  <c r="I21" i="14"/>
  <c r="I25" i="14"/>
  <c r="I27" i="14"/>
  <c r="I29" i="14"/>
  <c r="I43" i="14"/>
  <c r="I45" i="14"/>
  <c r="I49" i="14"/>
  <c r="I52" i="14"/>
  <c r="B50" i="16"/>
  <c r="D50" i="16" s="1"/>
  <c r="B65" i="26" l="1"/>
  <c r="E63" i="19" l="1"/>
  <c r="E60" i="19"/>
  <c r="E20" i="9" l="1"/>
  <c r="E21" i="9"/>
  <c r="H64" i="14" l="1"/>
  <c r="C47" i="6"/>
  <c r="C47" i="26"/>
  <c r="F44" i="1"/>
  <c r="H47" i="1"/>
  <c r="C47" i="8" l="1"/>
  <c r="B47" i="6"/>
  <c r="D47" i="6" s="1"/>
  <c r="C48" i="14"/>
  <c r="F48" i="16"/>
  <c r="C47" i="2"/>
  <c r="C48" i="16"/>
  <c r="F47" i="2"/>
  <c r="F47" i="26"/>
  <c r="I47" i="1"/>
  <c r="I47" i="4"/>
  <c r="B47" i="4"/>
  <c r="B47" i="1"/>
  <c r="I47" i="6"/>
  <c r="F47" i="8"/>
  <c r="C47" i="4"/>
  <c r="C47" i="1"/>
  <c r="B48" i="14"/>
  <c r="E72" i="2"/>
  <c r="B72" i="2"/>
  <c r="D48" i="14" l="1"/>
  <c r="I47" i="2"/>
  <c r="D47" i="4"/>
  <c r="I48" i="16"/>
  <c r="D47" i="1"/>
  <c r="I48" i="14"/>
  <c r="I47" i="8"/>
  <c r="I47" i="26"/>
  <c r="I5" i="9"/>
  <c r="C42" i="9"/>
  <c r="I64" i="16" l="1"/>
  <c r="F42" i="16"/>
  <c r="E64" i="16"/>
  <c r="G51" i="16"/>
  <c r="G52" i="16"/>
  <c r="G53" i="16"/>
  <c r="G54" i="16"/>
  <c r="G55" i="16"/>
  <c r="G56" i="16"/>
  <c r="G57" i="16"/>
  <c r="G58" i="16"/>
  <c r="G59" i="16"/>
  <c r="G61" i="16"/>
  <c r="G62" i="16"/>
  <c r="G44" i="16"/>
  <c r="E43" i="16"/>
  <c r="G43" i="16" s="1"/>
  <c r="G15" i="16"/>
  <c r="G16" i="16"/>
  <c r="E49" i="16"/>
  <c r="G49" i="16" s="1"/>
  <c r="G17" i="16"/>
  <c r="G18" i="16"/>
  <c r="G19" i="16"/>
  <c r="G20" i="16"/>
  <c r="G22" i="16"/>
  <c r="G23" i="16"/>
  <c r="G24" i="16"/>
  <c r="G25" i="16"/>
  <c r="G26" i="16"/>
  <c r="G27" i="16"/>
  <c r="G28" i="16"/>
  <c r="G29" i="16"/>
  <c r="G30" i="16"/>
  <c r="G31" i="16"/>
  <c r="G32" i="16"/>
  <c r="G34" i="16"/>
  <c r="G35" i="16"/>
  <c r="E14" i="16"/>
  <c r="G14" i="16" s="1"/>
  <c r="E10" i="16"/>
  <c r="G10" i="16" s="1"/>
  <c r="E11" i="16"/>
  <c r="G11" i="16" s="1"/>
  <c r="E9" i="16"/>
  <c r="G9" i="16" s="1"/>
  <c r="B64" i="16"/>
  <c r="B51" i="16"/>
  <c r="D51" i="16" s="1"/>
  <c r="B52" i="16"/>
  <c r="D52" i="16" s="1"/>
  <c r="B53" i="16"/>
  <c r="D53" i="16" s="1"/>
  <c r="B54" i="16"/>
  <c r="D54" i="16" s="1"/>
  <c r="B55" i="16"/>
  <c r="D55" i="16" s="1"/>
  <c r="B56" i="16"/>
  <c r="D56" i="16" s="1"/>
  <c r="B57" i="16"/>
  <c r="D57" i="16" s="1"/>
  <c r="B58" i="16"/>
  <c r="D58" i="16" s="1"/>
  <c r="B59" i="16"/>
  <c r="B60" i="16"/>
  <c r="H60" i="16" s="1"/>
  <c r="B61" i="16"/>
  <c r="D61" i="16" s="1"/>
  <c r="B62" i="16"/>
  <c r="D62" i="16" s="1"/>
  <c r="B44" i="16"/>
  <c r="D44" i="16" s="1"/>
  <c r="B45" i="16"/>
  <c r="H45" i="16" s="1"/>
  <c r="B46" i="16"/>
  <c r="H46" i="16" s="1"/>
  <c r="B43" i="16"/>
  <c r="B15" i="16"/>
  <c r="D15" i="16" s="1"/>
  <c r="B16" i="16"/>
  <c r="D16" i="16" s="1"/>
  <c r="B49" i="16"/>
  <c r="B17" i="16"/>
  <c r="D17" i="16" s="1"/>
  <c r="B18" i="16"/>
  <c r="D18" i="16" s="1"/>
  <c r="B19" i="16"/>
  <c r="D19" i="16" s="1"/>
  <c r="B20" i="16"/>
  <c r="D20" i="16" s="1"/>
  <c r="B21" i="16"/>
  <c r="B22" i="16"/>
  <c r="B23" i="16"/>
  <c r="B24" i="16"/>
  <c r="B25" i="16"/>
  <c r="D25" i="16" s="1"/>
  <c r="B26" i="16"/>
  <c r="D26" i="16" s="1"/>
  <c r="B27" i="16"/>
  <c r="D27" i="16" s="1"/>
  <c r="B28" i="16"/>
  <c r="D28" i="16" s="1"/>
  <c r="B29" i="16"/>
  <c r="D29" i="16" s="1"/>
  <c r="B30" i="16"/>
  <c r="B31" i="16"/>
  <c r="B32" i="16"/>
  <c r="B33" i="16"/>
  <c r="H33" i="16" s="1"/>
  <c r="B34" i="16"/>
  <c r="B35" i="16"/>
  <c r="B36" i="16"/>
  <c r="H36" i="16" s="1"/>
  <c r="B37" i="16"/>
  <c r="H37" i="16" s="1"/>
  <c r="B38" i="16"/>
  <c r="H38" i="16" s="1"/>
  <c r="B39" i="16"/>
  <c r="H39" i="16" s="1"/>
  <c r="B40" i="16"/>
  <c r="H40" i="16" s="1"/>
  <c r="B14" i="16"/>
  <c r="B10" i="16"/>
  <c r="B11" i="16"/>
  <c r="B9" i="16"/>
  <c r="I64" i="14"/>
  <c r="D64" i="14"/>
  <c r="H21" i="16" l="1"/>
  <c r="J21" i="16" s="1"/>
  <c r="D21" i="16"/>
  <c r="H50" i="16"/>
  <c r="J50" i="16" s="1"/>
  <c r="G50" i="16"/>
  <c r="H43" i="16"/>
  <c r="J43" i="16" s="1"/>
  <c r="D43" i="16"/>
  <c r="H62" i="16"/>
  <c r="J62" i="16" s="1"/>
  <c r="H54" i="16"/>
  <c r="J54" i="16" s="1"/>
  <c r="H9" i="16"/>
  <c r="J9" i="16" s="1"/>
  <c r="D9" i="16"/>
  <c r="H32" i="16"/>
  <c r="J32" i="16" s="1"/>
  <c r="H28" i="16"/>
  <c r="J28" i="16" s="1"/>
  <c r="H24" i="16"/>
  <c r="J24" i="16" s="1"/>
  <c r="H20" i="16"/>
  <c r="J20" i="16" s="1"/>
  <c r="H49" i="16"/>
  <c r="J49" i="16" s="1"/>
  <c r="D49" i="16"/>
  <c r="H61" i="16"/>
  <c r="J61" i="16" s="1"/>
  <c r="H57" i="16"/>
  <c r="J57" i="16" s="1"/>
  <c r="H53" i="16"/>
  <c r="J53" i="16" s="1"/>
  <c r="H14" i="16"/>
  <c r="J14" i="16" s="1"/>
  <c r="D14" i="16"/>
  <c r="H29" i="16"/>
  <c r="J29" i="16" s="1"/>
  <c r="H17" i="16"/>
  <c r="J17" i="16" s="1"/>
  <c r="H27" i="16"/>
  <c r="J27" i="16" s="1"/>
  <c r="H25" i="16"/>
  <c r="J25" i="16" s="1"/>
  <c r="H58" i="16"/>
  <c r="J58" i="16" s="1"/>
  <c r="H11" i="16"/>
  <c r="J11" i="16" s="1"/>
  <c r="D11" i="16"/>
  <c r="H35" i="16"/>
  <c r="J35" i="16" s="1"/>
  <c r="H31" i="16"/>
  <c r="J31" i="16" s="1"/>
  <c r="H23" i="16"/>
  <c r="J23" i="16" s="1"/>
  <c r="H19" i="16"/>
  <c r="J19" i="16" s="1"/>
  <c r="H16" i="16"/>
  <c r="J16" i="16" s="1"/>
  <c r="H56" i="16"/>
  <c r="J56" i="16" s="1"/>
  <c r="H52" i="16"/>
  <c r="J52" i="16" s="1"/>
  <c r="H10" i="16"/>
  <c r="J10" i="16" s="1"/>
  <c r="D10" i="16"/>
  <c r="H34" i="16"/>
  <c r="J34" i="16" s="1"/>
  <c r="H30" i="16"/>
  <c r="J30" i="16" s="1"/>
  <c r="H26" i="16"/>
  <c r="J26" i="16" s="1"/>
  <c r="H22" i="16"/>
  <c r="J22" i="16" s="1"/>
  <c r="H18" i="16"/>
  <c r="J18" i="16" s="1"/>
  <c r="H15" i="16"/>
  <c r="J15" i="16" s="1"/>
  <c r="H44" i="16"/>
  <c r="J44" i="16" s="1"/>
  <c r="H59" i="16"/>
  <c r="J59" i="16" s="1"/>
  <c r="H55" i="16"/>
  <c r="J55" i="16" s="1"/>
  <c r="H51" i="16"/>
  <c r="J51" i="16" s="1"/>
  <c r="B48" i="16"/>
  <c r="E48" i="16"/>
  <c r="G48" i="16" s="1"/>
  <c r="H64" i="16"/>
  <c r="F42" i="9"/>
  <c r="F11" i="9"/>
  <c r="F14" i="9" s="1"/>
  <c r="H48" i="16" l="1"/>
  <c r="J48" i="16" s="1"/>
  <c r="D48" i="16"/>
  <c r="G66" i="8"/>
  <c r="E68" i="8"/>
  <c r="G68" i="8" s="1"/>
  <c r="G50" i="8"/>
  <c r="G54" i="8"/>
  <c r="G55" i="8"/>
  <c r="G56" i="8"/>
  <c r="G57" i="8"/>
  <c r="G58" i="8"/>
  <c r="G59" i="8"/>
  <c r="G64" i="8"/>
  <c r="G65" i="8"/>
  <c r="G49" i="8"/>
  <c r="E42" i="8"/>
  <c r="G14" i="8"/>
  <c r="G15" i="8"/>
  <c r="E48" i="8"/>
  <c r="G48" i="8" s="1"/>
  <c r="G17" i="8"/>
  <c r="G24" i="8"/>
  <c r="G28" i="8"/>
  <c r="G32" i="8"/>
  <c r="G37" i="8"/>
  <c r="E13" i="8"/>
  <c r="G13" i="8" s="1"/>
  <c r="G10" i="8"/>
  <c r="E8" i="8"/>
  <c r="G8" i="8" s="1"/>
  <c r="B68" i="8"/>
  <c r="B66" i="8"/>
  <c r="D66" i="8" s="1"/>
  <c r="B50" i="8"/>
  <c r="B51" i="8"/>
  <c r="H51" i="8" s="1"/>
  <c r="B52" i="8"/>
  <c r="H52" i="8" s="1"/>
  <c r="B53" i="8"/>
  <c r="B54" i="8"/>
  <c r="B55" i="8"/>
  <c r="B56" i="8"/>
  <c r="D56" i="8" s="1"/>
  <c r="B57" i="8"/>
  <c r="D57" i="8" s="1"/>
  <c r="B58" i="8"/>
  <c r="D58" i="8" s="1"/>
  <c r="B59" i="8"/>
  <c r="D59" i="8" s="1"/>
  <c r="B60" i="8"/>
  <c r="H60" i="8" s="1"/>
  <c r="B61" i="8"/>
  <c r="H61" i="8" s="1"/>
  <c r="B62" i="8"/>
  <c r="H62" i="8" s="1"/>
  <c r="B63" i="8"/>
  <c r="H63" i="8" s="1"/>
  <c r="B64" i="8"/>
  <c r="B65" i="8"/>
  <c r="D65" i="8" s="1"/>
  <c r="B49" i="8"/>
  <c r="D49" i="8" s="1"/>
  <c r="B43" i="8"/>
  <c r="H43" i="8" s="1"/>
  <c r="B44" i="8"/>
  <c r="H44" i="8" s="1"/>
  <c r="B45" i="8"/>
  <c r="H45" i="8" s="1"/>
  <c r="B42" i="8"/>
  <c r="H42" i="8" s="1"/>
  <c r="B37" i="8"/>
  <c r="B38" i="8"/>
  <c r="H38" i="8" s="1"/>
  <c r="B39" i="8"/>
  <c r="H39" i="8" s="1"/>
  <c r="B14" i="8"/>
  <c r="B15" i="8"/>
  <c r="D15" i="8" s="1"/>
  <c r="B48" i="8"/>
  <c r="B16" i="8"/>
  <c r="H16" i="8" s="1"/>
  <c r="B17" i="8"/>
  <c r="B18" i="8"/>
  <c r="H18" i="8" s="1"/>
  <c r="B19" i="8"/>
  <c r="H19" i="8" s="1"/>
  <c r="B20" i="8"/>
  <c r="H20" i="8" s="1"/>
  <c r="B21" i="8"/>
  <c r="H21" i="8" s="1"/>
  <c r="B22" i="8"/>
  <c r="H22" i="8" s="1"/>
  <c r="B23" i="8"/>
  <c r="H23" i="8" s="1"/>
  <c r="B24" i="8"/>
  <c r="D24" i="8" s="1"/>
  <c r="B25" i="8"/>
  <c r="H25" i="8" s="1"/>
  <c r="B26" i="8"/>
  <c r="H26" i="8" s="1"/>
  <c r="B27" i="8"/>
  <c r="H27" i="8" s="1"/>
  <c r="B28" i="8"/>
  <c r="B29" i="8"/>
  <c r="H29" i="8" s="1"/>
  <c r="B30" i="8"/>
  <c r="H30" i="8" s="1"/>
  <c r="B31" i="8"/>
  <c r="H31" i="8" s="1"/>
  <c r="B32" i="8"/>
  <c r="B33" i="8"/>
  <c r="H33" i="8" s="1"/>
  <c r="B34" i="8"/>
  <c r="H34" i="8" s="1"/>
  <c r="B35" i="8"/>
  <c r="H35" i="8" s="1"/>
  <c r="B36" i="8"/>
  <c r="H36" i="8" s="1"/>
  <c r="B13" i="8"/>
  <c r="B10" i="8"/>
  <c r="B9" i="8"/>
  <c r="B8" i="8"/>
  <c r="I68" i="8"/>
  <c r="I6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8" i="6"/>
  <c r="H42" i="6"/>
  <c r="H43" i="6"/>
  <c r="H44" i="6"/>
  <c r="H45" i="6"/>
  <c r="H13" i="6"/>
  <c r="H14" i="6"/>
  <c r="H15" i="6"/>
  <c r="H48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8" i="6"/>
  <c r="H9" i="6"/>
  <c r="H10" i="6"/>
  <c r="F68" i="6"/>
  <c r="F42" i="6"/>
  <c r="F43" i="6"/>
  <c r="F44" i="6"/>
  <c r="F45" i="6"/>
  <c r="F13" i="6"/>
  <c r="F48" i="6"/>
  <c r="F8" i="6"/>
  <c r="F9" i="6"/>
  <c r="F10" i="6"/>
  <c r="D68" i="6"/>
  <c r="E70" i="26"/>
  <c r="B70" i="26"/>
  <c r="I65" i="26"/>
  <c r="E65" i="26"/>
  <c r="G65" i="26" s="1"/>
  <c r="G54" i="26"/>
  <c r="G56" i="26"/>
  <c r="G58" i="26"/>
  <c r="G59" i="26"/>
  <c r="G61" i="26"/>
  <c r="G49" i="26"/>
  <c r="E42" i="26"/>
  <c r="G14" i="26"/>
  <c r="G15" i="26"/>
  <c r="E48" i="26"/>
  <c r="G48" i="26" s="1"/>
  <c r="G16" i="26"/>
  <c r="G17" i="26"/>
  <c r="G20" i="26"/>
  <c r="G24" i="26"/>
  <c r="G28" i="26"/>
  <c r="E13" i="26"/>
  <c r="G13" i="26" s="1"/>
  <c r="E9" i="26"/>
  <c r="G9" i="26" s="1"/>
  <c r="E10" i="26"/>
  <c r="E8" i="26"/>
  <c r="G8" i="26" s="1"/>
  <c r="D65" i="26"/>
  <c r="B50" i="26"/>
  <c r="H50" i="26" s="1"/>
  <c r="B51" i="26"/>
  <c r="H51" i="26" s="1"/>
  <c r="B52" i="26"/>
  <c r="H52" i="26" s="1"/>
  <c r="B53" i="26"/>
  <c r="H53" i="26" s="1"/>
  <c r="B54" i="26"/>
  <c r="D54" i="26" s="1"/>
  <c r="B55" i="26"/>
  <c r="H55" i="26" s="1"/>
  <c r="B56" i="26"/>
  <c r="D56" i="26" s="1"/>
  <c r="B57" i="26"/>
  <c r="D57" i="26" s="1"/>
  <c r="B58" i="26"/>
  <c r="D58" i="26" s="1"/>
  <c r="B59" i="26"/>
  <c r="D59" i="26" s="1"/>
  <c r="B60" i="26"/>
  <c r="H60" i="26" s="1"/>
  <c r="B61" i="26"/>
  <c r="D61" i="26" s="1"/>
  <c r="B62" i="26"/>
  <c r="H62" i="26" s="1"/>
  <c r="B63" i="26"/>
  <c r="H63" i="26" s="1"/>
  <c r="B49" i="26"/>
  <c r="D49" i="26" s="1"/>
  <c r="B43" i="26"/>
  <c r="H43" i="26" s="1"/>
  <c r="B44" i="26"/>
  <c r="H44" i="26" s="1"/>
  <c r="B45" i="26"/>
  <c r="H45" i="26" s="1"/>
  <c r="B42" i="26"/>
  <c r="B14" i="26"/>
  <c r="D14" i="26" s="1"/>
  <c r="B15" i="26"/>
  <c r="D15" i="26" s="1"/>
  <c r="B48" i="26"/>
  <c r="B16" i="26"/>
  <c r="D16" i="26" s="1"/>
  <c r="B17" i="26"/>
  <c r="D17" i="26" s="1"/>
  <c r="B18" i="26"/>
  <c r="H18" i="26" s="1"/>
  <c r="B19" i="26"/>
  <c r="B20" i="26"/>
  <c r="B21" i="26"/>
  <c r="H21" i="26" s="1"/>
  <c r="B22" i="26"/>
  <c r="H22" i="26" s="1"/>
  <c r="B23" i="26"/>
  <c r="H23" i="26" s="1"/>
  <c r="B24" i="26"/>
  <c r="D24" i="26" s="1"/>
  <c r="B25" i="26"/>
  <c r="H25" i="26" s="1"/>
  <c r="B26" i="26"/>
  <c r="H26" i="26" s="1"/>
  <c r="B27" i="26"/>
  <c r="B28" i="26"/>
  <c r="B29" i="26"/>
  <c r="H29" i="26" s="1"/>
  <c r="B30" i="26"/>
  <c r="H30" i="26" s="1"/>
  <c r="B31" i="26"/>
  <c r="H31" i="26" s="1"/>
  <c r="B32" i="26"/>
  <c r="D32" i="26" s="1"/>
  <c r="B33" i="26"/>
  <c r="H33" i="26" s="1"/>
  <c r="B34" i="26"/>
  <c r="H34" i="26" s="1"/>
  <c r="B35" i="26"/>
  <c r="H35" i="26" s="1"/>
  <c r="B36" i="26"/>
  <c r="H36" i="26" s="1"/>
  <c r="B37" i="26"/>
  <c r="H37" i="26" s="1"/>
  <c r="B38" i="26"/>
  <c r="H38" i="26" s="1"/>
  <c r="B39" i="26"/>
  <c r="H39" i="26" s="1"/>
  <c r="B13" i="26"/>
  <c r="D13" i="26" s="1"/>
  <c r="B9" i="26"/>
  <c r="B10" i="26"/>
  <c r="H10" i="26" s="1"/>
  <c r="B8" i="26"/>
  <c r="I65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5" i="4"/>
  <c r="H42" i="4"/>
  <c r="H43" i="4"/>
  <c r="H44" i="4"/>
  <c r="H45" i="4"/>
  <c r="H38" i="4"/>
  <c r="H13" i="4"/>
  <c r="H14" i="4"/>
  <c r="H15" i="4"/>
  <c r="H48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9" i="4"/>
  <c r="H8" i="4"/>
  <c r="H9" i="4"/>
  <c r="H10" i="4"/>
  <c r="D65" i="4"/>
  <c r="E64" i="2"/>
  <c r="G64" i="2" s="1"/>
  <c r="E67" i="2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  <c r="E59" i="2"/>
  <c r="G59" i="2" s="1"/>
  <c r="E60" i="2"/>
  <c r="G60" i="2" s="1"/>
  <c r="E61" i="2"/>
  <c r="G61" i="2" s="1"/>
  <c r="E62" i="2"/>
  <c r="G62" i="2" s="1"/>
  <c r="E63" i="2"/>
  <c r="G63" i="2" s="1"/>
  <c r="E65" i="2"/>
  <c r="G65" i="2" s="1"/>
  <c r="E49" i="2"/>
  <c r="G49" i="2" s="1"/>
  <c r="E43" i="2"/>
  <c r="G43" i="2" s="1"/>
  <c r="E44" i="2"/>
  <c r="G44" i="2" s="1"/>
  <c r="E45" i="2"/>
  <c r="E42" i="2"/>
  <c r="G42" i="2" s="1"/>
  <c r="E14" i="2"/>
  <c r="G14" i="2" s="1"/>
  <c r="E15" i="2"/>
  <c r="G15" i="2" s="1"/>
  <c r="E48" i="2"/>
  <c r="G48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 s="1"/>
  <c r="E39" i="2"/>
  <c r="G39" i="2" s="1"/>
  <c r="E13" i="2"/>
  <c r="G13" i="2" s="1"/>
  <c r="E9" i="2"/>
  <c r="G9" i="2" s="1"/>
  <c r="E10" i="2"/>
  <c r="G10" i="2" s="1"/>
  <c r="E8" i="2"/>
  <c r="G8" i="2" s="1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49" i="2"/>
  <c r="B43" i="2"/>
  <c r="B44" i="2"/>
  <c r="B45" i="2"/>
  <c r="H45" i="2" s="1"/>
  <c r="B42" i="2"/>
  <c r="B67" i="2"/>
  <c r="B14" i="2"/>
  <c r="B15" i="2"/>
  <c r="B48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13" i="2"/>
  <c r="B9" i="2"/>
  <c r="B10" i="2"/>
  <c r="B8" i="2"/>
  <c r="F45" i="1"/>
  <c r="H45" i="1"/>
  <c r="I72" i="1"/>
  <c r="D72" i="1"/>
  <c r="F49" i="1"/>
  <c r="H34" i="1"/>
  <c r="H35" i="1"/>
  <c r="H36" i="1"/>
  <c r="H37" i="1"/>
  <c r="H38" i="1"/>
  <c r="H39" i="1"/>
  <c r="H32" i="1"/>
  <c r="H33" i="1"/>
  <c r="F43" i="1"/>
  <c r="H57" i="26" l="1"/>
  <c r="J57" i="26" s="1"/>
  <c r="H32" i="26"/>
  <c r="J32" i="26" s="1"/>
  <c r="H53" i="8"/>
  <c r="H13" i="26"/>
  <c r="J13" i="26" s="1"/>
  <c r="H42" i="26"/>
  <c r="H9" i="8"/>
  <c r="H25" i="2"/>
  <c r="J25" i="2" s="1"/>
  <c r="D25" i="2"/>
  <c r="H9" i="26"/>
  <c r="J9" i="26" s="1"/>
  <c r="D9" i="26"/>
  <c r="H17" i="26"/>
  <c r="J17" i="26" s="1"/>
  <c r="H14" i="26"/>
  <c r="J14" i="26" s="1"/>
  <c r="H61" i="26"/>
  <c r="J61" i="26" s="1"/>
  <c r="H10" i="8"/>
  <c r="J10" i="8" s="1"/>
  <c r="H15" i="8"/>
  <c r="J15" i="8" s="1"/>
  <c r="H37" i="8"/>
  <c r="J37" i="8" s="1"/>
  <c r="H59" i="8"/>
  <c r="J59" i="8" s="1"/>
  <c r="H55" i="8"/>
  <c r="J55" i="8" s="1"/>
  <c r="H37" i="2"/>
  <c r="J37" i="2" s="1"/>
  <c r="D37" i="2"/>
  <c r="H21" i="2"/>
  <c r="J21" i="2" s="1"/>
  <c r="D21" i="2"/>
  <c r="H64" i="2"/>
  <c r="J64" i="2" s="1"/>
  <c r="D64" i="2"/>
  <c r="H52" i="2"/>
  <c r="J52" i="2" s="1"/>
  <c r="D52" i="2"/>
  <c r="H32" i="2"/>
  <c r="J32" i="2" s="1"/>
  <c r="D32" i="2"/>
  <c r="H43" i="2"/>
  <c r="J43" i="2" s="1"/>
  <c r="D43" i="2"/>
  <c r="H28" i="26"/>
  <c r="J28" i="26" s="1"/>
  <c r="H24" i="26"/>
  <c r="J24" i="26" s="1"/>
  <c r="H20" i="26"/>
  <c r="J20" i="26" s="1"/>
  <c r="H16" i="26"/>
  <c r="J16" i="26" s="1"/>
  <c r="H49" i="26"/>
  <c r="J49" i="26" s="1"/>
  <c r="H56" i="26"/>
  <c r="J56" i="26" s="1"/>
  <c r="H13" i="8"/>
  <c r="J13" i="8" s="1"/>
  <c r="D13" i="8"/>
  <c r="H17" i="8"/>
  <c r="J17" i="8" s="1"/>
  <c r="H14" i="8"/>
  <c r="J14" i="8" s="1"/>
  <c r="H49" i="8"/>
  <c r="J49" i="8" s="1"/>
  <c r="H58" i="8"/>
  <c r="J58" i="8" s="1"/>
  <c r="H54" i="8"/>
  <c r="J54" i="8" s="1"/>
  <c r="H50" i="8"/>
  <c r="J50" i="8" s="1"/>
  <c r="H9" i="2"/>
  <c r="J9" i="2" s="1"/>
  <c r="D9" i="2"/>
  <c r="H29" i="2"/>
  <c r="J29" i="2" s="1"/>
  <c r="D29" i="2"/>
  <c r="H14" i="2"/>
  <c r="J14" i="2" s="1"/>
  <c r="D14" i="2"/>
  <c r="H56" i="2"/>
  <c r="J56" i="2" s="1"/>
  <c r="D56" i="2"/>
  <c r="H13" i="2"/>
  <c r="J13" i="2" s="1"/>
  <c r="D13" i="2"/>
  <c r="H28" i="2"/>
  <c r="J28" i="2" s="1"/>
  <c r="D28" i="2"/>
  <c r="H20" i="2"/>
  <c r="J20" i="2" s="1"/>
  <c r="D20" i="2"/>
  <c r="H59" i="2"/>
  <c r="J59" i="2" s="1"/>
  <c r="D59" i="2"/>
  <c r="H8" i="2"/>
  <c r="J8" i="2" s="1"/>
  <c r="D8" i="2"/>
  <c r="H39" i="2"/>
  <c r="J39" i="2" s="1"/>
  <c r="D39" i="2"/>
  <c r="H35" i="2"/>
  <c r="J35" i="2" s="1"/>
  <c r="D35" i="2"/>
  <c r="H31" i="2"/>
  <c r="J31" i="2" s="1"/>
  <c r="D31" i="2"/>
  <c r="H27" i="2"/>
  <c r="J27" i="2" s="1"/>
  <c r="D27" i="2"/>
  <c r="H23" i="2"/>
  <c r="J23" i="2" s="1"/>
  <c r="D23" i="2"/>
  <c r="H19" i="2"/>
  <c r="J19" i="2" s="1"/>
  <c r="D19" i="2"/>
  <c r="H48" i="2"/>
  <c r="J48" i="2" s="1"/>
  <c r="D48" i="2"/>
  <c r="H42" i="2"/>
  <c r="J42" i="2" s="1"/>
  <c r="D42" i="2"/>
  <c r="H49" i="2"/>
  <c r="J49" i="2" s="1"/>
  <c r="D49" i="2"/>
  <c r="H62" i="2"/>
  <c r="J62" i="2" s="1"/>
  <c r="D62" i="2"/>
  <c r="H58" i="2"/>
  <c r="J58" i="2" s="1"/>
  <c r="D58" i="2"/>
  <c r="H54" i="2"/>
  <c r="J54" i="2" s="1"/>
  <c r="D54" i="2"/>
  <c r="H50" i="2"/>
  <c r="J50" i="2" s="1"/>
  <c r="D50" i="2"/>
  <c r="H8" i="26"/>
  <c r="J8" i="26" s="1"/>
  <c r="D8" i="26"/>
  <c r="H27" i="26"/>
  <c r="H19" i="26"/>
  <c r="H48" i="26"/>
  <c r="J48" i="26" s="1"/>
  <c r="D48" i="26"/>
  <c r="H59" i="26"/>
  <c r="J59" i="26" s="1"/>
  <c r="H8" i="8"/>
  <c r="J8" i="8" s="1"/>
  <c r="D8" i="8"/>
  <c r="H32" i="8"/>
  <c r="J32" i="8" s="1"/>
  <c r="H28" i="8"/>
  <c r="J28" i="8" s="1"/>
  <c r="H24" i="8"/>
  <c r="J24" i="8" s="1"/>
  <c r="H65" i="8"/>
  <c r="J65" i="8" s="1"/>
  <c r="H57" i="8"/>
  <c r="J57" i="8" s="1"/>
  <c r="H66" i="8"/>
  <c r="J66" i="8" s="1"/>
  <c r="H33" i="2"/>
  <c r="J33" i="2" s="1"/>
  <c r="D33" i="2"/>
  <c r="H17" i="2"/>
  <c r="J17" i="2" s="1"/>
  <c r="D17" i="2"/>
  <c r="H44" i="2"/>
  <c r="J44" i="2" s="1"/>
  <c r="D44" i="2"/>
  <c r="H60" i="2"/>
  <c r="J60" i="2" s="1"/>
  <c r="D60" i="2"/>
  <c r="H36" i="2"/>
  <c r="J36" i="2" s="1"/>
  <c r="D36" i="2"/>
  <c r="H24" i="2"/>
  <c r="J24" i="2" s="1"/>
  <c r="D24" i="2"/>
  <c r="H16" i="2"/>
  <c r="J16" i="2" s="1"/>
  <c r="D16" i="2"/>
  <c r="H63" i="2"/>
  <c r="J63" i="2" s="1"/>
  <c r="D63" i="2"/>
  <c r="H55" i="2"/>
  <c r="J55" i="2" s="1"/>
  <c r="D55" i="2"/>
  <c r="H51" i="2"/>
  <c r="J51" i="2" s="1"/>
  <c r="D51" i="2"/>
  <c r="H10" i="2"/>
  <c r="J10" i="2" s="1"/>
  <c r="D10" i="2"/>
  <c r="H38" i="2"/>
  <c r="J38" i="2" s="1"/>
  <c r="D38" i="2"/>
  <c r="H34" i="2"/>
  <c r="J34" i="2" s="1"/>
  <c r="D34" i="2"/>
  <c r="H30" i="2"/>
  <c r="J30" i="2" s="1"/>
  <c r="D30" i="2"/>
  <c r="H26" i="2"/>
  <c r="J26" i="2" s="1"/>
  <c r="D26" i="2"/>
  <c r="H22" i="2"/>
  <c r="J22" i="2" s="1"/>
  <c r="D22" i="2"/>
  <c r="H18" i="2"/>
  <c r="J18" i="2" s="1"/>
  <c r="D18" i="2"/>
  <c r="H15" i="2"/>
  <c r="J15" i="2" s="1"/>
  <c r="D15" i="2"/>
  <c r="H65" i="2"/>
  <c r="J65" i="2" s="1"/>
  <c r="D65" i="2"/>
  <c r="H61" i="2"/>
  <c r="J61" i="2" s="1"/>
  <c r="D61" i="2"/>
  <c r="H57" i="2"/>
  <c r="J57" i="2" s="1"/>
  <c r="D57" i="2"/>
  <c r="H53" i="2"/>
  <c r="J53" i="2" s="1"/>
  <c r="D53" i="2"/>
  <c r="H15" i="26"/>
  <c r="J15" i="26" s="1"/>
  <c r="H58" i="26"/>
  <c r="J58" i="26" s="1"/>
  <c r="H54" i="26"/>
  <c r="J54" i="26" s="1"/>
  <c r="H48" i="8"/>
  <c r="J48" i="8" s="1"/>
  <c r="D48" i="8"/>
  <c r="H64" i="8"/>
  <c r="J64" i="8" s="1"/>
  <c r="H56" i="8"/>
  <c r="J56" i="8" s="1"/>
  <c r="H68" i="8"/>
  <c r="J68" i="8" s="1"/>
  <c r="E47" i="2"/>
  <c r="G47" i="2" s="1"/>
  <c r="B47" i="26"/>
  <c r="B47" i="8"/>
  <c r="E47" i="8"/>
  <c r="G47" i="8" s="1"/>
  <c r="B47" i="2"/>
  <c r="E47" i="26"/>
  <c r="G47" i="26" s="1"/>
  <c r="D68" i="8"/>
  <c r="H65" i="26"/>
  <c r="J65" i="26" s="1"/>
  <c r="B27" i="20"/>
  <c r="D27" i="20" s="1"/>
  <c r="H47" i="2" l="1"/>
  <c r="J47" i="2" s="1"/>
  <c r="D47" i="2"/>
  <c r="H47" i="8"/>
  <c r="J47" i="8" s="1"/>
  <c r="D47" i="8"/>
  <c r="H47" i="26"/>
  <c r="J47" i="26" s="1"/>
  <c r="D47" i="26"/>
  <c r="H70" i="26"/>
  <c r="E7" i="26"/>
  <c r="I70" i="26"/>
  <c r="G70" i="26"/>
  <c r="D70" i="26"/>
  <c r="F41" i="26"/>
  <c r="G41" i="26" s="1"/>
  <c r="C41" i="26"/>
  <c r="F12" i="26"/>
  <c r="F7" i="26"/>
  <c r="G7" i="26" s="1"/>
  <c r="C7" i="26"/>
  <c r="C64" i="26" l="1"/>
  <c r="I7" i="26"/>
  <c r="I41" i="26"/>
  <c r="J41" i="26" s="1"/>
  <c r="D41" i="26"/>
  <c r="I12" i="26"/>
  <c r="F64" i="26"/>
  <c r="B41" i="26"/>
  <c r="B12" i="26"/>
  <c r="D12" i="26" s="1"/>
  <c r="J70" i="26"/>
  <c r="B7" i="26"/>
  <c r="H7" i="26" s="1"/>
  <c r="E12" i="26"/>
  <c r="G12" i="26" s="1"/>
  <c r="E41" i="26"/>
  <c r="E63" i="20"/>
  <c r="E60" i="20"/>
  <c r="E58" i="20"/>
  <c r="E55" i="20"/>
  <c r="E52" i="20"/>
  <c r="E50" i="20"/>
  <c r="E48" i="20"/>
  <c r="G48" i="20" s="1"/>
  <c r="E45" i="20"/>
  <c r="E42" i="20"/>
  <c r="E39" i="20"/>
  <c r="E37" i="20"/>
  <c r="E35" i="20"/>
  <c r="E32" i="20"/>
  <c r="E29" i="20"/>
  <c r="E27" i="20"/>
  <c r="G27" i="20" s="1"/>
  <c r="E24" i="20"/>
  <c r="E22" i="20"/>
  <c r="E19" i="20"/>
  <c r="E16" i="20"/>
  <c r="E13" i="20"/>
  <c r="E10" i="20"/>
  <c r="E7" i="20"/>
  <c r="B63" i="20"/>
  <c r="B60" i="20"/>
  <c r="B58" i="20"/>
  <c r="B55" i="20"/>
  <c r="B52" i="20"/>
  <c r="B50" i="20"/>
  <c r="B48" i="20"/>
  <c r="D48" i="20" s="1"/>
  <c r="B45" i="20"/>
  <c r="B42" i="20"/>
  <c r="B39" i="20"/>
  <c r="B37" i="20"/>
  <c r="B35" i="20"/>
  <c r="B32" i="20"/>
  <c r="B29" i="20"/>
  <c r="B24" i="20"/>
  <c r="B22" i="20"/>
  <c r="B19" i="20"/>
  <c r="B16" i="20"/>
  <c r="B13" i="20"/>
  <c r="B10" i="20"/>
  <c r="B7" i="20"/>
  <c r="E58" i="19"/>
  <c r="E55" i="19"/>
  <c r="E52" i="19"/>
  <c r="E50" i="19"/>
  <c r="E48" i="19"/>
  <c r="G48" i="19" s="1"/>
  <c r="E45" i="19"/>
  <c r="E42" i="19"/>
  <c r="E39" i="19"/>
  <c r="E37" i="19"/>
  <c r="E35" i="19"/>
  <c r="E32" i="19"/>
  <c r="E27" i="19"/>
  <c r="G27" i="19" s="1"/>
  <c r="E29" i="19"/>
  <c r="E24" i="19"/>
  <c r="E22" i="19"/>
  <c r="E19" i="19"/>
  <c r="E16" i="19"/>
  <c r="E13" i="19"/>
  <c r="E10" i="19"/>
  <c r="E7" i="19"/>
  <c r="B60" i="19"/>
  <c r="B58" i="19"/>
  <c r="B55" i="19"/>
  <c r="B52" i="19"/>
  <c r="B50" i="19"/>
  <c r="B48" i="19"/>
  <c r="D48" i="19" s="1"/>
  <c r="B45" i="19"/>
  <c r="B42" i="19"/>
  <c r="B39" i="19"/>
  <c r="B37" i="19"/>
  <c r="B35" i="19"/>
  <c r="B32" i="19"/>
  <c r="B29" i="19"/>
  <c r="B27" i="19"/>
  <c r="D27" i="19" s="1"/>
  <c r="B24" i="19"/>
  <c r="B22" i="19"/>
  <c r="B19" i="19"/>
  <c r="B16" i="19"/>
  <c r="B13" i="19"/>
  <c r="B10" i="19"/>
  <c r="B7" i="19"/>
  <c r="H41" i="26" l="1"/>
  <c r="I64" i="26"/>
  <c r="D7" i="26"/>
  <c r="H12" i="26"/>
  <c r="J12" i="26" s="1"/>
  <c r="J7" i="26"/>
  <c r="B64" i="26"/>
  <c r="E64" i="26"/>
  <c r="G64" i="26" s="1"/>
  <c r="D67" i="17"/>
  <c r="H64" i="26" l="1"/>
  <c r="J64" i="26" s="1"/>
  <c r="D64" i="26"/>
  <c r="H45" i="14"/>
  <c r="H46" i="14"/>
  <c r="H43" i="14"/>
  <c r="H44" i="14"/>
  <c r="H14" i="14"/>
  <c r="H15" i="14"/>
  <c r="H16" i="14"/>
  <c r="H49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9" i="14"/>
  <c r="H10" i="14"/>
  <c r="H11" i="14"/>
  <c r="F64" i="14"/>
  <c r="F43" i="14"/>
  <c r="F14" i="14"/>
  <c r="F49" i="14"/>
  <c r="F9" i="14"/>
  <c r="H10" i="9" l="1"/>
  <c r="D59" i="7" l="1"/>
  <c r="D56" i="7"/>
  <c r="D33" i="3" l="1"/>
  <c r="D21" i="3"/>
  <c r="F42" i="10" l="1"/>
  <c r="C11" i="9"/>
  <c r="C14" i="9" s="1"/>
  <c r="C65" i="19" l="1"/>
  <c r="D22" i="5" l="1"/>
  <c r="D17" i="5"/>
  <c r="D9" i="5"/>
  <c r="M64" i="18" l="1"/>
  <c r="M61" i="18"/>
  <c r="M59" i="18"/>
  <c r="M56" i="18"/>
  <c r="M53" i="18"/>
  <c r="M51" i="18"/>
  <c r="M49" i="18"/>
  <c r="M46" i="18"/>
  <c r="M43" i="18"/>
  <c r="M40" i="18"/>
  <c r="M38" i="18"/>
  <c r="M36" i="18"/>
  <c r="M33" i="18"/>
  <c r="M30" i="18"/>
  <c r="M28" i="18"/>
  <c r="M24" i="18"/>
  <c r="M22" i="18"/>
  <c r="M19" i="18"/>
  <c r="M16" i="18"/>
  <c r="M13" i="18"/>
  <c r="M10" i="18"/>
  <c r="M7" i="18"/>
  <c r="L65" i="18"/>
  <c r="L64" i="18"/>
  <c r="L62" i="18"/>
  <c r="L61" i="18"/>
  <c r="L59" i="18"/>
  <c r="L56" i="18"/>
  <c r="L53" i="18"/>
  <c r="L51" i="18"/>
  <c r="L49" i="18"/>
  <c r="L46" i="18"/>
  <c r="L43" i="18"/>
  <c r="L40" i="18"/>
  <c r="L38" i="18"/>
  <c r="L36" i="18"/>
  <c r="L33" i="18"/>
  <c r="L30" i="18"/>
  <c r="L28" i="18"/>
  <c r="L24" i="18"/>
  <c r="L22" i="18"/>
  <c r="L20" i="18"/>
  <c r="L19" i="18"/>
  <c r="L17" i="18"/>
  <c r="L16" i="18"/>
  <c r="L13" i="18"/>
  <c r="L11" i="18"/>
  <c r="L10" i="18"/>
  <c r="L8" i="18"/>
  <c r="L7" i="18"/>
  <c r="G64" i="18"/>
  <c r="G61" i="18"/>
  <c r="G59" i="18"/>
  <c r="G56" i="18"/>
  <c r="G53" i="18"/>
  <c r="G51" i="18"/>
  <c r="G49" i="18"/>
  <c r="G46" i="18"/>
  <c r="G43" i="18"/>
  <c r="G40" i="18"/>
  <c r="G38" i="18"/>
  <c r="G36" i="18"/>
  <c r="G33" i="18"/>
  <c r="G30" i="18"/>
  <c r="G28" i="18"/>
  <c r="G24" i="18"/>
  <c r="G22" i="18"/>
  <c r="G19" i="18"/>
  <c r="G16" i="18"/>
  <c r="G13" i="18"/>
  <c r="G10" i="18"/>
  <c r="G7" i="18"/>
  <c r="F36" i="18"/>
  <c r="F65" i="18"/>
  <c r="F64" i="18"/>
  <c r="F62" i="18"/>
  <c r="F61" i="18"/>
  <c r="F59" i="18"/>
  <c r="F56" i="18"/>
  <c r="F53" i="18"/>
  <c r="F51" i="18"/>
  <c r="F49" i="18"/>
  <c r="F46" i="18"/>
  <c r="F43" i="18"/>
  <c r="F40" i="18"/>
  <c r="F38" i="18"/>
  <c r="F33" i="18"/>
  <c r="F30" i="18"/>
  <c r="F28" i="18"/>
  <c r="F24" i="18"/>
  <c r="F22" i="18"/>
  <c r="F20" i="18"/>
  <c r="F19" i="18"/>
  <c r="F17" i="18"/>
  <c r="F16" i="18"/>
  <c r="F13" i="18"/>
  <c r="F11" i="18"/>
  <c r="F10" i="18"/>
  <c r="F8" i="18"/>
  <c r="F7" i="18"/>
  <c r="G64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50" i="15"/>
  <c r="G45" i="15"/>
  <c r="G46" i="15"/>
  <c r="G47" i="15"/>
  <c r="G4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14" i="15"/>
  <c r="G10" i="15"/>
  <c r="G11" i="15"/>
  <c r="G9" i="15"/>
  <c r="E64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50" i="15"/>
  <c r="E45" i="15"/>
  <c r="E46" i="15"/>
  <c r="E47" i="15"/>
  <c r="E4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14" i="15"/>
  <c r="E10" i="15"/>
  <c r="E11" i="15"/>
  <c r="E9" i="15"/>
  <c r="G68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49" i="7"/>
  <c r="E68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49" i="7"/>
  <c r="G44" i="7"/>
  <c r="G45" i="7"/>
  <c r="G46" i="7"/>
  <c r="G43" i="7"/>
  <c r="E44" i="7"/>
  <c r="E45" i="7"/>
  <c r="E46" i="7"/>
  <c r="E4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13" i="7"/>
  <c r="G9" i="7"/>
  <c r="G10" i="7"/>
  <c r="G8" i="7"/>
  <c r="E9" i="7"/>
  <c r="E10" i="7"/>
  <c r="E8" i="7"/>
  <c r="I50" i="7" l="1"/>
  <c r="I64" i="7"/>
  <c r="I36" i="15"/>
  <c r="E72" i="5"/>
  <c r="G72" i="5"/>
  <c r="G66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49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13" i="5"/>
  <c r="G9" i="5"/>
  <c r="G10" i="5"/>
  <c r="G8" i="5"/>
  <c r="E66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49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13" i="5"/>
  <c r="E9" i="5"/>
  <c r="E10" i="5"/>
  <c r="E8" i="5"/>
  <c r="G72" i="3"/>
  <c r="G67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49" i="3"/>
  <c r="G44" i="3"/>
  <c r="G45" i="3"/>
  <c r="G46" i="3"/>
  <c r="G4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13" i="3"/>
  <c r="G9" i="3"/>
  <c r="G10" i="3"/>
  <c r="G8" i="3"/>
  <c r="E72" i="3"/>
  <c r="E67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6" i="3"/>
  <c r="E45" i="3"/>
  <c r="E44" i="3"/>
  <c r="E43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0" i="3"/>
  <c r="E9" i="3"/>
  <c r="E8" i="3"/>
  <c r="I21" i="5" l="1"/>
  <c r="F21" i="3"/>
  <c r="H33" i="3"/>
  <c r="I33" i="3"/>
  <c r="I21" i="3"/>
  <c r="F41" i="8"/>
  <c r="C41" i="8"/>
  <c r="G41" i="8" l="1"/>
  <c r="I41" i="8"/>
  <c r="J41" i="8" s="1"/>
  <c r="D41" i="8"/>
  <c r="F65" i="20"/>
  <c r="C65" i="20"/>
  <c r="G63" i="20"/>
  <c r="D63" i="20"/>
  <c r="G60" i="20"/>
  <c r="D60" i="20"/>
  <c r="G58" i="20"/>
  <c r="D58" i="20"/>
  <c r="G55" i="20"/>
  <c r="D55" i="20"/>
  <c r="G52" i="20"/>
  <c r="D52" i="20"/>
  <c r="G50" i="20"/>
  <c r="D50" i="20"/>
  <c r="G45" i="20"/>
  <c r="D45" i="20"/>
  <c r="G42" i="20"/>
  <c r="D42" i="20"/>
  <c r="G39" i="20"/>
  <c r="D39" i="20"/>
  <c r="G37" i="20"/>
  <c r="D37" i="20"/>
  <c r="G35" i="20"/>
  <c r="D35" i="20"/>
  <c r="G32" i="20"/>
  <c r="D32" i="20"/>
  <c r="G29" i="20"/>
  <c r="D29" i="20"/>
  <c r="G24" i="20"/>
  <c r="D24" i="20"/>
  <c r="G22" i="20"/>
  <c r="D22" i="20"/>
  <c r="G19" i="20"/>
  <c r="D19" i="20"/>
  <c r="G16" i="20"/>
  <c r="D16" i="20"/>
  <c r="D13" i="20"/>
  <c r="G10" i="20"/>
  <c r="G7" i="20"/>
  <c r="D7" i="20"/>
  <c r="F65" i="19"/>
  <c r="G63" i="19"/>
  <c r="D63" i="19"/>
  <c r="G60" i="19"/>
  <c r="D60" i="19"/>
  <c r="G58" i="19"/>
  <c r="D58" i="19"/>
  <c r="G55" i="19"/>
  <c r="D55" i="19"/>
  <c r="G52" i="19"/>
  <c r="D52" i="19"/>
  <c r="G50" i="19"/>
  <c r="D50" i="19"/>
  <c r="G45" i="19"/>
  <c r="D45" i="19"/>
  <c r="G42" i="19"/>
  <c r="D42" i="19"/>
  <c r="G39" i="19"/>
  <c r="D39" i="19"/>
  <c r="G37" i="19"/>
  <c r="D37" i="19"/>
  <c r="G35" i="19"/>
  <c r="D35" i="19"/>
  <c r="G32" i="19"/>
  <c r="D32" i="19"/>
  <c r="G29" i="19"/>
  <c r="D29" i="19"/>
  <c r="G24" i="19"/>
  <c r="D24" i="19"/>
  <c r="G22" i="19"/>
  <c r="D22" i="19"/>
  <c r="G19" i="19"/>
  <c r="D19" i="19"/>
  <c r="G16" i="19"/>
  <c r="D16" i="19"/>
  <c r="G13" i="19"/>
  <c r="D13" i="19"/>
  <c r="G10" i="19"/>
  <c r="D10" i="19"/>
  <c r="G7" i="19"/>
  <c r="D7" i="19"/>
  <c r="J67" i="18"/>
  <c r="I67" i="18"/>
  <c r="D67" i="18"/>
  <c r="C67" i="18"/>
  <c r="F14" i="18"/>
  <c r="J67" i="17"/>
  <c r="I67" i="17"/>
  <c r="G64" i="16"/>
  <c r="D64" i="16"/>
  <c r="C42" i="16"/>
  <c r="F13" i="16"/>
  <c r="C13" i="16"/>
  <c r="F8" i="16"/>
  <c r="C8" i="16"/>
  <c r="D64" i="15"/>
  <c r="D62" i="15"/>
  <c r="F61" i="15"/>
  <c r="D61" i="15"/>
  <c r="D59" i="15"/>
  <c r="D58" i="15"/>
  <c r="D57" i="15"/>
  <c r="D56" i="15"/>
  <c r="D55" i="15"/>
  <c r="D54" i="15"/>
  <c r="H53" i="15"/>
  <c r="D53" i="15"/>
  <c r="D52" i="15"/>
  <c r="D50" i="15"/>
  <c r="C49" i="15"/>
  <c r="B49" i="15"/>
  <c r="D46" i="15"/>
  <c r="D45" i="15"/>
  <c r="D44" i="15"/>
  <c r="C43" i="15"/>
  <c r="B43" i="15"/>
  <c r="D33" i="15"/>
  <c r="D30" i="15"/>
  <c r="D29" i="15"/>
  <c r="D28" i="15"/>
  <c r="D27" i="15"/>
  <c r="D26" i="15"/>
  <c r="D25" i="15"/>
  <c r="D22" i="15"/>
  <c r="D21" i="15"/>
  <c r="D20" i="15"/>
  <c r="D19" i="15"/>
  <c r="H18" i="15"/>
  <c r="D18" i="15"/>
  <c r="D17" i="15"/>
  <c r="D16" i="15"/>
  <c r="D15" i="15"/>
  <c r="D14" i="15"/>
  <c r="C13" i="15"/>
  <c r="B13" i="15"/>
  <c r="D11" i="15"/>
  <c r="D10" i="15"/>
  <c r="D9" i="15"/>
  <c r="C8" i="15"/>
  <c r="B8" i="15"/>
  <c r="C42" i="14"/>
  <c r="B42" i="14"/>
  <c r="C13" i="14"/>
  <c r="B13" i="14"/>
  <c r="C8" i="14"/>
  <c r="B8" i="14"/>
  <c r="E20" i="13"/>
  <c r="J13" i="13"/>
  <c r="E13" i="13"/>
  <c r="D11" i="13"/>
  <c r="J10" i="13"/>
  <c r="J9" i="13"/>
  <c r="J8" i="13"/>
  <c r="J7" i="13"/>
  <c r="J6" i="13"/>
  <c r="H6" i="13"/>
  <c r="J5" i="13"/>
  <c r="G42" i="12"/>
  <c r="F42" i="12"/>
  <c r="D42" i="12"/>
  <c r="C42" i="12"/>
  <c r="G11" i="12"/>
  <c r="G14" i="12" s="1"/>
  <c r="F11" i="12"/>
  <c r="F14" i="12" s="1"/>
  <c r="C11" i="12"/>
  <c r="C14" i="12" s="1"/>
  <c r="G42" i="11"/>
  <c r="D42" i="11"/>
  <c r="G11" i="11"/>
  <c r="D11" i="11"/>
  <c r="G42" i="10"/>
  <c r="D42" i="10"/>
  <c r="C42" i="10"/>
  <c r="F11" i="10"/>
  <c r="F14" i="10" s="1"/>
  <c r="C11" i="10"/>
  <c r="C14" i="10" s="1"/>
  <c r="G42" i="9"/>
  <c r="D42" i="9"/>
  <c r="H41" i="9"/>
  <c r="E41" i="9"/>
  <c r="H40" i="9"/>
  <c r="E40" i="9"/>
  <c r="H39" i="9"/>
  <c r="E39" i="9"/>
  <c r="H38" i="9"/>
  <c r="E38" i="9"/>
  <c r="H37" i="9"/>
  <c r="E37" i="9"/>
  <c r="H36" i="9"/>
  <c r="E36" i="9"/>
  <c r="H35" i="9"/>
  <c r="E35" i="9"/>
  <c r="H34" i="9"/>
  <c r="E34" i="9"/>
  <c r="H33" i="9"/>
  <c r="E33" i="9"/>
  <c r="H32" i="9"/>
  <c r="E32" i="9"/>
  <c r="H31" i="9"/>
  <c r="E31" i="9"/>
  <c r="H30" i="9"/>
  <c r="E30" i="9"/>
  <c r="H29" i="9"/>
  <c r="E29" i="9"/>
  <c r="H28" i="9"/>
  <c r="E28" i="9"/>
  <c r="H27" i="9"/>
  <c r="E27" i="9"/>
  <c r="H26" i="9"/>
  <c r="E26" i="9"/>
  <c r="H25" i="9"/>
  <c r="E25" i="9"/>
  <c r="H24" i="9"/>
  <c r="E24" i="9"/>
  <c r="H23" i="9"/>
  <c r="E23" i="9"/>
  <c r="H22" i="9"/>
  <c r="E22" i="9"/>
  <c r="H21" i="9"/>
  <c r="H20" i="9"/>
  <c r="J13" i="9"/>
  <c r="H13" i="9"/>
  <c r="E13" i="9"/>
  <c r="G11" i="9"/>
  <c r="I14" i="9"/>
  <c r="D11" i="9"/>
  <c r="D14" i="9" s="1"/>
  <c r="E10" i="9"/>
  <c r="H9" i="9"/>
  <c r="E9" i="9"/>
  <c r="H8" i="9"/>
  <c r="E8" i="9"/>
  <c r="E7" i="9"/>
  <c r="H6" i="9"/>
  <c r="E6" i="9"/>
  <c r="J5" i="9"/>
  <c r="H5" i="9"/>
  <c r="E5" i="9"/>
  <c r="F12" i="8"/>
  <c r="C12" i="8"/>
  <c r="C67" i="8" s="1"/>
  <c r="F7" i="8"/>
  <c r="C7" i="8"/>
  <c r="F68" i="7"/>
  <c r="D68" i="7"/>
  <c r="D58" i="7"/>
  <c r="D57" i="7"/>
  <c r="I56" i="7"/>
  <c r="D54" i="7"/>
  <c r="F51" i="7"/>
  <c r="D49" i="7"/>
  <c r="C48" i="7"/>
  <c r="B48" i="7"/>
  <c r="F45" i="7"/>
  <c r="D45" i="7"/>
  <c r="C42" i="7"/>
  <c r="B42" i="7"/>
  <c r="F33" i="7"/>
  <c r="F30" i="7"/>
  <c r="F27" i="7"/>
  <c r="F24" i="7"/>
  <c r="F21" i="7"/>
  <c r="F18" i="7"/>
  <c r="F15" i="7"/>
  <c r="D15" i="7"/>
  <c r="D14" i="7"/>
  <c r="F13" i="7"/>
  <c r="D13" i="7"/>
  <c r="C12" i="7"/>
  <c r="B12" i="7"/>
  <c r="D8" i="7"/>
  <c r="C7" i="7"/>
  <c r="B7" i="7"/>
  <c r="C41" i="6"/>
  <c r="B41" i="6"/>
  <c r="D41" i="6" s="1"/>
  <c r="C12" i="6"/>
  <c r="B12" i="6"/>
  <c r="C7" i="6"/>
  <c r="B7" i="6"/>
  <c r="D7" i="6" s="1"/>
  <c r="D72" i="5"/>
  <c r="F66" i="5"/>
  <c r="D66" i="5"/>
  <c r="D61" i="5"/>
  <c r="D59" i="5"/>
  <c r="D58" i="5"/>
  <c r="D57" i="5"/>
  <c r="D49" i="5"/>
  <c r="C48" i="5"/>
  <c r="B48" i="5"/>
  <c r="G46" i="5"/>
  <c r="E46" i="5"/>
  <c r="G45" i="5"/>
  <c r="E45" i="5"/>
  <c r="G44" i="5"/>
  <c r="E44" i="5"/>
  <c r="G43" i="5"/>
  <c r="E43" i="5"/>
  <c r="D43" i="5"/>
  <c r="C42" i="5"/>
  <c r="B42" i="5"/>
  <c r="D18" i="5"/>
  <c r="F16" i="5"/>
  <c r="D16" i="5"/>
  <c r="D14" i="5"/>
  <c r="C12" i="5"/>
  <c r="B12" i="5"/>
  <c r="F10" i="5"/>
  <c r="D8" i="5"/>
  <c r="C7" i="5"/>
  <c r="B7" i="5"/>
  <c r="C41" i="4"/>
  <c r="C12" i="4"/>
  <c r="B12" i="4"/>
  <c r="C7" i="4"/>
  <c r="B7" i="4"/>
  <c r="D72" i="3"/>
  <c r="D67" i="3"/>
  <c r="D65" i="3"/>
  <c r="F64" i="3"/>
  <c r="D64" i="3"/>
  <c r="D63" i="3"/>
  <c r="F62" i="3"/>
  <c r="D62" i="3"/>
  <c r="D61" i="3"/>
  <c r="F60" i="3"/>
  <c r="D60" i="3"/>
  <c r="D59" i="3"/>
  <c r="F58" i="3"/>
  <c r="D58" i="3"/>
  <c r="D57" i="3"/>
  <c r="F56" i="3"/>
  <c r="D56" i="3"/>
  <c r="D55" i="3"/>
  <c r="F54" i="3"/>
  <c r="D54" i="3"/>
  <c r="D53" i="3"/>
  <c r="F52" i="3"/>
  <c r="D52" i="3"/>
  <c r="D51" i="3"/>
  <c r="F50" i="3"/>
  <c r="D50" i="3"/>
  <c r="D49" i="3"/>
  <c r="C48" i="3"/>
  <c r="B48" i="3"/>
  <c r="F45" i="3"/>
  <c r="D45" i="3"/>
  <c r="F44" i="3"/>
  <c r="D44" i="3"/>
  <c r="F43" i="3"/>
  <c r="D43" i="3"/>
  <c r="C42" i="3"/>
  <c r="B42" i="3"/>
  <c r="D40" i="3"/>
  <c r="D39" i="3"/>
  <c r="D38" i="3"/>
  <c r="F37" i="3"/>
  <c r="D37" i="3"/>
  <c r="D36" i="3"/>
  <c r="D35" i="3"/>
  <c r="D34" i="3"/>
  <c r="D32" i="3"/>
  <c r="D31" i="3"/>
  <c r="D30" i="3"/>
  <c r="D29" i="3"/>
  <c r="D28" i="3"/>
  <c r="F27" i="3"/>
  <c r="D27" i="3"/>
  <c r="D26" i="3"/>
  <c r="D25" i="3"/>
  <c r="D24" i="3"/>
  <c r="F23" i="3"/>
  <c r="D22" i="3"/>
  <c r="F20" i="3"/>
  <c r="D20" i="3"/>
  <c r="D19" i="3"/>
  <c r="F18" i="3"/>
  <c r="D18" i="3"/>
  <c r="D17" i="3"/>
  <c r="F16" i="3"/>
  <c r="D16" i="3"/>
  <c r="D15" i="3"/>
  <c r="F14" i="3"/>
  <c r="D14" i="3"/>
  <c r="D13" i="3"/>
  <c r="C12" i="3"/>
  <c r="B12" i="3"/>
  <c r="H10" i="3"/>
  <c r="D10" i="3"/>
  <c r="D9" i="3"/>
  <c r="D8" i="3"/>
  <c r="C7" i="3"/>
  <c r="B7" i="3"/>
  <c r="G72" i="2"/>
  <c r="G67" i="2"/>
  <c r="F41" i="2"/>
  <c r="F12" i="2"/>
  <c r="C7" i="2"/>
  <c r="F67" i="1"/>
  <c r="D67" i="1"/>
  <c r="F56" i="1"/>
  <c r="C41" i="1"/>
  <c r="B41" i="1"/>
  <c r="F22" i="1"/>
  <c r="C7" i="1"/>
  <c r="C66" i="1" s="1"/>
  <c r="B7" i="1"/>
  <c r="F67" i="8" l="1"/>
  <c r="C63" i="16"/>
  <c r="J11" i="11"/>
  <c r="G14" i="11"/>
  <c r="D42" i="14"/>
  <c r="D7" i="1"/>
  <c r="D7" i="4"/>
  <c r="D12" i="6"/>
  <c r="D8" i="14"/>
  <c r="D12" i="1"/>
  <c r="D12" i="4"/>
  <c r="D13" i="14"/>
  <c r="D41" i="1"/>
  <c r="I13" i="16"/>
  <c r="I7" i="8"/>
  <c r="I12" i="8"/>
  <c r="I8" i="16"/>
  <c r="I42" i="16"/>
  <c r="B66" i="1"/>
  <c r="B63" i="14"/>
  <c r="B67" i="6"/>
  <c r="B64" i="4"/>
  <c r="D13" i="15"/>
  <c r="H42" i="9"/>
  <c r="D42" i="7"/>
  <c r="D42" i="5"/>
  <c r="D42" i="3"/>
  <c r="D48" i="3"/>
  <c r="B66" i="3"/>
  <c r="F67" i="18"/>
  <c r="D8" i="15"/>
  <c r="C63" i="15"/>
  <c r="B63" i="15"/>
  <c r="D43" i="15"/>
  <c r="J11" i="13"/>
  <c r="J11" i="9"/>
  <c r="D12" i="7"/>
  <c r="D7" i="7"/>
  <c r="D12" i="3"/>
  <c r="F63" i="16"/>
  <c r="C63" i="14"/>
  <c r="E42" i="9"/>
  <c r="E11" i="9"/>
  <c r="F36" i="7"/>
  <c r="F39" i="7"/>
  <c r="H59" i="7"/>
  <c r="H62" i="7"/>
  <c r="D48" i="7"/>
  <c r="I54" i="7"/>
  <c r="B67" i="7"/>
  <c r="C67" i="7"/>
  <c r="C67" i="6"/>
  <c r="C64" i="4"/>
  <c r="D48" i="5"/>
  <c r="C65" i="5"/>
  <c r="I43" i="5"/>
  <c r="D7" i="5"/>
  <c r="B65" i="5"/>
  <c r="F17" i="3"/>
  <c r="F34" i="3"/>
  <c r="F36" i="3"/>
  <c r="F38" i="3"/>
  <c r="F40" i="3"/>
  <c r="F26" i="3"/>
  <c r="F32" i="3"/>
  <c r="H36" i="3"/>
  <c r="F49" i="3"/>
  <c r="F51" i="3"/>
  <c r="F53" i="3"/>
  <c r="F55" i="3"/>
  <c r="F57" i="3"/>
  <c r="F59" i="3"/>
  <c r="F61" i="3"/>
  <c r="F63" i="3"/>
  <c r="F65" i="3"/>
  <c r="H16" i="3"/>
  <c r="H20" i="3"/>
  <c r="C66" i="3"/>
  <c r="I18" i="3"/>
  <c r="H22" i="5"/>
  <c r="H56" i="5"/>
  <c r="I33" i="15"/>
  <c r="I45" i="15"/>
  <c r="I9" i="13"/>
  <c r="K9" i="13" s="1"/>
  <c r="H30" i="5"/>
  <c r="H33" i="5"/>
  <c r="H39" i="5"/>
  <c r="H9" i="1"/>
  <c r="H23" i="3"/>
  <c r="H37" i="3"/>
  <c r="H46" i="3"/>
  <c r="I53" i="3"/>
  <c r="I59" i="3"/>
  <c r="I61" i="3"/>
  <c r="I65" i="3"/>
  <c r="F19" i="5"/>
  <c r="F22" i="5"/>
  <c r="F52" i="5"/>
  <c r="F10" i="7"/>
  <c r="F43" i="7"/>
  <c r="F59" i="7"/>
  <c r="I15" i="3"/>
  <c r="H21" i="3"/>
  <c r="H39" i="3"/>
  <c r="F17" i="5"/>
  <c r="F16" i="7"/>
  <c r="F19" i="7"/>
  <c r="F22" i="7"/>
  <c r="F25" i="7"/>
  <c r="F28" i="7"/>
  <c r="F31" i="7"/>
  <c r="F34" i="7"/>
  <c r="F37" i="7"/>
  <c r="F40" i="7"/>
  <c r="F46" i="7"/>
  <c r="F9" i="15"/>
  <c r="H15" i="3"/>
  <c r="F26" i="5"/>
  <c r="F29" i="5"/>
  <c r="F35" i="5"/>
  <c r="F38" i="5"/>
  <c r="F50" i="5"/>
  <c r="F56" i="5"/>
  <c r="F63" i="5"/>
  <c r="F8" i="7"/>
  <c r="F14" i="7"/>
  <c r="F44" i="7"/>
  <c r="F60" i="7"/>
  <c r="H9" i="13"/>
  <c r="I11" i="15"/>
  <c r="I27" i="15"/>
  <c r="F37" i="15"/>
  <c r="F40" i="15"/>
  <c r="F60" i="15"/>
  <c r="F17" i="7"/>
  <c r="F20" i="7"/>
  <c r="F23" i="7"/>
  <c r="F26" i="7"/>
  <c r="F29" i="7"/>
  <c r="F32" i="7"/>
  <c r="F35" i="7"/>
  <c r="F38" i="7"/>
  <c r="F32" i="15"/>
  <c r="E43" i="15"/>
  <c r="F43" i="15" s="1"/>
  <c r="H8" i="1"/>
  <c r="F13" i="5"/>
  <c r="H22" i="3"/>
  <c r="H38" i="3"/>
  <c r="F21" i="5"/>
  <c r="F24" i="5"/>
  <c r="F27" i="5"/>
  <c r="F33" i="5"/>
  <c r="F36" i="5"/>
  <c r="F45" i="5"/>
  <c r="F61" i="5"/>
  <c r="F9" i="7"/>
  <c r="F56" i="7"/>
  <c r="I46" i="15"/>
  <c r="I14" i="3"/>
  <c r="I58" i="15"/>
  <c r="I13" i="3"/>
  <c r="I20" i="3"/>
  <c r="I35" i="3"/>
  <c r="H54" i="7"/>
  <c r="I26" i="15"/>
  <c r="I49" i="7"/>
  <c r="I57" i="7"/>
  <c r="H65" i="7"/>
  <c r="H25" i="15"/>
  <c r="I9" i="5"/>
  <c r="H28" i="5"/>
  <c r="H53" i="5"/>
  <c r="H66" i="5"/>
  <c r="H10" i="1"/>
  <c r="F30" i="1"/>
  <c r="H57" i="1"/>
  <c r="I36" i="3"/>
  <c r="I40" i="3"/>
  <c r="H7" i="4"/>
  <c r="E7" i="5"/>
  <c r="F7" i="5" s="1"/>
  <c r="H40" i="5"/>
  <c r="H46" i="5"/>
  <c r="I49" i="5"/>
  <c r="H61" i="5"/>
  <c r="H23" i="15"/>
  <c r="H36" i="15"/>
  <c r="I17" i="3"/>
  <c r="I27" i="3"/>
  <c r="H20" i="5"/>
  <c r="H22" i="15"/>
  <c r="F14" i="1"/>
  <c r="F48" i="1"/>
  <c r="F17" i="1"/>
  <c r="F19" i="1"/>
  <c r="H21" i="1"/>
  <c r="F35" i="1"/>
  <c r="I70" i="4"/>
  <c r="I8" i="5"/>
  <c r="H24" i="5"/>
  <c r="H35" i="5"/>
  <c r="H49" i="5"/>
  <c r="I14" i="7"/>
  <c r="F50" i="7"/>
  <c r="F53" i="7"/>
  <c r="F55" i="7"/>
  <c r="F57" i="7"/>
  <c r="I59" i="7"/>
  <c r="F62" i="7"/>
  <c r="F65" i="7"/>
  <c r="H47" i="15"/>
  <c r="I55" i="15"/>
  <c r="F11" i="15"/>
  <c r="H14" i="3"/>
  <c r="I44" i="15"/>
  <c r="F15" i="1"/>
  <c r="F16" i="1"/>
  <c r="F18" i="1"/>
  <c r="F50" i="1"/>
  <c r="B41" i="2"/>
  <c r="H13" i="5"/>
  <c r="H31" i="5"/>
  <c r="H45" i="5"/>
  <c r="H13" i="7"/>
  <c r="I15" i="7"/>
  <c r="F54" i="7"/>
  <c r="I5" i="13"/>
  <c r="K5" i="13" s="1"/>
  <c r="H35" i="15"/>
  <c r="H59" i="15"/>
  <c r="I19" i="3"/>
  <c r="H15" i="5"/>
  <c r="F13" i="1"/>
  <c r="H23" i="1"/>
  <c r="H29" i="1"/>
  <c r="F55" i="1"/>
  <c r="F57" i="1"/>
  <c r="H10" i="5"/>
  <c r="I18" i="5"/>
  <c r="H26" i="5"/>
  <c r="H37" i="5"/>
  <c r="H54" i="5"/>
  <c r="H63" i="5"/>
  <c r="H43" i="7"/>
  <c r="F49" i="7"/>
  <c r="F52" i="7"/>
  <c r="F61" i="7"/>
  <c r="F64" i="7"/>
  <c r="H15" i="15"/>
  <c r="I19" i="15"/>
  <c r="I25" i="15"/>
  <c r="I28" i="15"/>
  <c r="H54" i="15"/>
  <c r="H56" i="15"/>
  <c r="F20" i="1"/>
  <c r="F24" i="1"/>
  <c r="F26" i="1"/>
  <c r="F29" i="1"/>
  <c r="F38" i="1"/>
  <c r="H13" i="3"/>
  <c r="H19" i="3"/>
  <c r="I28" i="3"/>
  <c r="I30" i="3"/>
  <c r="H35" i="3"/>
  <c r="I39" i="3"/>
  <c r="I22" i="5"/>
  <c r="I13" i="7"/>
  <c r="D14" i="11"/>
  <c r="I13" i="13"/>
  <c r="K13" i="13" s="1"/>
  <c r="H20" i="15"/>
  <c r="I22" i="15"/>
  <c r="F24" i="15"/>
  <c r="H28" i="15"/>
  <c r="F33" i="15"/>
  <c r="F36" i="15"/>
  <c r="H38" i="15"/>
  <c r="H41" i="15"/>
  <c r="H44" i="15"/>
  <c r="H51" i="15"/>
  <c r="H58" i="15"/>
  <c r="H64" i="15"/>
  <c r="H12" i="1"/>
  <c r="F31" i="1"/>
  <c r="F61" i="1"/>
  <c r="F63" i="1"/>
  <c r="F65" i="1"/>
  <c r="I67" i="2"/>
  <c r="H18" i="3"/>
  <c r="I25" i="3"/>
  <c r="I34" i="3"/>
  <c r="I55" i="3"/>
  <c r="I9" i="15"/>
  <c r="H17" i="15"/>
  <c r="H24" i="15"/>
  <c r="H27" i="15"/>
  <c r="F39" i="15"/>
  <c r="H60" i="15"/>
  <c r="F62" i="15"/>
  <c r="F23" i="1"/>
  <c r="H26" i="1"/>
  <c r="F28" i="1"/>
  <c r="F36" i="1"/>
  <c r="F51" i="1"/>
  <c r="F53" i="1"/>
  <c r="B12" i="2"/>
  <c r="D72" i="2"/>
  <c r="H17" i="3"/>
  <c r="H34" i="3"/>
  <c r="I38" i="3"/>
  <c r="H14" i="15"/>
  <c r="I16" i="15"/>
  <c r="I21" i="15"/>
  <c r="I29" i="15"/>
  <c r="H31" i="15"/>
  <c r="F34" i="15"/>
  <c r="H39" i="15"/>
  <c r="H46" i="15"/>
  <c r="I52" i="15"/>
  <c r="H55" i="15"/>
  <c r="I62" i="15"/>
  <c r="F25" i="1"/>
  <c r="F32" i="1"/>
  <c r="H41" i="1"/>
  <c r="I37" i="3"/>
  <c r="F35" i="3"/>
  <c r="I14" i="5"/>
  <c r="I16" i="5"/>
  <c r="F43" i="5"/>
  <c r="I18" i="15"/>
  <c r="H19" i="15"/>
  <c r="H26" i="15"/>
  <c r="H29" i="15"/>
  <c r="H34" i="15"/>
  <c r="H57" i="15"/>
  <c r="J64" i="16"/>
  <c r="H7" i="1"/>
  <c r="F27" i="1"/>
  <c r="F37" i="1"/>
  <c r="F39" i="1"/>
  <c r="F52" i="1"/>
  <c r="F58" i="1"/>
  <c r="F60" i="1"/>
  <c r="F62" i="1"/>
  <c r="B7" i="2"/>
  <c r="D7" i="2" s="1"/>
  <c r="D67" i="2"/>
  <c r="E7" i="3"/>
  <c r="F7" i="3" s="1"/>
  <c r="I16" i="3"/>
  <c r="I24" i="3"/>
  <c r="I50" i="3"/>
  <c r="I56" i="3"/>
  <c r="I62" i="3"/>
  <c r="I15" i="15"/>
  <c r="H16" i="15"/>
  <c r="H21" i="15"/>
  <c r="H32" i="15"/>
  <c r="H37" i="15"/>
  <c r="H40" i="15"/>
  <c r="H45" i="15"/>
  <c r="H52" i="15"/>
  <c r="I64" i="15"/>
  <c r="H53" i="1"/>
  <c r="H54" i="1"/>
  <c r="H25" i="1"/>
  <c r="H31" i="1"/>
  <c r="H56" i="1"/>
  <c r="F47" i="1"/>
  <c r="H67" i="1"/>
  <c r="C12" i="2"/>
  <c r="I9" i="3"/>
  <c r="H9" i="3"/>
  <c r="F15" i="3"/>
  <c r="F30" i="3"/>
  <c r="I30" i="15"/>
  <c r="H30" i="15"/>
  <c r="H13" i="1"/>
  <c r="H48" i="1"/>
  <c r="H19" i="1"/>
  <c r="H24" i="1"/>
  <c r="I67" i="1"/>
  <c r="F67" i="3"/>
  <c r="F31" i="3"/>
  <c r="F28" i="3"/>
  <c r="F25" i="3"/>
  <c r="H53" i="14"/>
  <c r="E41" i="2"/>
  <c r="G41" i="2" s="1"/>
  <c r="I49" i="3"/>
  <c r="G48" i="3"/>
  <c r="H48" i="3" s="1"/>
  <c r="H14" i="1"/>
  <c r="H15" i="1"/>
  <c r="H16" i="1"/>
  <c r="H17" i="1"/>
  <c r="H18" i="1"/>
  <c r="H30" i="1"/>
  <c r="F42" i="1"/>
  <c r="H55" i="1"/>
  <c r="F13" i="3"/>
  <c r="F19" i="3"/>
  <c r="F24" i="3"/>
  <c r="F29" i="3"/>
  <c r="F39" i="3"/>
  <c r="I43" i="3"/>
  <c r="H40" i="3"/>
  <c r="I45" i="3"/>
  <c r="E48" i="3"/>
  <c r="F48" i="3" s="1"/>
  <c r="I52" i="3"/>
  <c r="I58" i="3"/>
  <c r="I64" i="3"/>
  <c r="H28" i="1"/>
  <c r="H52" i="1"/>
  <c r="I8" i="3"/>
  <c r="G7" i="3"/>
  <c r="H8" i="3"/>
  <c r="H20" i="1"/>
  <c r="H27" i="1"/>
  <c r="F54" i="1"/>
  <c r="I58" i="5"/>
  <c r="F58" i="5"/>
  <c r="F10" i="3"/>
  <c r="I26" i="3"/>
  <c r="I29" i="3"/>
  <c r="I32" i="3"/>
  <c r="F46" i="3"/>
  <c r="I67" i="3"/>
  <c r="F9" i="5"/>
  <c r="I17" i="5"/>
  <c r="F25" i="5"/>
  <c r="H29" i="5"/>
  <c r="F34" i="5"/>
  <c r="H38" i="5"/>
  <c r="H43" i="5"/>
  <c r="F46" i="5"/>
  <c r="H52" i="5"/>
  <c r="F60" i="5"/>
  <c r="H51" i="14"/>
  <c r="H62" i="14"/>
  <c r="F64" i="1"/>
  <c r="I10" i="3"/>
  <c r="F33" i="3"/>
  <c r="I44" i="3"/>
  <c r="I51" i="3"/>
  <c r="I54" i="3"/>
  <c r="I57" i="3"/>
  <c r="I60" i="3"/>
  <c r="I63" i="3"/>
  <c r="H67" i="3"/>
  <c r="H19" i="5"/>
  <c r="F23" i="5"/>
  <c r="H25" i="5"/>
  <c r="H27" i="5"/>
  <c r="F30" i="5"/>
  <c r="F32" i="5"/>
  <c r="H34" i="5"/>
  <c r="H36" i="5"/>
  <c r="F39" i="5"/>
  <c r="F44" i="5"/>
  <c r="H50" i="5"/>
  <c r="F53" i="5"/>
  <c r="F55" i="5"/>
  <c r="I57" i="5"/>
  <c r="H60" i="5"/>
  <c r="F62" i="5"/>
  <c r="I45" i="7"/>
  <c r="H45" i="7"/>
  <c r="I68" i="7"/>
  <c r="H49" i="7"/>
  <c r="H8" i="7"/>
  <c r="H15" i="7"/>
  <c r="H14" i="7"/>
  <c r="I7" i="13"/>
  <c r="K7" i="13" s="1"/>
  <c r="H7" i="13"/>
  <c r="H58" i="1"/>
  <c r="I72" i="2"/>
  <c r="F9" i="3"/>
  <c r="E12" i="3"/>
  <c r="F12" i="3" s="1"/>
  <c r="I31" i="3"/>
  <c r="H9" i="5"/>
  <c r="H14" i="5"/>
  <c r="F18" i="5"/>
  <c r="H23" i="5"/>
  <c r="F28" i="5"/>
  <c r="H32" i="5"/>
  <c r="F37" i="5"/>
  <c r="H44" i="5"/>
  <c r="F51" i="5"/>
  <c r="H55" i="5"/>
  <c r="F57" i="5"/>
  <c r="H62" i="5"/>
  <c r="I72" i="5"/>
  <c r="F58" i="7"/>
  <c r="I58" i="7"/>
  <c r="H61" i="14"/>
  <c r="G8" i="15"/>
  <c r="H8" i="15" s="1"/>
  <c r="E8" i="15"/>
  <c r="F8" i="15" s="1"/>
  <c r="F10" i="15"/>
  <c r="B8" i="16"/>
  <c r="B13" i="16"/>
  <c r="E42" i="16"/>
  <c r="G42" i="16" s="1"/>
  <c r="E12" i="5"/>
  <c r="F12" i="5" s="1"/>
  <c r="I59" i="5"/>
  <c r="I50" i="15"/>
  <c r="H50" i="15"/>
  <c r="F8" i="3"/>
  <c r="I72" i="3"/>
  <c r="F8" i="5"/>
  <c r="F31" i="5"/>
  <c r="F40" i="5"/>
  <c r="F54" i="5"/>
  <c r="F59" i="5"/>
  <c r="I61" i="5"/>
  <c r="H59" i="5"/>
  <c r="H12" i="6"/>
  <c r="H56" i="14"/>
  <c r="H50" i="14"/>
  <c r="H9" i="7"/>
  <c r="H16" i="7"/>
  <c r="H19" i="7"/>
  <c r="H22" i="7"/>
  <c r="H25" i="7"/>
  <c r="H28" i="7"/>
  <c r="H31" i="7"/>
  <c r="H34" i="7"/>
  <c r="H37" i="7"/>
  <c r="H40" i="7"/>
  <c r="H50" i="7"/>
  <c r="H53" i="7"/>
  <c r="H58" i="7"/>
  <c r="F63" i="7"/>
  <c r="F66" i="7"/>
  <c r="E11" i="13"/>
  <c r="I10" i="13"/>
  <c r="K10" i="13" s="1"/>
  <c r="I61" i="15"/>
  <c r="E8" i="16"/>
  <c r="G8" i="16" s="1"/>
  <c r="E13" i="16"/>
  <c r="G13" i="16" s="1"/>
  <c r="G67" i="18"/>
  <c r="H47" i="6"/>
  <c r="H44" i="7"/>
  <c r="H60" i="7"/>
  <c r="H63" i="7"/>
  <c r="H66" i="7"/>
  <c r="B41" i="8"/>
  <c r="H41" i="8" s="1"/>
  <c r="H11" i="11"/>
  <c r="I6" i="13"/>
  <c r="K6" i="13" s="1"/>
  <c r="D14" i="13"/>
  <c r="J14" i="13" s="1"/>
  <c r="H42" i="14"/>
  <c r="H55" i="14"/>
  <c r="H60" i="14"/>
  <c r="I10" i="15"/>
  <c r="I54" i="15"/>
  <c r="I57" i="15"/>
  <c r="H41" i="6"/>
  <c r="H10" i="7"/>
  <c r="H17" i="7"/>
  <c r="H20" i="7"/>
  <c r="H23" i="7"/>
  <c r="H26" i="7"/>
  <c r="H29" i="7"/>
  <c r="H32" i="7"/>
  <c r="H35" i="7"/>
  <c r="H38" i="7"/>
  <c r="H46" i="7"/>
  <c r="H51" i="7"/>
  <c r="H55" i="7"/>
  <c r="H57" i="7"/>
  <c r="B7" i="8"/>
  <c r="D7" i="8" s="1"/>
  <c r="M67" i="18"/>
  <c r="I8" i="7"/>
  <c r="H61" i="7"/>
  <c r="H64" i="7"/>
  <c r="E7" i="8"/>
  <c r="G7" i="8" s="1"/>
  <c r="B12" i="8"/>
  <c r="E41" i="8"/>
  <c r="H5" i="13"/>
  <c r="I8" i="13"/>
  <c r="K8" i="13" s="1"/>
  <c r="H52" i="14"/>
  <c r="H54" i="14"/>
  <c r="E13" i="15"/>
  <c r="F13" i="15" s="1"/>
  <c r="I53" i="15"/>
  <c r="I56" i="15"/>
  <c r="I59" i="15"/>
  <c r="L67" i="18"/>
  <c r="E65" i="20"/>
  <c r="G65" i="20" s="1"/>
  <c r="H18" i="7"/>
  <c r="H21" i="7"/>
  <c r="H24" i="7"/>
  <c r="H27" i="7"/>
  <c r="H30" i="7"/>
  <c r="H33" i="7"/>
  <c r="H36" i="7"/>
  <c r="H39" i="7"/>
  <c r="H52" i="7"/>
  <c r="H56" i="7"/>
  <c r="E12" i="8"/>
  <c r="G12" i="8" s="1"/>
  <c r="I14" i="15"/>
  <c r="I17" i="15"/>
  <c r="I20" i="15"/>
  <c r="B65" i="20"/>
  <c r="D65" i="20" s="1"/>
  <c r="D10" i="20"/>
  <c r="G13" i="20"/>
  <c r="B65" i="19"/>
  <c r="D65" i="19" s="1"/>
  <c r="E65" i="19"/>
  <c r="G65" i="19" s="1"/>
  <c r="B42" i="16"/>
  <c r="H9" i="15"/>
  <c r="H10" i="15"/>
  <c r="H11" i="15"/>
  <c r="F14" i="15"/>
  <c r="F15" i="15"/>
  <c r="F16" i="15"/>
  <c r="F17" i="15"/>
  <c r="F18" i="15"/>
  <c r="F19" i="15"/>
  <c r="F20" i="15"/>
  <c r="F21" i="15"/>
  <c r="F22" i="15"/>
  <c r="H33" i="15"/>
  <c r="D49" i="15"/>
  <c r="F52" i="15"/>
  <c r="F53" i="15"/>
  <c r="F54" i="15"/>
  <c r="F55" i="15"/>
  <c r="F56" i="15"/>
  <c r="F57" i="15"/>
  <c r="F58" i="15"/>
  <c r="F59" i="15"/>
  <c r="H61" i="15"/>
  <c r="H62" i="15"/>
  <c r="F64" i="15"/>
  <c r="F23" i="15"/>
  <c r="G13" i="15"/>
  <c r="F31" i="15"/>
  <c r="F35" i="15"/>
  <c r="F38" i="15"/>
  <c r="F41" i="15"/>
  <c r="F47" i="15"/>
  <c r="E49" i="15"/>
  <c r="F49" i="15" s="1"/>
  <c r="F51" i="15"/>
  <c r="F25" i="15"/>
  <c r="F26" i="15"/>
  <c r="F27" i="15"/>
  <c r="F28" i="15"/>
  <c r="F29" i="15"/>
  <c r="F30" i="15"/>
  <c r="F44" i="15"/>
  <c r="F45" i="15"/>
  <c r="F46" i="15"/>
  <c r="F50" i="15"/>
  <c r="G43" i="15"/>
  <c r="G49" i="15"/>
  <c r="H8" i="14"/>
  <c r="H57" i="14"/>
  <c r="H58" i="14"/>
  <c r="H59" i="14"/>
  <c r="E42" i="13"/>
  <c r="H8" i="13"/>
  <c r="H13" i="13"/>
  <c r="H10" i="13"/>
  <c r="E42" i="11"/>
  <c r="H42" i="11"/>
  <c r="G14" i="9"/>
  <c r="J14" i="9" s="1"/>
  <c r="H11" i="9"/>
  <c r="I11" i="9"/>
  <c r="E14" i="9"/>
  <c r="E7" i="7"/>
  <c r="F7" i="7" s="1"/>
  <c r="G12" i="7"/>
  <c r="G42" i="7"/>
  <c r="E48" i="7"/>
  <c r="G7" i="7"/>
  <c r="G48" i="7"/>
  <c r="H68" i="7"/>
  <c r="E12" i="7"/>
  <c r="F12" i="7" s="1"/>
  <c r="E42" i="7"/>
  <c r="F42" i="7" s="1"/>
  <c r="I41" i="6"/>
  <c r="F47" i="6"/>
  <c r="G7" i="5"/>
  <c r="H8" i="5"/>
  <c r="F15" i="5"/>
  <c r="H17" i="5"/>
  <c r="H18" i="5"/>
  <c r="G42" i="5"/>
  <c r="H51" i="5"/>
  <c r="I66" i="5"/>
  <c r="D12" i="5"/>
  <c r="F14" i="5"/>
  <c r="H16" i="5"/>
  <c r="F20" i="5"/>
  <c r="H21" i="5"/>
  <c r="F49" i="5"/>
  <c r="H57" i="5"/>
  <c r="H58" i="5"/>
  <c r="G12" i="5"/>
  <c r="E42" i="5"/>
  <c r="F42" i="5" s="1"/>
  <c r="I7" i="4"/>
  <c r="G12" i="3"/>
  <c r="I22" i="3"/>
  <c r="E42" i="3"/>
  <c r="D7" i="3"/>
  <c r="G42" i="3"/>
  <c r="F22" i="3"/>
  <c r="H24" i="3"/>
  <c r="H25" i="3"/>
  <c r="H26" i="3"/>
  <c r="H27" i="3"/>
  <c r="H28" i="3"/>
  <c r="H29" i="3"/>
  <c r="H30" i="3"/>
  <c r="H31" i="3"/>
  <c r="H32" i="3"/>
  <c r="H43" i="3"/>
  <c r="H44" i="3"/>
  <c r="H45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E7" i="2"/>
  <c r="E12" i="2"/>
  <c r="G12" i="2" s="1"/>
  <c r="C41" i="2"/>
  <c r="H67" i="2"/>
  <c r="H72" i="2"/>
  <c r="F8" i="1"/>
  <c r="F9" i="1"/>
  <c r="F10" i="1"/>
  <c r="F21" i="1"/>
  <c r="F33" i="1"/>
  <c r="F34" i="1"/>
  <c r="H49" i="1"/>
  <c r="H50" i="1"/>
  <c r="H51" i="1"/>
  <c r="H22" i="1"/>
  <c r="H42" i="1"/>
  <c r="H43" i="1"/>
  <c r="F59" i="1"/>
  <c r="H59" i="1"/>
  <c r="H60" i="1"/>
  <c r="H61" i="1"/>
  <c r="H62" i="1"/>
  <c r="H63" i="1"/>
  <c r="H64" i="1"/>
  <c r="H65" i="1"/>
  <c r="J67" i="2" l="1"/>
  <c r="J14" i="11"/>
  <c r="E14" i="11"/>
  <c r="K11" i="11"/>
  <c r="E11" i="11"/>
  <c r="H42" i="16"/>
  <c r="J42" i="16" s="1"/>
  <c r="H12" i="2"/>
  <c r="H12" i="8"/>
  <c r="H7" i="8"/>
  <c r="J7" i="8" s="1"/>
  <c r="D66" i="1"/>
  <c r="H8" i="16"/>
  <c r="J8" i="16" s="1"/>
  <c r="F7" i="1"/>
  <c r="I7" i="1"/>
  <c r="E64" i="5"/>
  <c r="E48" i="5" s="1"/>
  <c r="F48" i="5" s="1"/>
  <c r="D64" i="4"/>
  <c r="F13" i="14"/>
  <c r="I13" i="14"/>
  <c r="F41" i="1"/>
  <c r="I41" i="1"/>
  <c r="I7" i="6"/>
  <c r="D67" i="6"/>
  <c r="D12" i="8"/>
  <c r="I67" i="8"/>
  <c r="D42" i="16"/>
  <c r="F12" i="1"/>
  <c r="I12" i="1"/>
  <c r="D41" i="2"/>
  <c r="I41" i="2"/>
  <c r="I42" i="14"/>
  <c r="D63" i="14"/>
  <c r="D8" i="16"/>
  <c r="J12" i="8"/>
  <c r="F12" i="6"/>
  <c r="I12" i="6"/>
  <c r="I63" i="16"/>
  <c r="F8" i="14"/>
  <c r="I8" i="14"/>
  <c r="I12" i="4"/>
  <c r="H13" i="16"/>
  <c r="J13" i="16" s="1"/>
  <c r="I12" i="2"/>
  <c r="D12" i="2"/>
  <c r="H7" i="2"/>
  <c r="I41" i="4"/>
  <c r="H41" i="2"/>
  <c r="D13" i="16"/>
  <c r="E67" i="8"/>
  <c r="G67" i="8" s="1"/>
  <c r="G64" i="5"/>
  <c r="G48" i="5" s="1"/>
  <c r="H48" i="5" s="1"/>
  <c r="H41" i="4"/>
  <c r="H13" i="14"/>
  <c r="F42" i="14"/>
  <c r="F7" i="6"/>
  <c r="D63" i="15"/>
  <c r="F41" i="6"/>
  <c r="D66" i="3"/>
  <c r="J72" i="2"/>
  <c r="B66" i="2"/>
  <c r="D67" i="7"/>
  <c r="D65" i="5"/>
  <c r="E14" i="13"/>
  <c r="E66" i="2"/>
  <c r="H14" i="11"/>
  <c r="F48" i="14"/>
  <c r="I48" i="3"/>
  <c r="I8" i="15"/>
  <c r="B67" i="8"/>
  <c r="D67" i="8" s="1"/>
  <c r="C66" i="2"/>
  <c r="H66" i="1"/>
  <c r="H7" i="6"/>
  <c r="I7" i="3"/>
  <c r="H7" i="3"/>
  <c r="B63" i="16"/>
  <c r="I13" i="15"/>
  <c r="H13" i="15"/>
  <c r="E63" i="15"/>
  <c r="F63" i="15" s="1"/>
  <c r="G63" i="15"/>
  <c r="H49" i="15"/>
  <c r="I49" i="15"/>
  <c r="H43" i="15"/>
  <c r="I43" i="15"/>
  <c r="H48" i="14"/>
  <c r="I11" i="13"/>
  <c r="K11" i="13" s="1"/>
  <c r="H11" i="13"/>
  <c r="H14" i="9"/>
  <c r="I42" i="7"/>
  <c r="H42" i="7"/>
  <c r="I12" i="7"/>
  <c r="H12" i="7"/>
  <c r="I48" i="7"/>
  <c r="H48" i="7"/>
  <c r="G67" i="7"/>
  <c r="I7" i="7"/>
  <c r="H7" i="7"/>
  <c r="F48" i="7"/>
  <c r="E67" i="7"/>
  <c r="F67" i="7" s="1"/>
  <c r="I7" i="5"/>
  <c r="H7" i="5"/>
  <c r="I12" i="5"/>
  <c r="H12" i="5"/>
  <c r="I42" i="5"/>
  <c r="H42" i="5"/>
  <c r="H12" i="4"/>
  <c r="H47" i="4"/>
  <c r="I42" i="3"/>
  <c r="H42" i="3"/>
  <c r="E66" i="3"/>
  <c r="F66" i="3" s="1"/>
  <c r="F42" i="3"/>
  <c r="I12" i="3"/>
  <c r="H12" i="3"/>
  <c r="G66" i="3"/>
  <c r="J12" i="2" l="1"/>
  <c r="E65" i="5"/>
  <c r="F65" i="5" s="1"/>
  <c r="F64" i="5"/>
  <c r="I66" i="1"/>
  <c r="D66" i="2"/>
  <c r="H66" i="2"/>
  <c r="I63" i="14"/>
  <c r="D63" i="16"/>
  <c r="J41" i="2"/>
  <c r="F67" i="6"/>
  <c r="I67" i="6"/>
  <c r="H67" i="8"/>
  <c r="J67" i="8" s="1"/>
  <c r="I64" i="4"/>
  <c r="I64" i="5"/>
  <c r="H64" i="5"/>
  <c r="H67" i="6"/>
  <c r="H64" i="4"/>
  <c r="F63" i="14"/>
  <c r="G65" i="5"/>
  <c r="H65" i="5" s="1"/>
  <c r="I48" i="5"/>
  <c r="I14" i="11"/>
  <c r="K14" i="11" s="1"/>
  <c r="I63" i="15"/>
  <c r="H63" i="15"/>
  <c r="H63" i="14"/>
  <c r="I14" i="13"/>
  <c r="K14" i="13" s="1"/>
  <c r="H14" i="13"/>
  <c r="I67" i="7"/>
  <c r="H67" i="7"/>
  <c r="H66" i="3"/>
  <c r="I66" i="3"/>
  <c r="F66" i="1"/>
  <c r="I65" i="5" l="1"/>
  <c r="F7" i="2"/>
  <c r="G7" i="2" l="1"/>
  <c r="I7" i="2"/>
  <c r="J7" i="2" s="1"/>
  <c r="F66" i="2"/>
  <c r="G66" i="2" l="1"/>
  <c r="I66" i="2"/>
  <c r="J66" i="2" s="1"/>
  <c r="E63" i="16"/>
  <c r="G63" i="16" l="1"/>
  <c r="H63" i="16"/>
  <c r="J63" i="16" s="1"/>
  <c r="G42" i="13"/>
  <c r="H42" i="13" s="1"/>
  <c r="H22" i="13"/>
</calcChain>
</file>

<file path=xl/sharedStrings.xml><?xml version="1.0" encoding="utf-8"?>
<sst xmlns="http://schemas.openxmlformats.org/spreadsheetml/2006/main" count="2074" uniqueCount="510">
  <si>
    <t>CCC CODE: 87120010 (Bicycles)</t>
    <phoneticPr fontId="6" type="noConversion"/>
  </si>
  <si>
    <t>平均單價</t>
  </si>
  <si>
    <t>(%)</t>
  </si>
  <si>
    <t>累計平均單價</t>
    <phoneticPr fontId="6" type="noConversion"/>
  </si>
  <si>
    <t>(台)</t>
    <phoneticPr fontId="6" type="noConversion"/>
  </si>
  <si>
    <t>(US$)</t>
  </si>
  <si>
    <t>(台)</t>
  </si>
  <si>
    <t>北美自由貿易區</t>
  </si>
  <si>
    <t>(NAFTA)</t>
  </si>
  <si>
    <t>加拿大</t>
  </si>
  <si>
    <t>墨西哥</t>
  </si>
  <si>
    <t>歐盟(EU)</t>
  </si>
  <si>
    <t>荷  蘭</t>
  </si>
  <si>
    <t>德  國</t>
  </si>
  <si>
    <t>西班牙</t>
  </si>
  <si>
    <t>英  國</t>
  </si>
  <si>
    <t>法  國</t>
  </si>
  <si>
    <t>義大利</t>
  </si>
  <si>
    <t>比利時</t>
  </si>
  <si>
    <t>丹  麥</t>
  </si>
  <si>
    <t>葡萄牙</t>
    <phoneticPr fontId="6" type="noConversion"/>
  </si>
  <si>
    <t>希  臘</t>
  </si>
  <si>
    <t>愛爾蘭</t>
  </si>
  <si>
    <t>盧森堡</t>
  </si>
  <si>
    <t>奧地利</t>
  </si>
  <si>
    <t>瑞  典</t>
  </si>
  <si>
    <t>芬  蘭</t>
  </si>
  <si>
    <t>匈牙利</t>
    <phoneticPr fontId="6" type="noConversion"/>
  </si>
  <si>
    <t>馬爾他</t>
    <phoneticPr fontId="6" type="noConversion"/>
  </si>
  <si>
    <t>斯洛維尼亞</t>
    <phoneticPr fontId="6" type="noConversion"/>
  </si>
  <si>
    <t>斯洛伐克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</si>
  <si>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</si>
  <si>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</si>
  <si>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</si>
  <si>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</si>
  <si>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</si>
  <si>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</si>
  <si>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t>克羅埃西亞</t>
    <phoneticPr fontId="4" type="noConversion"/>
  </si>
  <si>
    <t>歐協(EFTA)</t>
  </si>
  <si>
    <t>瑞  士</t>
  </si>
  <si>
    <t>挪  威</t>
  </si>
  <si>
    <t>冰  島</t>
  </si>
  <si>
    <t>列支斯敦</t>
  </si>
  <si>
    <t>主要國家</t>
  </si>
  <si>
    <t>日  本</t>
  </si>
  <si>
    <t>阿  聯</t>
  </si>
  <si>
    <t>巴  西</t>
  </si>
  <si>
    <t>阿根廷</t>
  </si>
  <si>
    <t>智  利</t>
  </si>
  <si>
    <t>澳大利亞</t>
    <phoneticPr fontId="6" type="noConversion"/>
  </si>
  <si>
    <t>以色列</t>
  </si>
  <si>
    <t>中國大陸</t>
    <phoneticPr fontId="6" type="noConversion"/>
  </si>
  <si>
    <t>俄羅斯</t>
    <phoneticPr fontId="12" type="noConversion"/>
  </si>
  <si>
    <t>烏克蘭</t>
    <phoneticPr fontId="12" type="noConversion"/>
  </si>
  <si>
    <t>紐西蘭</t>
    <phoneticPr fontId="12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</si>
  <si>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</si>
  <si>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</si>
  <si>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</si>
  <si>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</si>
  <si>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CCC CODE: 87120090004 (Other Cycles)</t>
  </si>
  <si>
    <t xml:space="preserve">      *以上統計為草本資料,正確數據以公布於公會網站為準!!</t>
    <phoneticPr fontId="6" type="noConversion"/>
  </si>
  <si>
    <r>
      <t>增</t>
    </r>
    <r>
      <rPr>
        <sz val="12"/>
        <color indexed="10"/>
        <rFont val="華康仿宋體"/>
        <family val="1"/>
        <charset val="136"/>
      </rPr>
      <t>/減</t>
    </r>
    <phoneticPr fontId="6" type="noConversion"/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</si>
  <si>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</si>
  <si>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</si>
  <si>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</si>
  <si>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</si>
  <si>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美  國</t>
  </si>
  <si>
    <t>葡萄牙</t>
  </si>
  <si>
    <t>匈牙利</t>
    <phoneticPr fontId="4" type="noConversion"/>
  </si>
  <si>
    <t>馬爾他</t>
    <phoneticPr fontId="4" type="noConversion"/>
  </si>
  <si>
    <t>斯洛維尼亞</t>
    <phoneticPr fontId="4" type="noConversion"/>
  </si>
  <si>
    <t>愛沙尼亞</t>
    <phoneticPr fontId="4" type="noConversion"/>
  </si>
  <si>
    <t>拉脫維亞</t>
    <phoneticPr fontId="4" type="noConversion"/>
  </si>
  <si>
    <t>立陶宛</t>
    <phoneticPr fontId="4" type="noConversion"/>
  </si>
  <si>
    <t>賽普路斯</t>
    <phoneticPr fontId="4" type="noConversion"/>
  </si>
  <si>
    <t>資料來源: 經濟部國際貿易局,臺灣自行車輸出業同業公會整理(含復出口)</t>
    <phoneticPr fontId="6" type="noConversion"/>
  </si>
  <si>
    <r>
      <t>波</t>
    </r>
    <r>
      <rPr>
        <sz val="12"/>
        <rFont val="Times New Roman"/>
        <family val="1"/>
      </rPr>
      <t xml:space="preserve">  </t>
    </r>
    <r>
      <rPr>
        <sz val="12"/>
        <rFont val="華康仿宋體"/>
        <family val="1"/>
        <charset val="136"/>
      </rPr>
      <t>蘭</t>
    </r>
    <phoneticPr fontId="6" type="noConversion"/>
  </si>
  <si>
    <r>
      <t>捷</t>
    </r>
    <r>
      <rPr>
        <sz val="12"/>
        <rFont val="Times New Roman"/>
        <family val="1"/>
      </rPr>
      <t xml:space="preserve">  </t>
    </r>
    <r>
      <rPr>
        <sz val="12"/>
        <rFont val="華康仿宋體"/>
        <family val="1"/>
        <charset val="136"/>
      </rPr>
      <t>克</t>
    </r>
    <phoneticPr fontId="6" type="noConversion"/>
  </si>
  <si>
    <t>賽普路斯</t>
    <phoneticPr fontId="6" type="noConversion"/>
  </si>
  <si>
    <t>克羅埃西亞</t>
    <phoneticPr fontId="6" type="noConversion"/>
  </si>
  <si>
    <t>澳  洲</t>
  </si>
  <si>
    <r>
      <t>南</t>
    </r>
    <r>
      <rPr>
        <sz val="12"/>
        <rFont val="Times New Roman"/>
        <family val="1"/>
      </rPr>
      <t xml:space="preserve">   </t>
    </r>
    <r>
      <rPr>
        <sz val="12"/>
        <rFont val="細明體"/>
        <family val="3"/>
        <charset val="136"/>
      </rPr>
      <t>韓</t>
    </r>
    <phoneticPr fontId="12" type="noConversion"/>
  </si>
  <si>
    <r>
      <t>南</t>
    </r>
    <r>
      <rPr>
        <sz val="12"/>
        <rFont val="Times New Roman"/>
        <family val="1"/>
      </rPr>
      <t xml:space="preserve">   </t>
    </r>
    <r>
      <rPr>
        <sz val="12"/>
        <rFont val="細明體"/>
        <family val="3"/>
        <charset val="136"/>
      </rPr>
      <t>非</t>
    </r>
    <phoneticPr fontId="12" type="noConversion"/>
  </si>
  <si>
    <t>哥倫比亞</t>
    <phoneticPr fontId="6" type="noConversion"/>
  </si>
  <si>
    <t>印  尼</t>
    <phoneticPr fontId="6" type="noConversion"/>
  </si>
  <si>
    <t>馬來西亞</t>
    <phoneticPr fontId="6" type="noConversion"/>
  </si>
  <si>
    <t>泰  國</t>
    <phoneticPr fontId="6" type="noConversion"/>
  </si>
  <si>
    <t>(US$)</t>
    <phoneticPr fontId="6" type="noConversion"/>
  </si>
  <si>
    <r>
      <rPr>
        <sz val="12"/>
        <rFont val="MS Gothic"/>
        <family val="3"/>
        <charset val="128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MS Gothic"/>
        <family val="3"/>
        <charset val="128"/>
      </rPr>
      <t>中華民國海關草本資料</t>
    </r>
    <r>
      <rPr>
        <sz val="12"/>
        <rFont val="細明體-ExtB"/>
        <family val="1"/>
        <charset val="136"/>
      </rPr>
      <t>,臺</t>
    </r>
    <r>
      <rPr>
        <sz val="12"/>
        <rFont val="MS Gothic"/>
        <family val="3"/>
        <charset val="128"/>
      </rPr>
      <t>灣自行車輸出業同業公會整理</t>
    </r>
    <phoneticPr fontId="6" type="noConversion"/>
  </si>
  <si>
    <r>
      <t xml:space="preserve">                   </t>
    </r>
    <r>
      <rPr>
        <b/>
        <sz val="11"/>
        <rFont val="Times New Roman"/>
        <family val="1"/>
      </rPr>
      <t xml:space="preserve">  *</t>
    </r>
    <r>
      <rPr>
        <b/>
        <sz val="11"/>
        <rFont val="華康仿宋體"/>
        <family val="1"/>
        <charset val="136"/>
      </rPr>
      <t>以上統計資料為草本參考資料</t>
    </r>
    <r>
      <rPr>
        <b/>
        <sz val="11"/>
        <rFont val="Times New Roman"/>
        <family val="1"/>
      </rPr>
      <t>,</t>
    </r>
    <r>
      <rPr>
        <b/>
        <sz val="11"/>
        <rFont val="華康仿宋體"/>
        <family val="1"/>
        <charset val="136"/>
      </rPr>
      <t>正確統計數據以每月公佈於公會會訊及公會網站為準</t>
    </r>
    <r>
      <rPr>
        <b/>
        <sz val="11"/>
        <rFont val="Times New Roman"/>
        <family val="1"/>
      </rPr>
      <t>!!</t>
    </r>
    <phoneticPr fontId="6" type="noConversion"/>
  </si>
  <si>
    <t>累計平均單價</t>
    <phoneticPr fontId="4" type="noConversion"/>
  </si>
  <si>
    <t>羅馬尼亞</t>
    <phoneticPr fontId="4" type="noConversion"/>
  </si>
  <si>
    <t>保加利亞</t>
    <phoneticPr fontId="4" type="noConversion"/>
  </si>
  <si>
    <t>越  南</t>
    <phoneticPr fontId="12" type="noConversion"/>
  </si>
  <si>
    <t>柬埔寨</t>
    <phoneticPr fontId="12" type="noConversion"/>
  </si>
  <si>
    <t>中國大陸</t>
    <phoneticPr fontId="4" type="noConversion"/>
  </si>
  <si>
    <t>澳  門</t>
    <phoneticPr fontId="6" type="noConversion"/>
  </si>
  <si>
    <t>其他國家</t>
    <phoneticPr fontId="6" type="noConversion"/>
  </si>
  <si>
    <r>
      <t>波</t>
    </r>
    <r>
      <rPr>
        <sz val="12"/>
        <color theme="1"/>
        <rFont val="新細明體"/>
        <family val="2"/>
        <charset val="136"/>
        <scheme val="minor"/>
      </rPr>
      <t xml:space="preserve">  </t>
    </r>
    <r>
      <rPr>
        <sz val="12"/>
        <rFont val="細明體"/>
        <family val="3"/>
        <charset val="136"/>
      </rPr>
      <t>蘭</t>
    </r>
    <phoneticPr fontId="4" type="noConversion"/>
  </si>
  <si>
    <r>
      <t>捷</t>
    </r>
    <r>
      <rPr>
        <sz val="12"/>
        <color theme="1"/>
        <rFont val="新細明體"/>
        <family val="2"/>
        <charset val="136"/>
        <scheme val="minor"/>
      </rPr>
      <t xml:space="preserve">  </t>
    </r>
    <r>
      <rPr>
        <sz val="12"/>
        <rFont val="細明體"/>
        <family val="3"/>
        <charset val="136"/>
      </rPr>
      <t>克</t>
    </r>
    <phoneticPr fontId="4" type="noConversion"/>
  </si>
  <si>
    <t>斯洛法尼亞</t>
    <phoneticPr fontId="4" type="noConversion"/>
  </si>
  <si>
    <t>印尼</t>
    <phoneticPr fontId="4" type="noConversion"/>
  </si>
  <si>
    <t>香  港</t>
    <phoneticPr fontId="6" type="noConversion"/>
  </si>
  <si>
    <t>資料來源: 財政部關稅總局,台灣區自行車輸出業同業公會整理(含復進口)</t>
    <phoneticPr fontId="4" type="noConversion"/>
  </si>
  <si>
    <t>CCC CODE:  87120010109 (Folding Bicycles)</t>
    <phoneticPr fontId="6" type="noConversion"/>
  </si>
  <si>
    <t>其他主要國家</t>
    <phoneticPr fontId="6" type="noConversion"/>
  </si>
  <si>
    <t>印尼</t>
    <phoneticPr fontId="6" type="noConversion"/>
  </si>
  <si>
    <t>泰國</t>
    <phoneticPr fontId="6" type="noConversion"/>
  </si>
  <si>
    <t>CCC CODE:  87120010109 (Folding Bicycles)</t>
    <phoneticPr fontId="4" type="noConversion"/>
  </si>
  <si>
    <t>稅則號列</t>
    <phoneticPr fontId="4" type="noConversion"/>
  </si>
  <si>
    <t>品名</t>
    <phoneticPr fontId="4" type="noConversion"/>
  </si>
  <si>
    <t>差</t>
    <phoneticPr fontId="4" type="noConversion"/>
  </si>
  <si>
    <t>順/逆差</t>
    <phoneticPr fontId="4" type="noConversion"/>
  </si>
  <si>
    <t>出口平均單價</t>
    <phoneticPr fontId="4" type="noConversion"/>
  </si>
  <si>
    <t>進口平均單價　</t>
    <phoneticPr fontId="4" type="noConversion"/>
  </si>
  <si>
    <t>87120010902</t>
    <phoneticPr fontId="4" type="noConversion"/>
  </si>
  <si>
    <t>其他二輪腳踏車</t>
    <phoneticPr fontId="4" type="noConversion"/>
  </si>
  <si>
    <t>87120010109</t>
    <phoneticPr fontId="4" type="noConversion"/>
  </si>
  <si>
    <t>摺疊二輪腳踏車</t>
    <phoneticPr fontId="4" type="noConversion"/>
  </si>
  <si>
    <t>87120010207</t>
    <phoneticPr fontId="6" type="noConversion"/>
  </si>
  <si>
    <t>兒童用二輪腳踏車</t>
    <phoneticPr fontId="6" type="noConversion"/>
  </si>
  <si>
    <t>87120010305</t>
    <phoneticPr fontId="6" type="noConversion"/>
  </si>
  <si>
    <t>城市與旅行用二輪腳踏車</t>
    <phoneticPr fontId="6" type="noConversion"/>
  </si>
  <si>
    <t>87120010403</t>
    <phoneticPr fontId="6" type="noConversion"/>
  </si>
  <si>
    <t>登山用二輪腳踏車</t>
    <phoneticPr fontId="6" type="noConversion"/>
  </si>
  <si>
    <t>87120010500</t>
    <phoneticPr fontId="6" type="noConversion"/>
  </si>
  <si>
    <t>公路用二輪腳踏車</t>
    <phoneticPr fontId="6" type="noConversion"/>
  </si>
  <si>
    <t>87120010</t>
    <phoneticPr fontId="4" type="noConversion"/>
  </si>
  <si>
    <t>二輪腳踏車</t>
    <phoneticPr fontId="4" type="noConversion"/>
  </si>
  <si>
    <t>87120090004</t>
    <phoneticPr fontId="4" type="noConversion"/>
  </si>
  <si>
    <t>其他腳踏車</t>
    <phoneticPr fontId="4" type="noConversion"/>
  </si>
  <si>
    <t>總   計</t>
    <phoneticPr fontId="4" type="noConversion"/>
  </si>
  <si>
    <t>(其他腳踏車+二輪腳踏車)</t>
    <phoneticPr fontId="4" type="noConversion"/>
  </si>
  <si>
    <t>(公斤)</t>
    <phoneticPr fontId="4" type="noConversion"/>
  </si>
  <si>
    <t>85121010001</t>
    <phoneticPr fontId="4" type="noConversion"/>
  </si>
  <si>
    <t>腳踏車用電器照明設備　</t>
    <phoneticPr fontId="4" type="noConversion"/>
  </si>
  <si>
    <t>85121020009</t>
    <phoneticPr fontId="4" type="noConversion"/>
  </si>
  <si>
    <t>腳踏車照明視覺信號設備</t>
    <phoneticPr fontId="4" type="noConversion"/>
  </si>
  <si>
    <t>87149120007</t>
    <phoneticPr fontId="4" type="noConversion"/>
  </si>
  <si>
    <t>其他車架.前叉及相關零件</t>
    <phoneticPr fontId="4" type="noConversion"/>
  </si>
  <si>
    <t>87149200108</t>
    <phoneticPr fontId="4" type="noConversion"/>
  </si>
  <si>
    <t>輪圈</t>
    <phoneticPr fontId="4" type="noConversion"/>
  </si>
  <si>
    <t>87149200206</t>
    <phoneticPr fontId="4" type="noConversion"/>
  </si>
  <si>
    <t>輪幅</t>
    <phoneticPr fontId="4" type="noConversion"/>
  </si>
  <si>
    <t>87149200304</t>
    <phoneticPr fontId="4" type="noConversion"/>
  </si>
  <si>
    <t>輪圈及輪幅</t>
    <phoneticPr fontId="4" type="noConversion"/>
  </si>
  <si>
    <t>87149310007</t>
    <phoneticPr fontId="4" type="noConversion"/>
  </si>
  <si>
    <t>輪轂(倒煞車輪及輪轂煞車除外)</t>
    <phoneticPr fontId="4" type="noConversion"/>
  </si>
  <si>
    <t>87149320005</t>
    <phoneticPr fontId="4" type="noConversion"/>
  </si>
  <si>
    <t>飛輪之鏈輪</t>
    <phoneticPr fontId="4" type="noConversion"/>
  </si>
  <si>
    <t>87149410006</t>
    <phoneticPr fontId="4" type="noConversion"/>
  </si>
  <si>
    <t>煞車鋼線及其零件</t>
    <phoneticPr fontId="4" type="noConversion"/>
  </si>
  <si>
    <t>87149490009</t>
    <phoneticPr fontId="4" type="noConversion"/>
  </si>
  <si>
    <t>其他煞車器及其零件</t>
    <phoneticPr fontId="4" type="noConversion"/>
  </si>
  <si>
    <t>87149500007</t>
    <phoneticPr fontId="4" type="noConversion"/>
  </si>
  <si>
    <t>腳踏車車座</t>
    <phoneticPr fontId="4" type="noConversion"/>
  </si>
  <si>
    <t>87149610004</t>
    <phoneticPr fontId="4" type="noConversion"/>
  </si>
  <si>
    <t>踏板及其零件</t>
    <phoneticPr fontId="4" type="noConversion"/>
  </si>
  <si>
    <t>87149620002</t>
    <phoneticPr fontId="4" type="noConversion"/>
  </si>
  <si>
    <t>曲柄齒輪及其零件</t>
    <phoneticPr fontId="4" type="noConversion"/>
  </si>
  <si>
    <t>73151100209</t>
    <phoneticPr fontId="4" type="noConversion"/>
  </si>
  <si>
    <t>腳踏車用滾子鏈</t>
    <phoneticPr fontId="4" type="noConversion"/>
  </si>
  <si>
    <t>87149990111</t>
    <phoneticPr fontId="4" type="noConversion"/>
  </si>
  <si>
    <t>腳踏車用變速器　</t>
    <phoneticPr fontId="4" type="noConversion"/>
  </si>
  <si>
    <t>87149990120</t>
    <phoneticPr fontId="4" type="noConversion"/>
  </si>
  <si>
    <t>腳踏車用飛輪</t>
    <phoneticPr fontId="4" type="noConversion"/>
  </si>
  <si>
    <t>87149990139</t>
    <phoneticPr fontId="4" type="noConversion"/>
  </si>
  <si>
    <t>腳踏車用軸心</t>
    <phoneticPr fontId="4" type="noConversion"/>
  </si>
  <si>
    <t>87149990148</t>
    <phoneticPr fontId="4" type="noConversion"/>
  </si>
  <si>
    <t>腳踏車用把手豎管　</t>
    <phoneticPr fontId="4" type="noConversion"/>
  </si>
  <si>
    <t>87149990157</t>
    <phoneticPr fontId="4" type="noConversion"/>
  </si>
  <si>
    <t>腳踏車用座管及上下管</t>
    <phoneticPr fontId="4" type="noConversion"/>
  </si>
  <si>
    <t>87149990166</t>
    <phoneticPr fontId="4" type="noConversion"/>
  </si>
  <si>
    <t>腳踏車用把手　</t>
    <phoneticPr fontId="4" type="noConversion"/>
  </si>
  <si>
    <t>40115000008</t>
    <phoneticPr fontId="4" type="noConversion"/>
  </si>
  <si>
    <t>腳踏用新橡膠氣胎</t>
    <phoneticPr fontId="4" type="noConversion"/>
  </si>
  <si>
    <t>40132000003</t>
    <phoneticPr fontId="4" type="noConversion"/>
  </si>
  <si>
    <t>腳踏車用橡膠內胎　</t>
    <phoneticPr fontId="4" type="noConversion"/>
  </si>
  <si>
    <r>
      <rPr>
        <sz val="12"/>
        <rFont val="MS Gothic"/>
        <family val="3"/>
        <charset val="128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MS Gothic"/>
        <family val="3"/>
        <charset val="128"/>
      </rPr>
      <t>經濟部國際貿易局</t>
    </r>
    <r>
      <rPr>
        <sz val="12"/>
        <rFont val="細明體-ExtB"/>
        <family val="1"/>
        <charset val="136"/>
      </rPr>
      <t>,</t>
    </r>
    <r>
      <rPr>
        <sz val="12"/>
        <rFont val="MS Gothic"/>
        <family val="3"/>
        <charset val="128"/>
      </rPr>
      <t>臺灣自行車輸出業同業公會整理</t>
    </r>
    <r>
      <rPr>
        <sz val="12"/>
        <rFont val="細明體-ExtB"/>
        <family val="1"/>
        <charset val="136"/>
      </rPr>
      <t>(</t>
    </r>
    <r>
      <rPr>
        <sz val="12"/>
        <rFont val="MS Gothic"/>
        <family val="3"/>
        <charset val="128"/>
      </rPr>
      <t>含復出口</t>
    </r>
    <r>
      <rPr>
        <sz val="12"/>
        <rFont val="細明體-ExtB"/>
        <family val="1"/>
        <charset val="136"/>
      </rPr>
      <t>)</t>
    </r>
    <phoneticPr fontId="6" type="noConversion"/>
  </si>
  <si>
    <r>
      <t xml:space="preserve"> </t>
    </r>
    <r>
      <rPr>
        <b/>
        <sz val="11"/>
        <rFont val="Times New Roman"/>
        <family val="1"/>
      </rPr>
      <t>*</t>
    </r>
    <r>
      <rPr>
        <b/>
        <sz val="11"/>
        <rFont val="華康仿宋體"/>
        <family val="1"/>
        <charset val="136"/>
      </rPr>
      <t>以上統計資料為草本參考資料</t>
    </r>
    <r>
      <rPr>
        <b/>
        <sz val="11"/>
        <rFont val="Times New Roman"/>
        <family val="1"/>
      </rPr>
      <t>,</t>
    </r>
    <r>
      <rPr>
        <b/>
        <sz val="11"/>
        <rFont val="華康仿宋體"/>
        <family val="1"/>
        <charset val="136"/>
      </rPr>
      <t>正確統計數據以公佈於公會網站為準</t>
    </r>
    <r>
      <rPr>
        <b/>
        <sz val="11"/>
        <rFont val="Times New Roman"/>
        <family val="1"/>
      </rPr>
      <t>!!</t>
    </r>
    <phoneticPr fontId="6" type="noConversion"/>
  </si>
  <si>
    <t>數量(台)</t>
    <phoneticPr fontId="6" type="noConversion"/>
  </si>
  <si>
    <t>金額(US$)</t>
    <phoneticPr fontId="6" type="noConversion"/>
  </si>
  <si>
    <t>二輪腳踏車(其他二輪+摺疊二輪)</t>
    <phoneticPr fontId="4" type="noConversion"/>
  </si>
  <si>
    <t>(其他腳踏車+其他二輪+摺疊二輪)</t>
    <phoneticPr fontId="4" type="noConversion"/>
  </si>
  <si>
    <t>數量(公斤)</t>
    <phoneticPr fontId="6" type="noConversion"/>
  </si>
  <si>
    <t>資料來源: 財政部關稅總局,台灣區自行車輸出業同業公會整理(含復出口)</t>
    <phoneticPr fontId="4" type="noConversion"/>
  </si>
  <si>
    <r>
      <t xml:space="preserve">     </t>
    </r>
    <r>
      <rPr>
        <b/>
        <sz val="11"/>
        <rFont val="Times New Roman"/>
        <family val="1"/>
      </rPr>
      <t xml:space="preserve"> *</t>
    </r>
    <r>
      <rPr>
        <b/>
        <sz val="11"/>
        <rFont val="華康仿宋體"/>
        <family val="1"/>
        <charset val="136"/>
      </rPr>
      <t>以上統計為草本資料</t>
    </r>
    <r>
      <rPr>
        <b/>
        <sz val="11"/>
        <rFont val="Times New Roman"/>
        <family val="1"/>
      </rPr>
      <t>,</t>
    </r>
    <r>
      <rPr>
        <b/>
        <sz val="11"/>
        <rFont val="華康仿宋體"/>
        <family val="1"/>
        <charset val="136"/>
      </rPr>
      <t>正確數據以公布於公會網站為準</t>
    </r>
    <r>
      <rPr>
        <b/>
        <sz val="11"/>
        <rFont val="Times New Roman"/>
        <family val="1"/>
      </rPr>
      <t>!!</t>
    </r>
    <phoneticPr fontId="6" type="noConversion"/>
  </si>
  <si>
    <t>同期出口</t>
    <phoneticPr fontId="4" type="noConversion"/>
  </si>
  <si>
    <t>同期出口　</t>
    <phoneticPr fontId="6" type="noConversion"/>
  </si>
  <si>
    <t>數量比較</t>
    <phoneticPr fontId="6" type="noConversion"/>
  </si>
  <si>
    <t>金額比較</t>
    <phoneticPr fontId="6" type="noConversion"/>
  </si>
  <si>
    <t>平均單價比較</t>
    <phoneticPr fontId="6" type="noConversion"/>
  </si>
  <si>
    <t>金額比較　</t>
    <phoneticPr fontId="6" type="noConversion"/>
  </si>
  <si>
    <r>
      <rPr>
        <sz val="12"/>
        <rFont val="MS Gothic"/>
        <family val="3"/>
        <charset val="128"/>
      </rPr>
      <t>資料來源</t>
    </r>
    <r>
      <rPr>
        <sz val="12"/>
        <rFont val="細明體-ExtB"/>
        <family val="1"/>
        <charset val="136"/>
      </rPr>
      <t>:經濟部國際貿易局,</t>
    </r>
    <r>
      <rPr>
        <sz val="12"/>
        <rFont val="MS Gothic"/>
        <family val="3"/>
        <charset val="128"/>
      </rPr>
      <t>臺灣自行車輸出業同業公會整理</t>
    </r>
    <r>
      <rPr>
        <sz val="12"/>
        <rFont val="細明體-ExtB"/>
        <family val="1"/>
        <charset val="136"/>
      </rPr>
      <t>(</t>
    </r>
    <r>
      <rPr>
        <sz val="12"/>
        <rFont val="MS Gothic"/>
        <family val="3"/>
        <charset val="128"/>
      </rPr>
      <t>含復出口</t>
    </r>
    <r>
      <rPr>
        <sz val="12"/>
        <rFont val="細明體-ExtB"/>
        <family val="1"/>
        <charset val="136"/>
      </rPr>
      <t>)</t>
    </r>
    <phoneticPr fontId="6" type="noConversion"/>
  </si>
  <si>
    <t>資料來源:財政部關稅總局,台灣區自行車輸出業同業公會整理(含復進口)</t>
    <phoneticPr fontId="4" type="noConversion"/>
  </si>
  <si>
    <t>同期進口</t>
    <phoneticPr fontId="4" type="noConversion"/>
  </si>
  <si>
    <t xml:space="preserve">ccc code : </t>
    <phoneticPr fontId="6" type="noConversion"/>
  </si>
  <si>
    <t xml:space="preserve">ccc code : 87119030107 ( Other cycles fitted with a battery auxiliary motor )  &amp; </t>
    <phoneticPr fontId="12" type="noConversion"/>
  </si>
  <si>
    <t xml:space="preserve">                   87119030900 ( Other cycles fitted with other auxiliary motor )</t>
    <phoneticPr fontId="12" type="noConversion"/>
  </si>
  <si>
    <t>以色列</t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</si>
  <si>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</si>
  <si>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</si>
  <si>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</si>
  <si>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</si>
  <si>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</si>
  <si>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</si>
  <si>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 xml:space="preserve"> set)</t>
    <phoneticPr fontId="6" type="noConversion"/>
  </si>
  <si>
    <t xml:space="preserve"> set)</t>
  </si>
  <si>
    <t>腳踏車照明視</t>
  </si>
  <si>
    <t>覺信號設備</t>
  </si>
  <si>
    <t>其他車架.前叉</t>
  </si>
  <si>
    <t>及相關零件</t>
  </si>
  <si>
    <t>輪圈</t>
  </si>
  <si>
    <t>pce)</t>
  </si>
  <si>
    <t>輪轂(倒煞車輪</t>
  </si>
  <si>
    <t>及輪轂煞車除</t>
  </si>
  <si>
    <t>外)</t>
  </si>
  <si>
    <t>飛輪之鏈輪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</si>
  <si>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</si>
  <si>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</si>
  <si>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</si>
  <si>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</si>
  <si>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</si>
  <si>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</si>
  <si>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</si>
  <si>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</si>
  <si>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</si>
  <si>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</si>
  <si>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</si>
  <si>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腳踏車用飛輪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</si>
  <si>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</si>
  <si>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</si>
  <si>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</si>
  <si>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</si>
  <si>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</si>
  <si>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</si>
  <si>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</si>
  <si>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pce)</t>
    <phoneticPr fontId="6" type="noConversion"/>
  </si>
  <si>
    <t>腳踏車用橡膠</t>
  </si>
  <si>
    <t>內胎</t>
  </si>
  <si>
    <t>總    計</t>
  </si>
  <si>
    <t>set)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</si>
  <si>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1"/>
        <charset val="136"/>
      </rPr>
      <t>名</t>
    </r>
    <phoneticPr fontId="4" type="noConversion"/>
  </si>
  <si>
    <t>數量(kg)</t>
    <phoneticPr fontId="4" type="noConversion"/>
  </si>
  <si>
    <t>及輪轂煞車除外</t>
    <phoneticPr fontId="4" type="noConversion"/>
  </si>
  <si>
    <t>年度</t>
    <phoneticPr fontId="6" type="noConversion"/>
  </si>
  <si>
    <r>
      <t>一月</t>
    </r>
    <r>
      <rPr>
        <sz val="12"/>
        <rFont val="Modern"/>
        <family val="3"/>
        <charset val="255"/>
      </rPr>
      <t/>
    </r>
    <phoneticPr fontId="6" type="noConversion"/>
  </si>
  <si>
    <t>二月</t>
    <phoneticPr fontId="6" type="noConversion"/>
  </si>
  <si>
    <t>三月</t>
    <phoneticPr fontId="6" type="noConversion"/>
  </si>
  <si>
    <t>四月</t>
    <phoneticPr fontId="6" type="noConversion"/>
  </si>
  <si>
    <r>
      <t>五月</t>
    </r>
    <r>
      <rPr>
        <sz val="12"/>
        <rFont val="Modern"/>
        <family val="3"/>
        <charset val="255"/>
      </rPr>
      <t/>
    </r>
    <phoneticPr fontId="6" type="noConversion"/>
  </si>
  <si>
    <t>六月</t>
    <phoneticPr fontId="6" type="noConversion"/>
  </si>
  <si>
    <t>七月</t>
    <phoneticPr fontId="6" type="noConversion"/>
  </si>
  <si>
    <t>九月</t>
    <phoneticPr fontId="6" type="noConversion"/>
  </si>
  <si>
    <t>十月</t>
    <phoneticPr fontId="6" type="noConversion"/>
  </si>
  <si>
    <t>十一月</t>
    <phoneticPr fontId="6" type="noConversion"/>
  </si>
  <si>
    <t>十二月</t>
    <phoneticPr fontId="6" type="noConversion"/>
  </si>
  <si>
    <t>年度平均單價</t>
    <phoneticPr fontId="6" type="noConversion"/>
  </si>
  <si>
    <t>2003年</t>
    <phoneticPr fontId="6" type="noConversion"/>
  </si>
  <si>
    <t>2005年</t>
    <phoneticPr fontId="6" type="noConversion"/>
  </si>
  <si>
    <t>2007年</t>
    <phoneticPr fontId="6" type="noConversion"/>
  </si>
  <si>
    <t>2008年</t>
    <phoneticPr fontId="6" type="noConversion"/>
  </si>
  <si>
    <t>2009年</t>
    <phoneticPr fontId="6" type="noConversion"/>
  </si>
  <si>
    <t>2010年</t>
    <phoneticPr fontId="6" type="noConversion"/>
  </si>
  <si>
    <t>2011年</t>
    <phoneticPr fontId="6" type="noConversion"/>
  </si>
  <si>
    <t>合計</t>
    <phoneticPr fontId="6" type="noConversion"/>
  </si>
  <si>
    <t xml:space="preserve">ccc code : </t>
    <phoneticPr fontId="12" type="noConversion"/>
  </si>
  <si>
    <t>1-5月數量</t>
    <phoneticPr fontId="4" type="noConversion"/>
  </si>
  <si>
    <t>1-5月金額</t>
    <phoneticPr fontId="4" type="noConversion"/>
  </si>
  <si>
    <r>
      <t>2020</t>
    </r>
    <r>
      <rPr>
        <b/>
        <sz val="14"/>
        <rFont val="MS Gothic"/>
        <family val="3"/>
        <charset val="128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MS Gothic"/>
        <family val="3"/>
        <charset val="128"/>
      </rPr>
      <t>月台灣自行車主要</t>
    </r>
    <r>
      <rPr>
        <b/>
        <sz val="14"/>
        <color indexed="10"/>
        <rFont val="MS Gothic"/>
        <family val="3"/>
        <charset val="128"/>
      </rPr>
      <t>進口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細明體-ExtB"/>
        <family val="1"/>
        <charset val="136"/>
      </rPr>
      <t>(</t>
    </r>
    <r>
      <rPr>
        <b/>
        <sz val="14"/>
        <rFont val="MS Gothic"/>
        <family val="3"/>
        <charset val="128"/>
      </rPr>
      <t>草本統計</t>
    </r>
    <r>
      <rPr>
        <b/>
        <sz val="14"/>
        <rFont val="細明體-ExtB"/>
        <family val="1"/>
        <charset val="136"/>
      </rPr>
      <t>)</t>
    </r>
    <phoneticPr fontId="4" type="noConversion"/>
  </si>
  <si>
    <r>
      <t>1-5</t>
    </r>
    <r>
      <rPr>
        <sz val="12"/>
        <rFont val="MS Gothic"/>
        <family val="3"/>
        <charset val="128"/>
      </rPr>
      <t>月金額</t>
    </r>
    <phoneticPr fontId="4" type="noConversion"/>
  </si>
  <si>
    <r>
      <t>1-5</t>
    </r>
    <r>
      <rPr>
        <sz val="12"/>
        <rFont val="MS Gothic"/>
        <family val="3"/>
        <charset val="128"/>
      </rPr>
      <t>月數量</t>
    </r>
    <phoneticPr fontId="4" type="noConversion"/>
  </si>
  <si>
    <r>
      <t>2020</t>
    </r>
    <r>
      <rPr>
        <sz val="12"/>
        <rFont val="MS Gothic"/>
        <family val="3"/>
        <charset val="128"/>
      </rPr>
      <t>年</t>
    </r>
    <r>
      <rPr>
        <sz val="12"/>
        <rFont val="細明體-ExtB"/>
        <family val="1"/>
        <charset val="136"/>
      </rPr>
      <t>1-5</t>
    </r>
    <r>
      <rPr>
        <sz val="12"/>
        <rFont val="MS Gothic"/>
        <family val="3"/>
        <charset val="128"/>
      </rPr>
      <t>月</t>
    </r>
    <phoneticPr fontId="4" type="noConversion"/>
  </si>
  <si>
    <t>平均單價</t>
    <phoneticPr fontId="3" type="noConversion"/>
  </si>
  <si>
    <r>
      <rPr>
        <b/>
        <sz val="12"/>
        <rFont val="細明體"/>
        <family val="3"/>
        <charset val="136"/>
      </rPr>
      <t>1-5</t>
    </r>
    <r>
      <rPr>
        <b/>
        <sz val="12"/>
        <rFont val="MS Gothic"/>
        <family val="3"/>
        <charset val="128"/>
      </rPr>
      <t>月出口量</t>
    </r>
    <phoneticPr fontId="4" type="noConversion"/>
  </si>
  <si>
    <r>
      <rPr>
        <b/>
        <sz val="12"/>
        <rFont val="細明體"/>
        <family val="3"/>
        <charset val="136"/>
      </rPr>
      <t>1-5</t>
    </r>
    <r>
      <rPr>
        <b/>
        <sz val="12"/>
        <rFont val="MS Gothic"/>
        <family val="3"/>
        <charset val="128"/>
      </rPr>
      <t>月出口金額</t>
    </r>
    <phoneticPr fontId="4" type="noConversion"/>
  </si>
  <si>
    <r>
      <t>2020</t>
    </r>
    <r>
      <rPr>
        <b/>
        <sz val="14"/>
        <rFont val="MS Gothic"/>
        <family val="3"/>
        <charset val="128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MS Gothic"/>
        <family val="3"/>
        <charset val="128"/>
      </rPr>
      <t>月台灣自行車主要</t>
    </r>
    <r>
      <rPr>
        <b/>
        <sz val="14"/>
        <color indexed="10"/>
        <rFont val="MS Gothic"/>
        <family val="3"/>
        <charset val="128"/>
      </rPr>
      <t>出口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細明體-ExtB"/>
        <family val="1"/>
        <charset val="136"/>
      </rPr>
      <t>(</t>
    </r>
    <r>
      <rPr>
        <b/>
        <sz val="14"/>
        <rFont val="MS Gothic"/>
        <family val="3"/>
        <charset val="128"/>
      </rPr>
      <t>草本資料</t>
    </r>
    <r>
      <rPr>
        <b/>
        <sz val="14"/>
        <rFont val="細明體-ExtB"/>
        <family val="1"/>
        <charset val="136"/>
      </rPr>
      <t>)</t>
    </r>
    <phoneticPr fontId="4" type="noConversion"/>
  </si>
  <si>
    <r>
      <t>1-6</t>
    </r>
    <r>
      <rPr>
        <sz val="12"/>
        <color rgb="FF0000FF"/>
        <rFont val="MS Gothic"/>
        <family val="3"/>
        <charset val="128"/>
      </rPr>
      <t>月數量</t>
    </r>
    <phoneticPr fontId="4" type="noConversion"/>
  </si>
  <si>
    <r>
      <t>1-6</t>
    </r>
    <r>
      <rPr>
        <sz val="12"/>
        <color rgb="FF0000FF"/>
        <rFont val="MS Gothic"/>
        <family val="3"/>
        <charset val="128"/>
      </rPr>
      <t>月金額</t>
    </r>
    <phoneticPr fontId="4" type="noConversion"/>
  </si>
  <si>
    <r>
      <t>1-6</t>
    </r>
    <r>
      <rPr>
        <sz val="12"/>
        <color indexed="12"/>
        <rFont val="MS Gothic"/>
        <family val="3"/>
        <charset val="128"/>
      </rPr>
      <t>月數量</t>
    </r>
    <phoneticPr fontId="4" type="noConversion"/>
  </si>
  <si>
    <r>
      <t>1-6</t>
    </r>
    <r>
      <rPr>
        <sz val="12"/>
        <color indexed="12"/>
        <rFont val="MS Gothic"/>
        <family val="3"/>
        <charset val="128"/>
      </rPr>
      <t>月金額</t>
    </r>
    <phoneticPr fontId="4" type="noConversion"/>
  </si>
  <si>
    <r>
      <t>2020</t>
    </r>
    <r>
      <rPr>
        <sz val="12"/>
        <rFont val="MS Gothic"/>
        <family val="3"/>
        <charset val="128"/>
      </rPr>
      <t>年</t>
    </r>
    <r>
      <rPr>
        <sz val="12"/>
        <rFont val="細明體-ExtB"/>
        <family val="1"/>
        <charset val="136"/>
      </rPr>
      <t>1-6</t>
    </r>
    <r>
      <rPr>
        <sz val="12"/>
        <rFont val="MS Gothic"/>
        <family val="3"/>
        <charset val="128"/>
      </rPr>
      <t>月</t>
    </r>
    <phoneticPr fontId="4" type="noConversion"/>
  </si>
  <si>
    <t>1-6月數量</t>
    <phoneticPr fontId="4" type="noConversion"/>
  </si>
  <si>
    <r>
      <t>1-6</t>
    </r>
    <r>
      <rPr>
        <sz val="12"/>
        <rFont val="MS Gothic"/>
        <family val="3"/>
        <charset val="128"/>
      </rPr>
      <t>月金額</t>
    </r>
    <phoneticPr fontId="4" type="noConversion"/>
  </si>
  <si>
    <r>
      <t>1-6</t>
    </r>
    <r>
      <rPr>
        <sz val="12"/>
        <rFont val="MS Gothic"/>
        <family val="3"/>
        <charset val="128"/>
      </rPr>
      <t>月數量</t>
    </r>
    <phoneticPr fontId="4" type="noConversion"/>
  </si>
  <si>
    <r>
      <t>20</t>
    </r>
    <r>
      <rPr>
        <sz val="12"/>
        <rFont val="細明體"/>
        <family val="3"/>
        <charset val="136"/>
      </rPr>
      <t>20</t>
    </r>
    <r>
      <rPr>
        <sz val="12"/>
        <rFont val="MS Gothic"/>
        <family val="3"/>
        <charset val="128"/>
      </rPr>
      <t>年</t>
    </r>
    <r>
      <rPr>
        <sz val="12"/>
        <rFont val="細明體-ExtB"/>
        <family val="1"/>
        <charset val="136"/>
      </rPr>
      <t>1-5</t>
    </r>
    <r>
      <rPr>
        <sz val="12"/>
        <rFont val="MS Gothic"/>
        <family val="3"/>
        <charset val="128"/>
      </rPr>
      <t>月</t>
    </r>
    <phoneticPr fontId="4" type="noConversion"/>
  </si>
  <si>
    <r>
      <rPr>
        <sz val="12"/>
        <rFont val="細明體"/>
        <family val="3"/>
        <charset val="136"/>
      </rPr>
      <t>1-5</t>
    </r>
    <r>
      <rPr>
        <sz val="12"/>
        <rFont val="MS Gothic"/>
        <family val="3"/>
        <charset val="128"/>
      </rPr>
      <t>月數量</t>
    </r>
    <phoneticPr fontId="4" type="noConversion"/>
  </si>
  <si>
    <r>
      <rPr>
        <sz val="12"/>
        <rFont val="細明體"/>
        <family val="3"/>
        <charset val="136"/>
      </rPr>
      <t>1-5</t>
    </r>
    <r>
      <rPr>
        <sz val="12"/>
        <rFont val="MS Gothic"/>
        <family val="3"/>
        <charset val="128"/>
      </rPr>
      <t>月金額</t>
    </r>
    <phoneticPr fontId="4" type="noConversion"/>
  </si>
  <si>
    <r>
      <t>20</t>
    </r>
    <r>
      <rPr>
        <b/>
        <sz val="14"/>
        <rFont val="細明體"/>
        <family val="3"/>
        <charset val="136"/>
      </rPr>
      <t>20</t>
    </r>
    <r>
      <rPr>
        <b/>
        <sz val="14"/>
        <rFont val="MS Gothic"/>
        <family val="3"/>
        <charset val="128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MS Gothic"/>
        <family val="3"/>
        <charset val="128"/>
      </rPr>
      <t>月台灣折疊式自行車主要</t>
    </r>
    <r>
      <rPr>
        <b/>
        <sz val="14"/>
        <color indexed="10"/>
        <rFont val="MS Gothic"/>
        <family val="3"/>
        <charset val="128"/>
      </rPr>
      <t>出口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細明體-ExtB"/>
        <family val="1"/>
        <charset val="136"/>
      </rPr>
      <t>(</t>
    </r>
    <r>
      <rPr>
        <b/>
        <sz val="14"/>
        <rFont val="MS Gothic"/>
        <family val="3"/>
        <charset val="128"/>
      </rPr>
      <t>草本資料</t>
    </r>
    <r>
      <rPr>
        <b/>
        <sz val="14"/>
        <rFont val="細明體-ExtB"/>
        <family val="1"/>
        <charset val="136"/>
      </rPr>
      <t>)</t>
    </r>
    <phoneticPr fontId="12" type="noConversion"/>
  </si>
  <si>
    <r>
      <t>2020/2019</t>
    </r>
    <r>
      <rPr>
        <b/>
        <sz val="14"/>
        <rFont val="細明體"/>
        <family val="3"/>
        <charset val="136"/>
      </rPr>
      <t>年1-5月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</si>
  <si>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</t>
    </r>
    <r>
      <rPr>
        <sz val="11"/>
        <color indexed="25"/>
        <rFont val="細明體"/>
        <family val="3"/>
        <charset val="136"/>
      </rPr>
      <t>20</t>
    </r>
    <r>
      <rPr>
        <sz val="11"/>
        <color indexed="25"/>
        <rFont val="MS Gothic"/>
        <family val="3"/>
        <charset val="128"/>
      </rPr>
      <t>年1</t>
    </r>
    <r>
      <rPr>
        <sz val="11"/>
        <color indexed="25"/>
        <rFont val="細明體"/>
        <family val="3"/>
        <charset val="136"/>
      </rPr>
      <t>-5</t>
    </r>
    <r>
      <rPr>
        <sz val="11"/>
        <color indexed="25"/>
        <rFont val="MS Gothic"/>
        <family val="3"/>
        <charset val="128"/>
      </rPr>
      <t>月</t>
    </r>
    <phoneticPr fontId="4" type="noConversion"/>
  </si>
  <si>
    <r>
      <t>2020</t>
    </r>
    <r>
      <rPr>
        <sz val="11"/>
        <color indexed="62"/>
        <rFont val="細明體"/>
        <family val="3"/>
        <charset val="136"/>
      </rPr>
      <t>年1-5月</t>
    </r>
    <phoneticPr fontId="4" type="noConversion"/>
  </si>
  <si>
    <r>
      <t>2020/2019</t>
    </r>
    <r>
      <rPr>
        <b/>
        <sz val="14"/>
        <rFont val="細明體"/>
        <family val="3"/>
        <charset val="136"/>
      </rPr>
      <t>年1-5月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10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</si>
  <si>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</t>
    </r>
    <r>
      <rPr>
        <sz val="11"/>
        <color indexed="25"/>
        <rFont val="細明體"/>
        <family val="3"/>
        <charset val="136"/>
      </rPr>
      <t>20</t>
    </r>
    <r>
      <rPr>
        <sz val="11"/>
        <color indexed="25"/>
        <rFont val="MS Gothic"/>
        <family val="3"/>
        <charset val="128"/>
      </rPr>
      <t>年</t>
    </r>
    <r>
      <rPr>
        <sz val="11"/>
        <color indexed="25"/>
        <rFont val="細明體"/>
        <family val="3"/>
        <charset val="136"/>
      </rPr>
      <t>1-5</t>
    </r>
    <r>
      <rPr>
        <sz val="11"/>
        <color indexed="25"/>
        <rFont val="MS Gothic"/>
        <family val="3"/>
        <charset val="128"/>
      </rPr>
      <t>月</t>
    </r>
    <phoneticPr fontId="4" type="noConversion"/>
  </si>
  <si>
    <r>
      <t>2020</t>
    </r>
    <r>
      <rPr>
        <b/>
        <sz val="14"/>
        <rFont val="細明體"/>
        <family val="3"/>
        <charset val="136"/>
      </rPr>
      <t>年1-5月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color indexed="10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</si>
  <si>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</t>
    </r>
    <r>
      <rPr>
        <sz val="11"/>
        <color indexed="25"/>
        <rFont val="華康仿宋體"/>
        <family val="3"/>
      </rPr>
      <t>20</t>
    </r>
    <r>
      <rPr>
        <sz val="11"/>
        <color indexed="25"/>
        <rFont val="MS Gothic"/>
        <family val="3"/>
        <charset val="128"/>
      </rPr>
      <t>年1</t>
    </r>
    <r>
      <rPr>
        <sz val="11"/>
        <color indexed="25"/>
        <rFont val="細明體"/>
        <family val="3"/>
        <charset val="136"/>
      </rPr>
      <t>-5</t>
    </r>
    <r>
      <rPr>
        <sz val="11"/>
        <color indexed="25"/>
        <rFont val="MS Gothic"/>
        <family val="3"/>
        <charset val="128"/>
      </rPr>
      <t>月</t>
    </r>
    <phoneticPr fontId="4" type="noConversion"/>
  </si>
  <si>
    <r>
      <t>2020</t>
    </r>
    <r>
      <rPr>
        <sz val="11"/>
        <color indexed="30"/>
        <rFont val="細明體"/>
        <family val="3"/>
        <charset val="136"/>
      </rPr>
      <t>年1-5月</t>
    </r>
    <phoneticPr fontId="4" type="noConversion"/>
  </si>
  <si>
    <r>
      <t>2020</t>
    </r>
    <r>
      <rPr>
        <b/>
        <sz val="14"/>
        <rFont val="細明體"/>
        <family val="3"/>
        <charset val="136"/>
      </rPr>
      <t>年1-5月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color indexed="10"/>
        <rFont val="細明體"/>
        <family val="3"/>
        <charset val="136"/>
      </rPr>
      <t>自中國大陸進口</t>
    </r>
    <r>
      <rPr>
        <b/>
        <sz val="14"/>
        <rFont val="細明體"/>
        <family val="3"/>
        <charset val="136"/>
      </rPr>
      <t>自行車零配件統計比較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</si>
  <si>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2020</t>
    </r>
    <r>
      <rPr>
        <b/>
        <sz val="14"/>
        <rFont val="MS Gothic"/>
        <family val="3"/>
        <charset val="128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MS Gothic"/>
        <family val="3"/>
        <charset val="128"/>
      </rPr>
      <t>月台灣電動輔助自行車主要</t>
    </r>
    <r>
      <rPr>
        <b/>
        <sz val="14"/>
        <color rgb="FFFF0000"/>
        <rFont val="MS Gothic"/>
        <family val="3"/>
        <charset val="128"/>
      </rPr>
      <t>出口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細明體-ExtB"/>
        <family val="1"/>
        <charset val="136"/>
      </rPr>
      <t>(</t>
    </r>
    <r>
      <rPr>
        <b/>
        <sz val="14"/>
        <rFont val="MS Gothic"/>
        <family val="3"/>
        <charset val="128"/>
      </rPr>
      <t>草本資料</t>
    </r>
    <r>
      <rPr>
        <b/>
        <sz val="14"/>
        <rFont val="細明體-ExtB"/>
        <family val="1"/>
        <charset val="136"/>
      </rPr>
      <t>)</t>
    </r>
    <phoneticPr fontId="12" type="noConversion"/>
  </si>
  <si>
    <r>
      <t>2020</t>
    </r>
    <r>
      <rPr>
        <sz val="12"/>
        <rFont val="MS Gothic"/>
        <family val="3"/>
        <charset val="128"/>
      </rPr>
      <t>年</t>
    </r>
    <r>
      <rPr>
        <sz val="12"/>
        <rFont val="細明體"/>
        <family val="3"/>
        <charset val="136"/>
      </rPr>
      <t>1-5</t>
    </r>
    <r>
      <rPr>
        <sz val="12"/>
        <rFont val="MS Gothic"/>
        <family val="3"/>
        <charset val="128"/>
      </rPr>
      <t>月</t>
    </r>
    <phoneticPr fontId="4" type="noConversion"/>
  </si>
  <si>
    <t>pce)</t>
    <phoneticPr fontId="3" type="noConversion"/>
  </si>
  <si>
    <r>
      <t>2020</t>
    </r>
    <r>
      <rPr>
        <b/>
        <sz val="14"/>
        <rFont val="MS Gothic"/>
        <family val="3"/>
        <charset val="128"/>
      </rPr>
      <t>年</t>
    </r>
    <r>
      <rPr>
        <b/>
        <sz val="14"/>
        <rFont val="細明體"/>
        <family val="3"/>
        <charset val="136"/>
      </rPr>
      <t>1-6</t>
    </r>
    <r>
      <rPr>
        <b/>
        <sz val="14"/>
        <rFont val="MS Gothic"/>
        <family val="3"/>
        <charset val="128"/>
      </rPr>
      <t>月份自行車主要零件進出口統計</t>
    </r>
    <r>
      <rPr>
        <b/>
        <sz val="14"/>
        <rFont val="細明體-ExtB"/>
        <family val="1"/>
        <charset val="136"/>
      </rPr>
      <t>(</t>
    </r>
    <r>
      <rPr>
        <b/>
        <sz val="14"/>
        <rFont val="MS Gothic"/>
        <family val="3"/>
        <charset val="128"/>
      </rPr>
      <t>草本資料</t>
    </r>
    <r>
      <rPr>
        <b/>
        <sz val="14"/>
        <rFont val="細明體-ExtB"/>
        <family val="1"/>
        <charset val="136"/>
      </rPr>
      <t>)</t>
    </r>
    <phoneticPr fontId="4" type="noConversion"/>
  </si>
  <si>
    <r>
      <rPr>
        <b/>
        <sz val="12"/>
        <color indexed="12"/>
        <rFont val="細明體"/>
        <family val="3"/>
        <charset val="136"/>
      </rPr>
      <t>1-6</t>
    </r>
    <r>
      <rPr>
        <b/>
        <sz val="12"/>
        <color indexed="12"/>
        <rFont val="MS Gothic"/>
        <family val="3"/>
        <charset val="128"/>
      </rPr>
      <t>月出口量</t>
    </r>
    <phoneticPr fontId="4" type="noConversion"/>
  </si>
  <si>
    <r>
      <rPr>
        <b/>
        <sz val="12"/>
        <color indexed="12"/>
        <rFont val="細明體"/>
        <family val="3"/>
        <charset val="136"/>
      </rPr>
      <t>1-6</t>
    </r>
    <r>
      <rPr>
        <b/>
        <sz val="12"/>
        <color indexed="12"/>
        <rFont val="MS Gothic"/>
        <family val="3"/>
        <charset val="128"/>
      </rPr>
      <t>月出口金額</t>
    </r>
    <phoneticPr fontId="4" type="noConversion"/>
  </si>
  <si>
    <r>
      <rPr>
        <b/>
        <sz val="12"/>
        <rFont val="細明體"/>
        <family val="3"/>
        <charset val="136"/>
      </rPr>
      <t>1-5</t>
    </r>
    <r>
      <rPr>
        <b/>
        <sz val="12"/>
        <rFont val="MS Gothic"/>
        <family val="3"/>
        <charset val="128"/>
      </rPr>
      <t>月進口量</t>
    </r>
    <phoneticPr fontId="4" type="noConversion"/>
  </si>
  <si>
    <r>
      <rPr>
        <b/>
        <sz val="12"/>
        <rFont val="細明體"/>
        <family val="3"/>
        <charset val="136"/>
      </rPr>
      <t>1-5</t>
    </r>
    <r>
      <rPr>
        <b/>
        <sz val="12"/>
        <rFont val="MS Gothic"/>
        <family val="3"/>
        <charset val="128"/>
      </rPr>
      <t>月進口金額</t>
    </r>
    <phoneticPr fontId="4" type="noConversion"/>
  </si>
  <si>
    <r>
      <rPr>
        <b/>
        <sz val="12"/>
        <color indexed="12"/>
        <rFont val="細明體"/>
        <family val="3"/>
        <charset val="136"/>
      </rPr>
      <t>1-6</t>
    </r>
    <r>
      <rPr>
        <b/>
        <sz val="12"/>
        <color indexed="12"/>
        <rFont val="MS Gothic"/>
        <family val="3"/>
        <charset val="128"/>
      </rPr>
      <t>月進口量</t>
    </r>
    <phoneticPr fontId="4" type="noConversion"/>
  </si>
  <si>
    <r>
      <rPr>
        <b/>
        <sz val="12"/>
        <color indexed="12"/>
        <rFont val="細明體"/>
        <family val="3"/>
        <charset val="136"/>
      </rPr>
      <t>1-6</t>
    </r>
    <r>
      <rPr>
        <b/>
        <sz val="12"/>
        <color indexed="12"/>
        <rFont val="MS Gothic"/>
        <family val="3"/>
        <charset val="128"/>
      </rPr>
      <t>月進口金額</t>
    </r>
    <phoneticPr fontId="4" type="noConversion"/>
  </si>
  <si>
    <t>CCC CODE: 87120090004 (Other Cycles)</t>
    <phoneticPr fontId="3" type="noConversion"/>
  </si>
  <si>
    <t>87120010305</t>
    <phoneticPr fontId="6" type="noConversion"/>
  </si>
  <si>
    <t>2020年</t>
  </si>
  <si>
    <t>其他車架.前叉及相關零件</t>
    <phoneticPr fontId="4" type="noConversion"/>
  </si>
  <si>
    <t>87116020007 (Cycles with electric motor for propulsion) &amp; 87119030900 (Other cycles fitted with other auxiliary motor)</t>
    <phoneticPr fontId="6" type="noConversion"/>
  </si>
  <si>
    <t>賽普勒斯</t>
    <phoneticPr fontId="4" type="noConversion"/>
  </si>
  <si>
    <t>CCC CODE:87120010109 (Folding Bicycles)</t>
    <phoneticPr fontId="6" type="noConversion"/>
  </si>
  <si>
    <t>pce)</t>
    <phoneticPr fontId="3" type="noConversion"/>
  </si>
  <si>
    <t>pce)</t>
    <phoneticPr fontId="3" type="noConversion"/>
  </si>
  <si>
    <r>
      <t>增</t>
    </r>
    <r>
      <rPr>
        <sz val="12"/>
        <color rgb="FFFF0000"/>
        <rFont val="華康仿宋體"/>
        <family val="1"/>
        <charset val="136"/>
      </rPr>
      <t>/</t>
    </r>
    <r>
      <rPr>
        <sz val="12"/>
        <color indexed="10"/>
        <rFont val="華康仿宋體"/>
        <family val="1"/>
        <charset val="136"/>
      </rPr>
      <t>減</t>
    </r>
    <phoneticPr fontId="6" type="noConversion"/>
  </si>
  <si>
    <r>
      <t>增</t>
    </r>
    <r>
      <rPr>
        <sz val="12"/>
        <color rgb="FFFF0000"/>
        <rFont val="華康仿宋體"/>
        <family val="1"/>
        <charset val="136"/>
      </rPr>
      <t>/</t>
    </r>
    <r>
      <rPr>
        <sz val="12"/>
        <color indexed="10"/>
        <rFont val="華康仿宋體"/>
        <family val="1"/>
        <charset val="136"/>
      </rPr>
      <t>減</t>
    </r>
    <phoneticPr fontId="6" type="noConversion"/>
  </si>
  <si>
    <r>
      <t>增</t>
    </r>
    <r>
      <rPr>
        <sz val="12"/>
        <color rgb="FFFF0000"/>
        <rFont val="華康仿宋體"/>
        <family val="1"/>
        <charset val="136"/>
      </rPr>
      <t>/</t>
    </r>
    <r>
      <rPr>
        <sz val="12"/>
        <color indexed="10"/>
        <rFont val="華康仿宋體"/>
        <family val="1"/>
        <charset val="136"/>
      </rPr>
      <t>減</t>
    </r>
    <phoneticPr fontId="6" type="noConversion"/>
  </si>
  <si>
    <t>輪幅</t>
    <phoneticPr fontId="4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</si>
  <si>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</si>
  <si>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</si>
  <si>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</si>
  <si>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英國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</si>
  <si>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</si>
  <si>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</si>
  <si>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</si>
  <si>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</si>
  <si>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</si>
  <si>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</si>
  <si>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</si>
  <si>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</si>
  <si>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</si>
  <si>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</si>
  <si>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</si>
  <si>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</si>
  <si>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</si>
  <si>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南非</t>
    <phoneticPr fontId="12" type="noConversion"/>
  </si>
  <si>
    <t>泰國</t>
    <phoneticPr fontId="4" type="noConversion"/>
  </si>
  <si>
    <t>韓國</t>
    <phoneticPr fontId="12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</si>
  <si>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</si>
  <si>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</si>
  <si>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捷克</t>
    <phoneticPr fontId="4" type="noConversion"/>
  </si>
  <si>
    <t>波蘭</t>
    <phoneticPr fontId="4" type="noConversion"/>
  </si>
  <si>
    <t>越南</t>
    <phoneticPr fontId="12" type="noConversion"/>
  </si>
  <si>
    <t>澳門</t>
    <phoneticPr fontId="6" type="noConversion"/>
  </si>
  <si>
    <t>香港</t>
    <phoneticPr fontId="6" type="noConversion"/>
  </si>
  <si>
    <r>
      <rPr>
        <b/>
        <sz val="12"/>
        <rFont val="新細明體"/>
        <family val="1"/>
        <charset val="136"/>
      </rPr>
      <t>美國</t>
    </r>
    <phoneticPr fontId="3" type="noConversion"/>
  </si>
  <si>
    <r>
      <rPr>
        <b/>
        <sz val="12"/>
        <rFont val="新細明體"/>
        <family val="1"/>
        <charset val="136"/>
      </rPr>
      <t>荷蘭</t>
    </r>
    <phoneticPr fontId="3" type="noConversion"/>
  </si>
  <si>
    <r>
      <rPr>
        <b/>
        <sz val="12"/>
        <rFont val="新細明體"/>
        <family val="1"/>
        <charset val="136"/>
      </rPr>
      <t>德國</t>
    </r>
    <phoneticPr fontId="3" type="noConversion"/>
  </si>
  <si>
    <r>
      <rPr>
        <b/>
        <sz val="12"/>
        <rFont val="新細明體"/>
        <family val="1"/>
        <charset val="136"/>
      </rPr>
      <t>英國</t>
    </r>
    <phoneticPr fontId="3" type="noConversion"/>
  </si>
  <si>
    <r>
      <rPr>
        <b/>
        <sz val="12"/>
        <rFont val="新細明體"/>
        <family val="1"/>
        <charset val="136"/>
      </rPr>
      <t>法國</t>
    </r>
    <phoneticPr fontId="3" type="noConversion"/>
  </si>
  <si>
    <r>
      <rPr>
        <b/>
        <sz val="12"/>
        <rFont val="新細明體"/>
        <family val="1"/>
        <charset val="136"/>
      </rPr>
      <t>丹麥</t>
    </r>
    <phoneticPr fontId="3" type="noConversion"/>
  </si>
  <si>
    <r>
      <rPr>
        <b/>
        <sz val="12"/>
        <rFont val="新細明體"/>
        <family val="1"/>
        <charset val="136"/>
      </rPr>
      <t>希臘</t>
    </r>
    <phoneticPr fontId="3" type="noConversion"/>
  </si>
  <si>
    <r>
      <rPr>
        <b/>
        <sz val="12"/>
        <rFont val="新細明體"/>
        <family val="1"/>
        <charset val="136"/>
      </rPr>
      <t>瑞典</t>
    </r>
    <phoneticPr fontId="3" type="noConversion"/>
  </si>
  <si>
    <r>
      <rPr>
        <b/>
        <sz val="12"/>
        <rFont val="新細明體"/>
        <family val="1"/>
        <charset val="136"/>
      </rPr>
      <t>芬蘭</t>
    </r>
    <phoneticPr fontId="3" type="noConversion"/>
  </si>
  <si>
    <t>波蘭</t>
  </si>
  <si>
    <t>捷克</t>
  </si>
  <si>
    <r>
      <rPr>
        <b/>
        <sz val="12"/>
        <rFont val="新細明體"/>
        <family val="1"/>
        <charset val="136"/>
      </rPr>
      <t>瑞士</t>
    </r>
    <phoneticPr fontId="3" type="noConversion"/>
  </si>
  <si>
    <r>
      <rPr>
        <b/>
        <sz val="12"/>
        <rFont val="新細明體"/>
        <family val="1"/>
        <charset val="136"/>
      </rPr>
      <t>挪威</t>
    </r>
    <phoneticPr fontId="3" type="noConversion"/>
  </si>
  <si>
    <r>
      <rPr>
        <b/>
        <sz val="12"/>
        <rFont val="新細明體"/>
        <family val="1"/>
        <charset val="136"/>
      </rPr>
      <t>冰島</t>
    </r>
    <phoneticPr fontId="3" type="noConversion"/>
  </si>
  <si>
    <r>
      <rPr>
        <b/>
        <sz val="12"/>
        <rFont val="新細明體"/>
        <family val="1"/>
        <charset val="136"/>
      </rPr>
      <t>日本</t>
    </r>
    <phoneticPr fontId="3" type="noConversion"/>
  </si>
  <si>
    <r>
      <rPr>
        <b/>
        <sz val="12"/>
        <rFont val="新細明體"/>
        <family val="1"/>
        <charset val="136"/>
      </rPr>
      <t>巴西</t>
    </r>
    <phoneticPr fontId="3" type="noConversion"/>
  </si>
  <si>
    <r>
      <rPr>
        <b/>
        <sz val="12"/>
        <rFont val="新細明體"/>
        <family val="1"/>
        <charset val="136"/>
      </rPr>
      <t>智利</t>
    </r>
    <phoneticPr fontId="3" type="noConversion"/>
  </si>
  <si>
    <t>南非</t>
  </si>
  <si>
    <t>韓國</t>
  </si>
  <si>
    <t>荷蘭</t>
  </si>
  <si>
    <t>德國</t>
  </si>
  <si>
    <t>英國</t>
  </si>
  <si>
    <t>法國</t>
  </si>
  <si>
    <t>丹麥</t>
  </si>
  <si>
    <t>希臘</t>
  </si>
  <si>
    <t>瑞典</t>
  </si>
  <si>
    <t>芬蘭</t>
  </si>
  <si>
    <t>匈牙利</t>
  </si>
  <si>
    <t>馬爾他</t>
  </si>
  <si>
    <t>斯洛維尼亞</t>
  </si>
  <si>
    <t>斯洛伐克</t>
  </si>
  <si>
    <t>愛沙尼亞</t>
  </si>
  <si>
    <t>拉脫維亞</t>
  </si>
  <si>
    <t>立陶宛</t>
  </si>
  <si>
    <t>賽普路斯</t>
  </si>
  <si>
    <t>羅馬尼亞</t>
  </si>
  <si>
    <t>保加利亞</t>
  </si>
  <si>
    <t>克羅埃西亞</t>
  </si>
  <si>
    <t>瑞士</t>
  </si>
  <si>
    <t>挪威</t>
  </si>
  <si>
    <t>冰島</t>
  </si>
  <si>
    <t>日本</t>
  </si>
  <si>
    <t>巴西</t>
  </si>
  <si>
    <t>智利</t>
  </si>
  <si>
    <t>澳大利亞</t>
  </si>
  <si>
    <t>中國大陸</t>
  </si>
  <si>
    <t>俄羅斯</t>
  </si>
  <si>
    <t>烏克蘭</t>
  </si>
  <si>
    <t>紐西蘭</t>
  </si>
  <si>
    <r>
      <rPr>
        <sz val="12"/>
        <rFont val="新細明體"/>
        <family val="1"/>
        <charset val="136"/>
      </rPr>
      <t>阿拉伯聯合大公國</t>
    </r>
    <phoneticPr fontId="3" type="noConversion"/>
  </si>
  <si>
    <t>總計</t>
    <phoneticPr fontId="3" type="noConversion"/>
  </si>
  <si>
    <t>總計</t>
    <phoneticPr fontId="3" type="noConversion"/>
  </si>
  <si>
    <t>總計</t>
    <phoneticPr fontId="3" type="noConversion"/>
  </si>
  <si>
    <t>2021年</t>
  </si>
  <si>
    <t>*自2021年1月起英國退出歐盟</t>
    <phoneticPr fontId="6" type="noConversion"/>
  </si>
  <si>
    <r>
      <t>2022</t>
    </r>
    <r>
      <rPr>
        <sz val="11"/>
        <color rgb="FFCC3300"/>
        <rFont val="新細明體"/>
        <family val="1"/>
        <charset val="136"/>
      </rPr>
      <t>年</t>
    </r>
    <phoneticPr fontId="6" type="noConversion"/>
  </si>
  <si>
    <t>2019年</t>
    <phoneticPr fontId="6" type="noConversion"/>
  </si>
  <si>
    <t>2018年</t>
    <phoneticPr fontId="6" type="noConversion"/>
  </si>
  <si>
    <t>2017年</t>
    <phoneticPr fontId="6" type="noConversion"/>
  </si>
  <si>
    <t>2016年</t>
    <phoneticPr fontId="6" type="noConversion"/>
  </si>
  <si>
    <t>2015年</t>
    <phoneticPr fontId="6" type="noConversion"/>
  </si>
  <si>
    <t>2014年</t>
    <phoneticPr fontId="6" type="noConversion"/>
  </si>
  <si>
    <t>2013年</t>
    <phoneticPr fontId="6" type="noConversion"/>
  </si>
  <si>
    <t>2012年</t>
    <phoneticPr fontId="6" type="noConversion"/>
  </si>
  <si>
    <t>2006年</t>
    <phoneticPr fontId="6" type="noConversion"/>
  </si>
  <si>
    <t>2004年</t>
    <phoneticPr fontId="6" type="noConversion"/>
  </si>
  <si>
    <t>八月</t>
    <phoneticPr fontId="6" type="noConversion"/>
  </si>
  <si>
    <t>台灣自行車出口歐盟平均單價(草本統計)</t>
    <phoneticPr fontId="6" type="noConversion"/>
  </si>
  <si>
    <r>
      <t>2022</t>
    </r>
    <r>
      <rPr>
        <sz val="12"/>
        <color rgb="FFCC3300"/>
        <rFont val="新細明體"/>
        <family val="1"/>
        <charset val="136"/>
      </rPr>
      <t>年</t>
    </r>
    <phoneticPr fontId="6" type="noConversion"/>
  </si>
  <si>
    <r>
      <t>2020</t>
    </r>
    <r>
      <rPr>
        <sz val="12"/>
        <color indexed="36"/>
        <rFont val="Microsoft JhengHei UI"/>
        <family val="2"/>
        <charset val="136"/>
      </rPr>
      <t>年</t>
    </r>
    <phoneticPr fontId="6" type="noConversion"/>
  </si>
  <si>
    <t>台灣自行車出口歐盟數量(草本統計)</t>
    <phoneticPr fontId="6" type="noConversion"/>
  </si>
  <si>
    <t>2021年</t>
    <phoneticPr fontId="6" type="noConversion"/>
  </si>
  <si>
    <t>2020年</t>
    <phoneticPr fontId="6" type="noConversion"/>
  </si>
  <si>
    <t>台灣自行車出口歐盟金額(草本統計)</t>
    <phoneticPr fontId="6" type="noConversion"/>
  </si>
  <si>
    <t>裝有棘輪機構之單一鏈輪</t>
    <phoneticPr fontId="4" type="noConversion"/>
  </si>
  <si>
    <t>其他飛輪之鏈輪</t>
    <phoneticPr fontId="4" type="noConversion"/>
  </si>
  <si>
    <t>其他飛輪之鏈輪</t>
    <phoneticPr fontId="4" type="noConversion"/>
  </si>
  <si>
    <t>裝有棘輪機構之單一鏈輪</t>
    <phoneticPr fontId="4" type="noConversion"/>
  </si>
  <si>
    <t>裝有棘輪機構之單一鏈輪</t>
    <phoneticPr fontId="4" type="noConversion"/>
  </si>
  <si>
    <t>裝有棘輪機構之單一鏈輪</t>
    <phoneticPr fontId="3" type="noConversion"/>
  </si>
  <si>
    <t>其他飛輪之鏈輪</t>
    <phoneticPr fontId="3" type="noConversion"/>
  </si>
  <si>
    <t xml:space="preserve">  87116020007 ( Cycles with electric motor for propulsion )&amp;87119030900 ( Other cycles fitted with other auxiliary motor )</t>
    <phoneticPr fontId="6" type="noConversion"/>
  </si>
  <si>
    <t>同期進口</t>
    <phoneticPr fontId="4" type="noConversion"/>
  </si>
  <si>
    <t>同期進口　</t>
    <phoneticPr fontId="6" type="noConversion"/>
  </si>
  <si>
    <t>2023年</t>
    <phoneticPr fontId="3" type="noConversion"/>
  </si>
  <si>
    <r>
      <t>*自2021年1月起</t>
    </r>
    <r>
      <rPr>
        <b/>
        <sz val="12"/>
        <rFont val="新細明體"/>
        <family val="1"/>
        <charset val="136"/>
        <scheme val="minor"/>
      </rPr>
      <t>英國</t>
    </r>
    <r>
      <rPr>
        <sz val="12"/>
        <rFont val="新細明體"/>
        <family val="1"/>
        <charset val="136"/>
        <scheme val="minor"/>
      </rPr>
      <t>退出歐盟</t>
    </r>
    <phoneticPr fontId="6" type="noConversion"/>
  </si>
  <si>
    <r>
      <t>*</t>
    </r>
    <r>
      <rPr>
        <b/>
        <sz val="12"/>
        <rFont val="新細明體"/>
        <family val="1"/>
        <charset val="136"/>
        <scheme val="minor"/>
      </rPr>
      <t>英國</t>
    </r>
    <phoneticPr fontId="6" type="noConversion"/>
  </si>
  <si>
    <r>
      <t>2022</t>
    </r>
    <r>
      <rPr>
        <sz val="11"/>
        <rFont val="新細明體"/>
        <family val="1"/>
        <charset val="136"/>
      </rPr>
      <t>年</t>
    </r>
    <phoneticPr fontId="6" type="noConversion"/>
  </si>
  <si>
    <t>2024年</t>
    <phoneticPr fontId="3" type="noConversion"/>
  </si>
  <si>
    <t>*英國</t>
    <phoneticPr fontId="3" type="noConversion"/>
  </si>
  <si>
    <r>
      <t>2021</t>
    </r>
    <r>
      <rPr>
        <sz val="12"/>
        <color rgb="FF005696"/>
        <rFont val="新細明體"/>
        <family val="1"/>
        <charset val="136"/>
      </rPr>
      <t>年</t>
    </r>
    <phoneticPr fontId="3" type="noConversion"/>
  </si>
  <si>
    <r>
      <t>2024</t>
    </r>
    <r>
      <rPr>
        <sz val="11"/>
        <rFont val="新細明體"/>
        <family val="1"/>
        <charset val="136"/>
      </rPr>
      <t>年</t>
    </r>
    <phoneticPr fontId="3" type="noConversion"/>
  </si>
  <si>
    <t>台灣電動輔助自行車出口歐盟平均單價</t>
    <phoneticPr fontId="6" type="noConversion"/>
  </si>
  <si>
    <t>台灣電動輔助自行車出口歐盟數量</t>
    <phoneticPr fontId="6" type="noConversion"/>
  </si>
  <si>
    <t>台灣電動輔助自行車出口歐盟金額</t>
    <phoneticPr fontId="6" type="noConversion"/>
  </si>
  <si>
    <t>增/減</t>
  </si>
  <si>
    <t>平均單價(US$)</t>
  </si>
  <si>
    <t>鏈</t>
    <phoneticPr fontId="3" type="noConversion"/>
  </si>
  <si>
    <t>2025年</t>
    <phoneticPr fontId="3" type="noConversion"/>
  </si>
  <si>
    <r>
      <t>2025</t>
    </r>
    <r>
      <rPr>
        <sz val="12"/>
        <rFont val="Microsoft JhengHei"/>
        <family val="1"/>
      </rPr>
      <t>年</t>
    </r>
    <phoneticPr fontId="3" type="noConversion"/>
  </si>
  <si>
    <r>
      <t>2026</t>
    </r>
    <r>
      <rPr>
        <sz val="12"/>
        <rFont val="MS Gothic"/>
        <family val="3"/>
        <charset val="128"/>
      </rPr>
      <t>年</t>
    </r>
    <phoneticPr fontId="4" type="noConversion"/>
  </si>
  <si>
    <r>
      <t>2025</t>
    </r>
    <r>
      <rPr>
        <sz val="12"/>
        <color indexed="12"/>
        <rFont val="MS Gothic"/>
        <family val="3"/>
        <charset val="128"/>
      </rPr>
      <t>年</t>
    </r>
    <phoneticPr fontId="4" type="noConversion"/>
  </si>
  <si>
    <r>
      <t>2026</t>
    </r>
    <r>
      <rPr>
        <sz val="12"/>
        <rFont val="新細明體"/>
        <family val="1"/>
        <charset val="136"/>
      </rPr>
      <t>年</t>
    </r>
    <phoneticPr fontId="3" type="noConversion"/>
  </si>
  <si>
    <r>
      <t>2025</t>
    </r>
    <r>
      <rPr>
        <sz val="12"/>
        <color rgb="FF0000FF"/>
        <rFont val="新細明體"/>
        <family val="1"/>
        <charset val="136"/>
      </rPr>
      <t>年</t>
    </r>
    <phoneticPr fontId="3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</si>
  <si>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經濟部國際貿易署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r>
      <rPr>
        <sz val="12"/>
        <rFont val="細明體-ExtB"/>
        <family val="1"/>
        <charset val="136"/>
      </rPr>
      <t>(</t>
    </r>
    <r>
      <rPr>
        <sz val="12"/>
        <rFont val="新細明體"/>
        <family val="1"/>
        <charset val="136"/>
      </rPr>
      <t>含復出口</t>
    </r>
    <r>
      <rPr>
        <sz val="12"/>
        <rFont val="細明體-ExtB"/>
        <family val="1"/>
        <charset val="136"/>
      </rPr>
      <t>)</t>
    </r>
    <phoneticPr fontId="6" type="noConversion"/>
  </si>
  <si>
    <r>
      <t>資料來源: 經濟部國際貿易</t>
    </r>
    <r>
      <rPr>
        <b/>
        <sz val="12"/>
        <rFont val="Microsoft JhengHei"/>
        <family val="1"/>
      </rPr>
      <t>署</t>
    </r>
    <r>
      <rPr>
        <b/>
        <sz val="12"/>
        <rFont val="華康仿宋體"/>
        <family val="1"/>
        <charset val="136"/>
      </rPr>
      <t>,臺灣自行車輸出業同業公會整理(含復出口)</t>
    </r>
    <phoneticPr fontId="6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</si>
  <si>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>:</t>
    </r>
    <r>
      <rPr>
        <sz val="12"/>
        <rFont val="新細明體"/>
        <family val="1"/>
        <charset val="136"/>
      </rPr>
      <t>經濟部國際貿易署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r>
      <rPr>
        <sz val="12"/>
        <rFont val="細明體-ExtB"/>
        <family val="1"/>
        <charset val="136"/>
      </rPr>
      <t>(</t>
    </r>
    <r>
      <rPr>
        <sz val="12"/>
        <rFont val="新細明體"/>
        <family val="1"/>
        <charset val="136"/>
      </rPr>
      <t>含復進口</t>
    </r>
    <r>
      <rPr>
        <sz val="12"/>
        <rFont val="細明體-ExtB"/>
        <family val="1"/>
        <charset val="136"/>
      </rPr>
      <t>)</t>
    </r>
    <phoneticPr fontId="6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</si>
  <si>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>:</t>
    </r>
    <r>
      <rPr>
        <sz val="12"/>
        <rFont val="新細明體"/>
        <family val="1"/>
        <charset val="136"/>
      </rPr>
      <t>經濟部國際貿易署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r>
      <rPr>
        <sz val="12"/>
        <rFont val="細明體-ExtB"/>
        <family val="1"/>
        <charset val="136"/>
      </rPr>
      <t>(</t>
    </r>
    <r>
      <rPr>
        <sz val="12"/>
        <rFont val="新細明體"/>
        <family val="1"/>
        <charset val="136"/>
      </rPr>
      <t>含復出口</t>
    </r>
    <r>
      <rPr>
        <sz val="12"/>
        <rFont val="細明體-ExtB"/>
        <family val="1"/>
        <charset val="136"/>
      </rPr>
      <t>)</t>
    </r>
    <phoneticPr fontId="6" type="noConversion"/>
  </si>
  <si>
    <r>
      <rPr>
        <sz val="12"/>
        <rFont val="MS Gothic"/>
        <family val="3"/>
        <charset val="128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MS Gothic"/>
        <family val="3"/>
        <charset val="128"/>
      </rPr>
      <t>經濟部國際貿易</t>
    </r>
    <r>
      <rPr>
        <sz val="12"/>
        <rFont val="Microsoft JhengHei"/>
        <family val="3"/>
      </rPr>
      <t>署</t>
    </r>
    <r>
      <rPr>
        <sz val="12"/>
        <rFont val="細明體-ExtB"/>
        <family val="1"/>
        <charset val="136"/>
      </rPr>
      <t>,</t>
    </r>
    <r>
      <rPr>
        <sz val="12"/>
        <rFont val="MS Gothic"/>
        <family val="3"/>
        <charset val="128"/>
      </rPr>
      <t>臺灣自行車輸出業同業公會整理</t>
    </r>
    <r>
      <rPr>
        <sz val="12"/>
        <rFont val="細明體-ExtB"/>
        <family val="1"/>
        <charset val="136"/>
      </rPr>
      <t>(</t>
    </r>
    <r>
      <rPr>
        <sz val="12"/>
        <rFont val="MS Gothic"/>
        <family val="3"/>
        <charset val="128"/>
      </rPr>
      <t>含復出口</t>
    </r>
    <r>
      <rPr>
        <sz val="12"/>
        <rFont val="細明體-ExtB"/>
        <family val="1"/>
        <charset val="136"/>
      </rPr>
      <t>)</t>
    </r>
    <phoneticPr fontId="6" type="noConversion"/>
  </si>
  <si>
    <r>
      <t>2026</t>
    </r>
    <r>
      <rPr>
        <sz val="8"/>
        <color rgb="FF008000"/>
        <rFont val="MS Gothic"/>
        <family val="3"/>
        <charset val="128"/>
      </rPr>
      <t>年平均單價</t>
    </r>
    <phoneticPr fontId="4" type="noConversion"/>
  </si>
  <si>
    <r>
      <t>2025</t>
    </r>
    <r>
      <rPr>
        <sz val="8"/>
        <color rgb="FF008000"/>
        <rFont val="MS Gothic"/>
        <family val="3"/>
        <charset val="128"/>
      </rPr>
      <t>年平均單價　</t>
    </r>
    <phoneticPr fontId="4" type="noConversion"/>
  </si>
  <si>
    <r>
      <rPr>
        <sz val="12"/>
        <rFont val="MS Gothic"/>
        <family val="3"/>
        <charset val="128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MS Gothic"/>
        <family val="3"/>
        <charset val="128"/>
      </rPr>
      <t>經濟部國際貿</t>
    </r>
    <r>
      <rPr>
        <sz val="12"/>
        <rFont val="Microsoft JhengHei"/>
        <family val="3"/>
        <charset val="136"/>
      </rPr>
      <t>易</t>
    </r>
    <r>
      <rPr>
        <sz val="12"/>
        <rFont val="Microsoft JhengHei"/>
        <family val="3"/>
      </rPr>
      <t>署</t>
    </r>
    <r>
      <rPr>
        <sz val="12"/>
        <rFont val="細明體-ExtB"/>
        <family val="3"/>
        <charset val="136"/>
      </rPr>
      <t>,</t>
    </r>
    <r>
      <rPr>
        <sz val="12"/>
        <rFont val="MS Gothic"/>
        <family val="3"/>
        <charset val="128"/>
      </rPr>
      <t>臺灣自行車輸出業同業公會整理</t>
    </r>
    <r>
      <rPr>
        <sz val="12"/>
        <rFont val="細明體-ExtB"/>
        <family val="1"/>
        <charset val="136"/>
      </rPr>
      <t>(</t>
    </r>
    <r>
      <rPr>
        <sz val="12"/>
        <rFont val="MS Gothic"/>
        <family val="3"/>
        <charset val="128"/>
      </rPr>
      <t>含復出口</t>
    </r>
    <r>
      <rPr>
        <sz val="12"/>
        <rFont val="細明體-ExtB"/>
        <family val="1"/>
        <charset val="136"/>
      </rPr>
      <t>)</t>
    </r>
    <phoneticPr fontId="6" type="noConversion"/>
  </si>
  <si>
    <t>2026年</t>
  </si>
  <si>
    <t>2026年</t>
    <phoneticPr fontId="3" type="noConversion"/>
  </si>
  <si>
    <r>
      <t>資料來源</t>
    </r>
    <r>
      <rPr>
        <sz val="12"/>
        <rFont val="新細明體"/>
        <family val="3"/>
        <charset val="136"/>
      </rPr>
      <t>: 經濟部</t>
    </r>
    <r>
      <rPr>
        <sz val="12"/>
        <color theme="1"/>
        <rFont val="新細明體"/>
        <family val="2"/>
        <charset val="136"/>
        <scheme val="minor"/>
      </rPr>
      <t>國際貿易署 與 財政部關稅署</t>
    </r>
    <r>
      <rPr>
        <sz val="12"/>
        <rFont val="新細明體"/>
        <family val="3"/>
        <charset val="136"/>
      </rPr>
      <t xml:space="preserve">, </t>
    </r>
    <r>
      <rPr>
        <sz val="12"/>
        <color theme="1"/>
        <rFont val="新細明體"/>
        <family val="2"/>
        <charset val="136"/>
        <scheme val="minor"/>
      </rPr>
      <t>臺灣自行車輸出業同業公會整理</t>
    </r>
    <phoneticPr fontId="6" type="noConversion"/>
  </si>
  <si>
    <t>資料來源: 經濟部國際貿易署&amp;財政部關稅署,臺灣自行車輸出業同業公會整理</t>
    <phoneticPr fontId="6" type="noConversion"/>
  </si>
  <si>
    <r>
      <t>2026年</t>
    </r>
    <r>
      <rPr>
        <sz val="12"/>
        <rFont val="Microsoft JhengHei"/>
        <family val="1"/>
      </rPr>
      <t/>
    </r>
  </si>
  <si>
    <t>資料來源: 經濟部國際貿易署&amp;財政部關稅署,臺灣自行車輸出業同業公會整理</t>
    <phoneticPr fontId="3" type="noConversion"/>
  </si>
  <si>
    <r>
      <t>2026</t>
    </r>
    <r>
      <rPr>
        <sz val="14"/>
        <rFont val="MS Gothic"/>
        <family val="3"/>
        <charset val="128"/>
      </rPr>
      <t>年</t>
    </r>
    <r>
      <rPr>
        <sz val="14"/>
        <rFont val="細明體-ExtB"/>
        <family val="1"/>
        <charset val="136"/>
      </rPr>
      <t>1-2</t>
    </r>
    <r>
      <rPr>
        <sz val="14"/>
        <rFont val="MS Gothic"/>
        <family val="3"/>
        <charset val="128"/>
      </rPr>
      <t>月台灣自行車主要</t>
    </r>
    <r>
      <rPr>
        <sz val="14"/>
        <color rgb="FFFF0000"/>
        <rFont val="MS Gothic"/>
        <family val="3"/>
        <charset val="128"/>
      </rPr>
      <t>出口</t>
    </r>
    <r>
      <rPr>
        <sz val="14"/>
        <rFont val="MS Gothic"/>
        <family val="3"/>
        <charset val="128"/>
      </rPr>
      <t>國家統計</t>
    </r>
    <r>
      <rPr>
        <sz val="14"/>
        <rFont val="細明體-ExtB"/>
        <family val="1"/>
        <charset val="136"/>
      </rPr>
      <t>(</t>
    </r>
    <r>
      <rPr>
        <sz val="14"/>
        <rFont val="MS Gothic"/>
        <family val="3"/>
        <charset val="128"/>
      </rPr>
      <t>草本統計</t>
    </r>
    <r>
      <rPr>
        <sz val="14"/>
        <rFont val="細明體-ExtB"/>
        <family val="1"/>
        <charset val="136"/>
      </rPr>
      <t>)</t>
    </r>
    <phoneticPr fontId="4" type="noConversion"/>
  </si>
  <si>
    <r>
      <t>2026</t>
    </r>
    <r>
      <rPr>
        <sz val="12"/>
        <rFont val="MS Gothic"/>
        <family val="3"/>
        <charset val="128"/>
      </rPr>
      <t>年2月</t>
    </r>
    <phoneticPr fontId="4" type="noConversion"/>
  </si>
  <si>
    <t>2月數量</t>
    <phoneticPr fontId="4" type="noConversion"/>
  </si>
  <si>
    <t>2月金額</t>
    <phoneticPr fontId="4" type="noConversion"/>
  </si>
  <si>
    <r>
      <t>1-2</t>
    </r>
    <r>
      <rPr>
        <b/>
        <sz val="12"/>
        <rFont val="MS Gothic"/>
        <family val="3"/>
        <charset val="128"/>
      </rPr>
      <t>月數量</t>
    </r>
    <phoneticPr fontId="4" type="noConversion"/>
  </si>
  <si>
    <r>
      <t>1-2</t>
    </r>
    <r>
      <rPr>
        <b/>
        <sz val="12"/>
        <rFont val="MS Gothic"/>
        <family val="3"/>
        <charset val="128"/>
      </rPr>
      <t>月金額</t>
    </r>
    <phoneticPr fontId="4" type="noConversion"/>
  </si>
  <si>
    <r>
      <t>2026</t>
    </r>
    <r>
      <rPr>
        <sz val="12"/>
        <rFont val="新細明體"/>
        <family val="1"/>
        <charset val="136"/>
      </rPr>
      <t>年2月</t>
    </r>
    <phoneticPr fontId="3" type="noConversion"/>
  </si>
  <si>
    <t>2月數量</t>
    <phoneticPr fontId="3" type="noConversion"/>
  </si>
  <si>
    <t>2月金額</t>
    <phoneticPr fontId="3" type="noConversion"/>
  </si>
  <si>
    <t>1-2月數量</t>
    <phoneticPr fontId="3" type="noConversion"/>
  </si>
  <si>
    <t>1-2月金額</t>
    <phoneticPr fontId="3" type="noConversion"/>
  </si>
  <si>
    <r>
      <t xml:space="preserve">2026/2025 </t>
    </r>
    <r>
      <rPr>
        <sz val="14"/>
        <rFont val="細明體-ExtB"/>
        <family val="1"/>
        <charset val="136"/>
      </rPr>
      <t>1-2</t>
    </r>
    <r>
      <rPr>
        <sz val="14"/>
        <rFont val="MS Gothic"/>
        <family val="3"/>
        <charset val="128"/>
      </rPr>
      <t>月台灣自行車</t>
    </r>
    <r>
      <rPr>
        <sz val="14"/>
        <color indexed="10"/>
        <rFont val="MS Gothic"/>
        <family val="3"/>
        <charset val="128"/>
      </rPr>
      <t>出口</t>
    </r>
    <r>
      <rPr>
        <sz val="14"/>
        <rFont val="MS Gothic"/>
        <family val="3"/>
        <charset val="128"/>
      </rPr>
      <t>主要國家比較</t>
    </r>
    <r>
      <rPr>
        <sz val="14"/>
        <rFont val="細明體-ExtB"/>
        <family val="1"/>
        <charset val="136"/>
      </rPr>
      <t xml:space="preserve"> (</t>
    </r>
    <r>
      <rPr>
        <sz val="14"/>
        <rFont val="MS Gothic"/>
        <family val="3"/>
        <charset val="128"/>
      </rPr>
      <t>草本統計</t>
    </r>
    <r>
      <rPr>
        <sz val="14"/>
        <rFont val="細明體-ExtB"/>
        <family val="1"/>
        <charset val="136"/>
      </rPr>
      <t>)</t>
    </r>
    <phoneticPr fontId="4" type="noConversion"/>
  </si>
  <si>
    <r>
      <t>2026/2025 1-2</t>
    </r>
    <r>
      <rPr>
        <sz val="9"/>
        <rFont val="新細明體"/>
        <family val="1"/>
        <charset val="136"/>
      </rPr>
      <t>月</t>
    </r>
    <phoneticPr fontId="3" type="noConversion"/>
  </si>
  <si>
    <r>
      <t>2026</t>
    </r>
    <r>
      <rPr>
        <b/>
        <sz val="14"/>
        <rFont val="MS Gothic"/>
        <family val="3"/>
        <charset val="128"/>
      </rPr>
      <t>年</t>
    </r>
    <r>
      <rPr>
        <b/>
        <sz val="14"/>
        <rFont val="華康仿宋體"/>
        <family val="1"/>
      </rPr>
      <t>1-2</t>
    </r>
    <r>
      <rPr>
        <b/>
        <sz val="14"/>
        <rFont val="MS Gothic"/>
        <family val="3"/>
        <charset val="128"/>
      </rPr>
      <t>月台灣自行車主要</t>
    </r>
    <r>
      <rPr>
        <b/>
        <sz val="14"/>
        <color indexed="10"/>
        <rFont val="MS Gothic"/>
        <family val="3"/>
        <charset val="128"/>
      </rPr>
      <t>進口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華康仿宋體"/>
        <family val="1"/>
      </rPr>
      <t>(</t>
    </r>
    <r>
      <rPr>
        <b/>
        <sz val="14"/>
        <rFont val="MS Gothic"/>
        <family val="3"/>
        <charset val="128"/>
      </rPr>
      <t>草本統計</t>
    </r>
    <r>
      <rPr>
        <b/>
        <sz val="14"/>
        <rFont val="華康仿宋體"/>
        <family val="1"/>
      </rPr>
      <t>)</t>
    </r>
    <phoneticPr fontId="4" type="noConversion"/>
  </si>
  <si>
    <r>
      <rPr>
        <sz val="14"/>
        <rFont val="細明體-ExtB"/>
        <family val="1"/>
        <charset val="136"/>
      </rPr>
      <t>2026/2025 1-2</t>
    </r>
    <r>
      <rPr>
        <sz val="14"/>
        <rFont val="新細明體"/>
        <family val="1"/>
        <charset val="136"/>
      </rPr>
      <t>月</t>
    </r>
    <r>
      <rPr>
        <sz val="14"/>
        <rFont val="MS Gothic"/>
        <family val="3"/>
        <charset val="128"/>
      </rPr>
      <t>台灣自行車</t>
    </r>
    <r>
      <rPr>
        <sz val="14"/>
        <color indexed="10"/>
        <rFont val="MS Gothic"/>
        <family val="3"/>
        <charset val="128"/>
      </rPr>
      <t>進口</t>
    </r>
    <r>
      <rPr>
        <sz val="14"/>
        <rFont val="MS Gothic"/>
        <family val="3"/>
        <charset val="128"/>
      </rPr>
      <t>主要國家比較</t>
    </r>
    <r>
      <rPr>
        <sz val="14"/>
        <rFont val="細明體-ExtB"/>
        <family val="1"/>
        <charset val="136"/>
      </rPr>
      <t xml:space="preserve"> (</t>
    </r>
    <r>
      <rPr>
        <sz val="14"/>
        <rFont val="MS Gothic"/>
        <family val="3"/>
        <charset val="128"/>
      </rPr>
      <t>草本統計</t>
    </r>
    <r>
      <rPr>
        <sz val="14"/>
        <rFont val="細明體-ExtB"/>
        <family val="1"/>
        <charset val="136"/>
      </rPr>
      <t>)</t>
    </r>
    <phoneticPr fontId="4" type="noConversion"/>
  </si>
  <si>
    <r>
      <t>2026</t>
    </r>
    <r>
      <rPr>
        <b/>
        <sz val="14"/>
        <rFont val="MS Gothic"/>
        <family val="3"/>
        <charset val="128"/>
      </rPr>
      <t>年2月台灣電動輔助自行車主要</t>
    </r>
    <r>
      <rPr>
        <b/>
        <sz val="14"/>
        <color rgb="FFFF0000"/>
        <rFont val="MS Gothic"/>
        <family val="3"/>
        <charset val="128"/>
      </rPr>
      <t>出口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華康仿宋體"/>
        <family val="1"/>
      </rPr>
      <t>(</t>
    </r>
    <r>
      <rPr>
        <b/>
        <sz val="14"/>
        <rFont val="MS Gothic"/>
        <family val="3"/>
        <charset val="128"/>
      </rPr>
      <t>草本統計</t>
    </r>
    <r>
      <rPr>
        <b/>
        <sz val="14"/>
        <rFont val="華康仿宋體"/>
        <family val="1"/>
      </rPr>
      <t>)</t>
    </r>
    <phoneticPr fontId="12" type="noConversion"/>
  </si>
  <si>
    <r>
      <t>2026/2025 1-2</t>
    </r>
    <r>
      <rPr>
        <b/>
        <sz val="14"/>
        <rFont val="MS Gothic"/>
        <family val="3"/>
        <charset val="128"/>
      </rPr>
      <t>月台灣電動輔助自行車主要</t>
    </r>
    <r>
      <rPr>
        <b/>
        <sz val="14"/>
        <color indexed="10"/>
        <rFont val="MS Gothic"/>
        <family val="3"/>
        <charset val="128"/>
      </rPr>
      <t>出口</t>
    </r>
    <r>
      <rPr>
        <b/>
        <sz val="14"/>
        <rFont val="MS Gothic"/>
        <family val="3"/>
        <charset val="128"/>
      </rPr>
      <t>國家比較</t>
    </r>
    <r>
      <rPr>
        <b/>
        <sz val="14"/>
        <rFont val="Times New Roman"/>
        <family val="1"/>
      </rPr>
      <t>(</t>
    </r>
    <r>
      <rPr>
        <b/>
        <sz val="14"/>
        <rFont val="MS Gothic"/>
        <family val="3"/>
        <charset val="128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</si>
  <si>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</t>
    </r>
    <r>
      <rPr>
        <b/>
        <sz val="14"/>
        <rFont val="華康仿宋體"/>
        <family val="3"/>
      </rPr>
      <t>26</t>
    </r>
    <r>
      <rPr>
        <b/>
        <sz val="14"/>
        <rFont val="MS Gothic"/>
        <family val="3"/>
        <charset val="128"/>
      </rPr>
      <t>年</t>
    </r>
    <r>
      <rPr>
        <b/>
        <sz val="14"/>
        <rFont val="華康仿宋體"/>
        <family val="1"/>
      </rPr>
      <t>1-2</t>
    </r>
    <r>
      <rPr>
        <b/>
        <sz val="14"/>
        <rFont val="MS Gothic"/>
        <family val="3"/>
        <charset val="128"/>
      </rPr>
      <t>月台灣折疊式自行車主要</t>
    </r>
    <r>
      <rPr>
        <b/>
        <sz val="14"/>
        <color indexed="10"/>
        <rFont val="MS Gothic"/>
        <family val="3"/>
        <charset val="128"/>
      </rPr>
      <t>出口</t>
    </r>
    <r>
      <rPr>
        <b/>
        <sz val="14"/>
        <rFont val="MS Gothic"/>
        <family val="3"/>
        <charset val="128"/>
      </rPr>
      <t>國家統計</t>
    </r>
    <r>
      <rPr>
        <b/>
        <sz val="14"/>
        <rFont val="華康仿宋體"/>
        <family val="1"/>
      </rPr>
      <t>(</t>
    </r>
    <r>
      <rPr>
        <b/>
        <sz val="14"/>
        <rFont val="MS Gothic"/>
        <family val="3"/>
        <charset val="128"/>
      </rPr>
      <t>草本統計</t>
    </r>
    <r>
      <rPr>
        <b/>
        <sz val="14"/>
        <rFont val="華康仿宋體"/>
        <family val="1"/>
      </rPr>
      <t>)</t>
    </r>
    <phoneticPr fontId="4" type="noConversion"/>
  </si>
  <si>
    <r>
      <t>2025/2024 1-2</t>
    </r>
    <r>
      <rPr>
        <sz val="9"/>
        <rFont val="新細明體"/>
        <family val="1"/>
        <charset val="136"/>
      </rPr>
      <t>月</t>
    </r>
    <phoneticPr fontId="3" type="noConversion"/>
  </si>
  <si>
    <r>
      <rPr>
        <sz val="14"/>
        <rFont val="細明體-ExtB"/>
        <family val="1"/>
        <charset val="136"/>
      </rPr>
      <t>2026/2025 1-2</t>
    </r>
    <r>
      <rPr>
        <sz val="14"/>
        <rFont val="新細明體"/>
        <family val="1"/>
        <charset val="136"/>
      </rPr>
      <t>月</t>
    </r>
    <r>
      <rPr>
        <sz val="14"/>
        <rFont val="MS Gothic"/>
        <family val="3"/>
        <charset val="128"/>
      </rPr>
      <t>台灣折疊式自行車主要</t>
    </r>
    <r>
      <rPr>
        <sz val="14"/>
        <color rgb="FFFF0000"/>
        <rFont val="MS Gothic"/>
        <family val="3"/>
        <charset val="128"/>
      </rPr>
      <t>出口</t>
    </r>
    <r>
      <rPr>
        <sz val="14"/>
        <rFont val="MS Gothic"/>
        <family val="3"/>
        <charset val="128"/>
      </rPr>
      <t>國家比較</t>
    </r>
    <r>
      <rPr>
        <sz val="14"/>
        <rFont val="細明體-ExtB"/>
        <family val="1"/>
        <charset val="136"/>
      </rPr>
      <t>(</t>
    </r>
    <r>
      <rPr>
        <sz val="14"/>
        <rFont val="MS Gothic"/>
        <family val="3"/>
        <charset val="128"/>
      </rPr>
      <t>草本統計</t>
    </r>
    <r>
      <rPr>
        <sz val="14"/>
        <rFont val="細明體-ExtB"/>
        <family val="1"/>
        <charset val="136"/>
      </rPr>
      <t>)</t>
    </r>
    <phoneticPr fontId="4" type="noConversion"/>
  </si>
  <si>
    <r>
      <t>2026</t>
    </r>
    <r>
      <rPr>
        <b/>
        <sz val="14"/>
        <rFont val="華康"/>
        <family val="3"/>
        <charset val="136"/>
      </rPr>
      <t>年2月</t>
    </r>
    <r>
      <rPr>
        <b/>
        <sz val="14"/>
        <color indexed="56"/>
        <rFont val="華康"/>
        <family val="3"/>
        <charset val="136"/>
      </rPr>
      <t>台灣</t>
    </r>
    <r>
      <rPr>
        <b/>
        <sz val="14"/>
        <rFont val="華康"/>
        <family val="3"/>
        <charset val="136"/>
      </rPr>
      <t>自行車</t>
    </r>
    <r>
      <rPr>
        <b/>
        <sz val="14"/>
        <color indexed="56"/>
        <rFont val="華康"/>
        <family val="3"/>
        <charset val="136"/>
      </rPr>
      <t>對中國大陸</t>
    </r>
    <r>
      <rPr>
        <b/>
        <sz val="14"/>
        <rFont val="華康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華康"/>
        <family val="3"/>
        <charset val="136"/>
      </rPr>
      <t>進口統計比較</t>
    </r>
    <r>
      <rPr>
        <b/>
        <sz val="14"/>
        <rFont val="Times New Roman"/>
        <family val="1"/>
      </rPr>
      <t>(</t>
    </r>
    <r>
      <rPr>
        <b/>
        <sz val="14"/>
        <rFont val="華康"/>
        <family val="3"/>
        <charset val="136"/>
      </rPr>
      <t>草本資料</t>
    </r>
    <r>
      <rPr>
        <b/>
        <sz val="14"/>
        <rFont val="Times New Roman"/>
        <family val="1"/>
      </rPr>
      <t>)</t>
    </r>
    <phoneticPr fontId="4" type="noConversion"/>
  </si>
  <si>
    <t>2月出口數量</t>
    <phoneticPr fontId="4" type="noConversion"/>
  </si>
  <si>
    <r>
      <t>2</t>
    </r>
    <r>
      <rPr>
        <sz val="11"/>
        <color indexed="12"/>
        <rFont val="MS Gothic"/>
        <family val="3"/>
        <charset val="128"/>
      </rPr>
      <t>月進口數量</t>
    </r>
    <phoneticPr fontId="4" type="noConversion"/>
  </si>
  <si>
    <t>2月進口金額</t>
    <phoneticPr fontId="4" type="noConversion"/>
  </si>
  <si>
    <t>2月出口金額</t>
    <phoneticPr fontId="4" type="noConversion"/>
  </si>
  <si>
    <r>
      <t>2026</t>
    </r>
    <r>
      <rPr>
        <b/>
        <sz val="14"/>
        <rFont val="細明體"/>
        <family val="3"/>
        <charset val="136"/>
      </rPr>
      <t>年2月</t>
    </r>
    <r>
      <rPr>
        <b/>
        <sz val="14"/>
        <color indexed="56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56"/>
        <rFont val="細明體"/>
        <family val="3"/>
        <charset val="136"/>
      </rPr>
      <t>對中國大陸</t>
    </r>
    <r>
      <rPr>
        <b/>
        <sz val="14"/>
        <rFont val="細明體"/>
        <family val="3"/>
        <charset val="136"/>
      </rPr>
      <t>出</t>
    </r>
    <r>
      <rPr>
        <b/>
        <sz val="14"/>
        <rFont val="Times New Roman"/>
        <family val="1"/>
      </rPr>
      <t>.</t>
    </r>
    <r>
      <rPr>
        <b/>
        <sz val="14"/>
        <rFont val="細明體"/>
        <family val="3"/>
        <charset val="136"/>
      </rPr>
      <t>進口統計比較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草本資料</t>
    </r>
    <r>
      <rPr>
        <b/>
        <sz val="14"/>
        <rFont val="Times New Roman"/>
        <family val="1"/>
      </rPr>
      <t>)</t>
    </r>
    <phoneticPr fontId="4" type="noConversion"/>
  </si>
  <si>
    <r>
      <t>2026/2025 1-2</t>
    </r>
    <r>
      <rPr>
        <b/>
        <sz val="14"/>
        <rFont val="細明體"/>
        <family val="3"/>
        <charset val="136"/>
      </rPr>
      <t>月</t>
    </r>
    <r>
      <rPr>
        <b/>
        <sz val="14"/>
        <color indexed="18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</t>
    </r>
    <r>
      <rPr>
        <b/>
        <sz val="14"/>
        <color indexed="18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</si>
  <si>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</t>
    </r>
    <r>
      <rPr>
        <sz val="11"/>
        <rFont val="細明體"/>
        <family val="3"/>
        <charset val="136"/>
      </rPr>
      <t>26</t>
    </r>
    <r>
      <rPr>
        <sz val="11"/>
        <rFont val="MS Gothic"/>
        <family val="3"/>
        <charset val="128"/>
      </rPr>
      <t>年1-2月</t>
    </r>
    <phoneticPr fontId="4" type="noConversion"/>
  </si>
  <si>
    <r>
      <t>2025</t>
    </r>
    <r>
      <rPr>
        <sz val="11"/>
        <rFont val="MS Gothic"/>
        <family val="3"/>
        <charset val="128"/>
      </rPr>
      <t>年1-2月</t>
    </r>
    <phoneticPr fontId="4" type="noConversion"/>
  </si>
  <si>
    <r>
      <t>2026</t>
    </r>
    <r>
      <rPr>
        <sz val="11"/>
        <color rgb="FF0000FF"/>
        <rFont val="新細明體"/>
        <family val="1"/>
        <charset val="136"/>
      </rPr>
      <t>年</t>
    </r>
    <r>
      <rPr>
        <sz val="11"/>
        <color rgb="FF0000FF"/>
        <rFont val="Times New Roman"/>
        <family val="1"/>
      </rPr>
      <t>1-2</t>
    </r>
    <r>
      <rPr>
        <sz val="11"/>
        <color rgb="FF0000FF"/>
        <rFont val="新細明體"/>
        <family val="1"/>
        <charset val="136"/>
      </rPr>
      <t>月</t>
    </r>
    <phoneticPr fontId="3" type="noConversion"/>
  </si>
  <si>
    <r>
      <t>2025</t>
    </r>
    <r>
      <rPr>
        <sz val="11"/>
        <color rgb="FF0000FF"/>
        <rFont val="新細明體"/>
        <family val="1"/>
        <charset val="136"/>
      </rPr>
      <t>年</t>
    </r>
    <r>
      <rPr>
        <sz val="11"/>
        <color rgb="FF0000FF"/>
        <rFont val="Times New Roman"/>
        <family val="1"/>
      </rPr>
      <t>1-2</t>
    </r>
    <r>
      <rPr>
        <sz val="11"/>
        <color rgb="FF0000FF"/>
        <rFont val="新細明體"/>
        <family val="1"/>
        <charset val="136"/>
      </rPr>
      <t>月</t>
    </r>
    <phoneticPr fontId="3" type="noConversion"/>
  </si>
  <si>
    <r>
      <t>2026/2025 1-2</t>
    </r>
    <r>
      <rPr>
        <b/>
        <sz val="14"/>
        <rFont val="細明體"/>
        <family val="3"/>
        <charset val="136"/>
      </rPr>
      <t>月</t>
    </r>
    <r>
      <rPr>
        <b/>
        <sz val="14"/>
        <color indexed="18"/>
        <rFont val="細明體"/>
        <family val="3"/>
        <charset val="136"/>
      </rPr>
      <t>台灣</t>
    </r>
    <r>
      <rPr>
        <b/>
        <sz val="14"/>
        <rFont val="細明體"/>
        <family val="3"/>
        <charset val="136"/>
      </rPr>
      <t>自行車零配件</t>
    </r>
    <r>
      <rPr>
        <b/>
        <sz val="14"/>
        <color indexed="18"/>
        <rFont val="細明體"/>
        <family val="3"/>
        <charset val="136"/>
      </rPr>
      <t>出口至中國大陸</t>
    </r>
    <r>
      <rPr>
        <b/>
        <sz val="14"/>
        <rFont val="細明體"/>
        <family val="3"/>
        <charset val="136"/>
      </rPr>
      <t>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</si>
  <si>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2026/2025 1-2</t>
    </r>
    <r>
      <rPr>
        <b/>
        <sz val="14"/>
        <rFont val="細明體"/>
        <family val="3"/>
        <charset val="136"/>
      </rPr>
      <t>月</t>
    </r>
    <r>
      <rPr>
        <b/>
        <sz val="14"/>
        <color indexed="18"/>
        <rFont val="細明體"/>
        <family val="3"/>
        <charset val="136"/>
      </rPr>
      <t>台灣自中國大陸進口</t>
    </r>
    <r>
      <rPr>
        <b/>
        <sz val="14"/>
        <rFont val="細明體"/>
        <family val="3"/>
        <charset val="136"/>
      </rPr>
      <t>自行車統計比較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</si>
  <si>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2026/2025 1-2</t>
    </r>
    <r>
      <rPr>
        <b/>
        <sz val="14"/>
        <rFont val="細明體"/>
        <family val="3"/>
        <charset val="136"/>
      </rPr>
      <t>月</t>
    </r>
    <r>
      <rPr>
        <b/>
        <sz val="14"/>
        <color indexed="18"/>
        <rFont val="細明體"/>
        <family val="3"/>
        <charset val="136"/>
      </rPr>
      <t>台灣自中國大陸進口</t>
    </r>
    <r>
      <rPr>
        <b/>
        <sz val="14"/>
        <rFont val="細明體"/>
        <family val="3"/>
        <charset val="136"/>
      </rPr>
      <t>自行車零配件統計比較</t>
    </r>
    <r>
      <rPr>
        <b/>
        <sz val="14"/>
        <rFont val="Times New Roman"/>
        <family val="1"/>
      </rPr>
      <t>(</t>
    </r>
    <r>
      <rPr>
        <b/>
        <sz val="14"/>
        <rFont val="細明體"/>
        <family val="3"/>
        <charset val="136"/>
      </rPr>
      <t>草本統計</t>
    </r>
    <r>
      <rPr>
        <b/>
        <sz val="14"/>
        <rFont val="Times New Roman"/>
        <family val="1"/>
      </rPr>
      <t>)</t>
    </r>
    <phoneticPr fontId="4" type="noConversion"/>
  </si>
  <si>
    <r>
      <t>2026</t>
    </r>
    <r>
      <rPr>
        <b/>
        <sz val="14"/>
        <rFont val="MS Gothic"/>
        <family val="3"/>
        <charset val="128"/>
      </rPr>
      <t>年</t>
    </r>
    <r>
      <rPr>
        <b/>
        <sz val="14"/>
        <rFont val="華康仿宋體"/>
        <family val="1"/>
      </rPr>
      <t>1-2</t>
    </r>
    <r>
      <rPr>
        <b/>
        <sz val="14"/>
        <rFont val="MS Gothic"/>
        <family val="3"/>
        <charset val="128"/>
      </rPr>
      <t>月</t>
    </r>
    <r>
      <rPr>
        <b/>
        <sz val="14"/>
        <rFont val="細明體"/>
        <family val="3"/>
        <charset val="136"/>
      </rPr>
      <t>份</t>
    </r>
    <r>
      <rPr>
        <b/>
        <sz val="14"/>
        <rFont val="MS Gothic"/>
        <family val="3"/>
        <charset val="128"/>
      </rPr>
      <t>自行車主要零件</t>
    </r>
    <r>
      <rPr>
        <b/>
        <sz val="14"/>
        <color indexed="10"/>
        <rFont val="MS Gothic"/>
        <family val="3"/>
        <charset val="128"/>
      </rPr>
      <t>出進口</t>
    </r>
    <r>
      <rPr>
        <b/>
        <sz val="14"/>
        <rFont val="MS Gothic"/>
        <family val="3"/>
        <charset val="128"/>
      </rPr>
      <t>統計</t>
    </r>
    <r>
      <rPr>
        <b/>
        <sz val="14"/>
        <rFont val="華康仿宋體"/>
        <family val="1"/>
      </rPr>
      <t>(</t>
    </r>
    <r>
      <rPr>
        <b/>
        <sz val="14"/>
        <rFont val="MS Gothic"/>
        <family val="3"/>
        <charset val="128"/>
      </rPr>
      <t>草本統計</t>
    </r>
    <r>
      <rPr>
        <b/>
        <sz val="14"/>
        <rFont val="華康仿宋體"/>
        <family val="1"/>
      </rPr>
      <t>)</t>
    </r>
    <phoneticPr fontId="4" type="noConversion"/>
  </si>
  <si>
    <t>2月出口量</t>
    <phoneticPr fontId="6" type="noConversion"/>
  </si>
  <si>
    <r>
      <rPr>
        <b/>
        <sz val="12"/>
        <rFont val="細明體"/>
        <family val="3"/>
        <charset val="136"/>
      </rPr>
      <t>1-2</t>
    </r>
    <r>
      <rPr>
        <b/>
        <sz val="12"/>
        <rFont val="MS Gothic"/>
        <family val="3"/>
        <charset val="128"/>
      </rPr>
      <t>月出口量</t>
    </r>
    <phoneticPr fontId="4" type="noConversion"/>
  </si>
  <si>
    <r>
      <rPr>
        <b/>
        <sz val="12"/>
        <rFont val="細明體"/>
        <family val="3"/>
        <charset val="136"/>
      </rPr>
      <t>1-2</t>
    </r>
    <r>
      <rPr>
        <b/>
        <sz val="12"/>
        <rFont val="MS Gothic"/>
        <family val="3"/>
        <charset val="128"/>
      </rPr>
      <t>月出口金額</t>
    </r>
    <phoneticPr fontId="4" type="noConversion"/>
  </si>
  <si>
    <t>2月進口量</t>
    <phoneticPr fontId="6" type="noConversion"/>
  </si>
  <si>
    <r>
      <t>1-2</t>
    </r>
    <r>
      <rPr>
        <b/>
        <sz val="12"/>
        <rFont val="MS Gothic"/>
        <family val="3"/>
        <charset val="128"/>
      </rPr>
      <t>月進口量</t>
    </r>
    <phoneticPr fontId="4" type="noConversion"/>
  </si>
  <si>
    <r>
      <t>1-2</t>
    </r>
    <r>
      <rPr>
        <b/>
        <sz val="12"/>
        <rFont val="MS Gothic"/>
        <family val="3"/>
        <charset val="128"/>
      </rPr>
      <t>月進口金額</t>
    </r>
    <phoneticPr fontId="4" type="noConversion"/>
  </si>
  <si>
    <t xml:space="preserve">545,012	</t>
    <phoneticPr fontId="3" type="noConversion"/>
  </si>
  <si>
    <r>
      <rPr>
        <b/>
        <sz val="16"/>
        <rFont val="華康仿宋體"/>
        <family val="1"/>
      </rPr>
      <t>2026/2025 1-</t>
    </r>
    <r>
      <rPr>
        <b/>
        <sz val="16"/>
        <rFont val="細明體"/>
        <family val="1"/>
        <charset val="136"/>
      </rPr>
      <t>2</t>
    </r>
    <r>
      <rPr>
        <b/>
        <sz val="16"/>
        <rFont val="新細明體"/>
        <family val="1"/>
        <charset val="136"/>
      </rPr>
      <t>月</t>
    </r>
    <r>
      <rPr>
        <b/>
        <sz val="16"/>
        <rFont val="MS Gothic"/>
        <family val="3"/>
        <charset val="128"/>
      </rPr>
      <t>同期自行車主要零件</t>
    </r>
    <r>
      <rPr>
        <b/>
        <sz val="16"/>
        <color indexed="10"/>
        <rFont val="MS Gothic"/>
        <family val="3"/>
        <charset val="128"/>
      </rPr>
      <t>出口</t>
    </r>
    <r>
      <rPr>
        <b/>
        <sz val="16"/>
        <rFont val="MS Gothic"/>
        <family val="3"/>
        <charset val="128"/>
      </rPr>
      <t>統計比較</t>
    </r>
    <r>
      <rPr>
        <b/>
        <sz val="16"/>
        <rFont val="華康仿宋體"/>
        <family val="1"/>
      </rPr>
      <t>(</t>
    </r>
    <r>
      <rPr>
        <b/>
        <sz val="16"/>
        <rFont val="MS Gothic"/>
        <family val="3"/>
        <charset val="128"/>
      </rPr>
      <t>草本統計</t>
    </r>
    <r>
      <rPr>
        <b/>
        <sz val="16"/>
        <rFont val="華康仿宋體"/>
        <family val="1"/>
      </rPr>
      <t>)</t>
    </r>
    <phoneticPr fontId="4" type="noConversion"/>
  </si>
  <si>
    <r>
      <rPr>
        <b/>
        <sz val="16"/>
        <rFont val="華康仿宋體"/>
        <family val="1"/>
      </rPr>
      <t>2026/2025 1-2</t>
    </r>
    <r>
      <rPr>
        <b/>
        <sz val="16"/>
        <rFont val="新細明體"/>
        <family val="1"/>
        <charset val="136"/>
      </rPr>
      <t>月</t>
    </r>
    <r>
      <rPr>
        <b/>
        <sz val="16"/>
        <rFont val="MS Gothic"/>
        <family val="3"/>
        <charset val="128"/>
      </rPr>
      <t>同期自行車主要零件</t>
    </r>
    <r>
      <rPr>
        <b/>
        <sz val="16"/>
        <color indexed="10"/>
        <rFont val="MS Gothic"/>
        <family val="3"/>
        <charset val="128"/>
      </rPr>
      <t>進口</t>
    </r>
    <r>
      <rPr>
        <b/>
        <sz val="16"/>
        <rFont val="MS Gothic"/>
        <family val="3"/>
        <charset val="128"/>
      </rPr>
      <t>統計比較</t>
    </r>
    <r>
      <rPr>
        <b/>
        <sz val="16"/>
        <rFont val="華康仿宋體"/>
        <family val="1"/>
      </rPr>
      <t>(</t>
    </r>
    <r>
      <rPr>
        <b/>
        <sz val="16"/>
        <rFont val="MS Gothic"/>
        <family val="3"/>
        <charset val="128"/>
      </rPr>
      <t>草本統計</t>
    </r>
    <r>
      <rPr>
        <b/>
        <sz val="16"/>
        <rFont val="華康仿宋體"/>
        <family val="1"/>
      </rPr>
      <t>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</si>
</sst>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#,##0_ ;[Red]\-#,##0\ "/>
    <numFmt numFmtId="178" formatCode="_(&quot;$&quot;* #,##0_);_(&quot;$&quot;* \(#,##0\);_(&quot;$&quot;* &quot;-&quot;??_);_(@_)"/>
    <numFmt numFmtId="179" formatCode="_-* #,##0.0000_-;\-* #,##0.0000_-;_-* &quot;-&quot;_-;_-@_-"/>
    <numFmt numFmtId="180" formatCode="#,##0.00_ "/>
    <numFmt numFmtId="181" formatCode="#,##0_ "/>
    <numFmt numFmtId="182" formatCode="#,##0_);[Red]\(#,##0\)"/>
    <numFmt numFmtId="183" formatCode="#,##0.00_);[Red]\(#,##0.00\)"/>
  </numFmts>
  <fonts count="230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name val="華康仿宋體"/>
      <family val="1"/>
      <charset val="136"/>
    </font>
    <font>
      <sz val="9"/>
      <name val="新細明體"/>
      <family val="1"/>
      <charset val="136"/>
    </font>
    <font>
      <sz val="12"/>
      <name val="MS Gothic"/>
      <family val="3"/>
      <charset val="128"/>
    </font>
    <font>
      <b/>
      <sz val="12"/>
      <name val="華康仿宋體"/>
      <family val="1"/>
      <charset val="136"/>
    </font>
    <font>
      <b/>
      <sz val="12"/>
      <name val="MS Gothic"/>
      <family val="3"/>
      <charset val="128"/>
    </font>
    <font>
      <b/>
      <sz val="10"/>
      <name val="華康仿宋體"/>
      <family val="1"/>
      <charset val="136"/>
    </font>
    <font>
      <sz val="12"/>
      <name val="新細明體"/>
      <family val="1"/>
      <charset val="136"/>
    </font>
    <font>
      <sz val="9"/>
      <name val="華康仿宋體W4"/>
      <family val="3"/>
      <charset val="136"/>
    </font>
    <font>
      <sz val="10"/>
      <name val="華康仿宋體"/>
      <family val="1"/>
      <charset val="136"/>
    </font>
    <font>
      <sz val="11"/>
      <name val="華康仿宋體"/>
      <family val="1"/>
      <charset val="136"/>
    </font>
    <font>
      <sz val="11"/>
      <color indexed="12"/>
      <name val="華康仿宋體"/>
      <family val="1"/>
      <charset val="136"/>
    </font>
    <font>
      <sz val="11"/>
      <color indexed="10"/>
      <name val="華康仿宋體"/>
      <family val="1"/>
      <charset val="136"/>
    </font>
    <font>
      <sz val="14"/>
      <name val="MS Gothic"/>
      <family val="3"/>
      <charset val="128"/>
    </font>
    <font>
      <sz val="14"/>
      <name val="細明體-ExtB"/>
      <family val="1"/>
      <charset val="136"/>
    </font>
    <font>
      <sz val="14"/>
      <color indexed="10"/>
      <name val="MS Gothic"/>
      <family val="3"/>
      <charset val="128"/>
    </font>
    <font>
      <b/>
      <sz val="14"/>
      <name val="華康仿宋體"/>
      <family val="1"/>
      <charset val="136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9"/>
      <name val="華康仿宋體"/>
      <family val="1"/>
      <charset val="136"/>
    </font>
    <font>
      <sz val="12"/>
      <color indexed="12"/>
      <name val="華康仿宋體"/>
      <family val="1"/>
      <charset val="136"/>
    </font>
    <font>
      <sz val="12"/>
      <color indexed="12"/>
      <name val="MS Gothic"/>
      <family val="3"/>
      <charset val="128"/>
    </font>
    <font>
      <sz val="12"/>
      <color indexed="10"/>
      <name val="華康仿宋體"/>
      <family val="1"/>
      <charset val="136"/>
    </font>
    <font>
      <sz val="9"/>
      <color indexed="8"/>
      <name val="華康仿宋體"/>
      <family val="1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1"/>
      <charset val="136"/>
    </font>
    <font>
      <sz val="12"/>
      <color rgb="FFFF0000"/>
      <name val="Times New Roman"/>
      <family val="1"/>
    </font>
    <font>
      <b/>
      <sz val="14"/>
      <name val="MS Gothic"/>
      <family val="3"/>
      <charset val="128"/>
    </font>
    <font>
      <b/>
      <sz val="14"/>
      <name val="細明體-ExtB"/>
      <family val="1"/>
      <charset val="136"/>
    </font>
    <font>
      <b/>
      <sz val="14"/>
      <color indexed="10"/>
      <name val="MS Gothic"/>
      <family val="3"/>
      <charset val="128"/>
    </font>
    <font>
      <sz val="14"/>
      <color indexed="12"/>
      <name val="華康仿宋體"/>
      <family val="3"/>
      <charset val="136"/>
    </font>
    <font>
      <sz val="12"/>
      <color indexed="12"/>
      <name val="新細明體"/>
      <family val="1"/>
      <charset val="136"/>
    </font>
    <font>
      <sz val="12"/>
      <name val="細明體"/>
      <family val="3"/>
      <charset val="136"/>
    </font>
    <font>
      <sz val="12"/>
      <name val="細明體-ExtB"/>
      <family val="1"/>
      <charset val="136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華康仿宋體"/>
      <family val="1"/>
      <charset val="136"/>
    </font>
    <font>
      <b/>
      <sz val="14"/>
      <name val="華康仿宋體"/>
      <family val="1"/>
    </font>
    <font>
      <b/>
      <sz val="14"/>
      <name val="細明體"/>
      <family val="3"/>
      <charset val="136"/>
    </font>
    <font>
      <sz val="8"/>
      <name val="華康仿宋體"/>
      <family val="1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b/>
      <sz val="12"/>
      <color indexed="8"/>
      <name val="華康仿宋體"/>
      <family val="1"/>
      <charset val="136"/>
    </font>
    <font>
      <sz val="11"/>
      <name val="MS Gothic"/>
      <family val="3"/>
      <charset val="128"/>
    </font>
    <font>
      <sz val="12"/>
      <color indexed="12"/>
      <name val="細明體"/>
      <family val="3"/>
      <charset val="136"/>
    </font>
    <font>
      <b/>
      <sz val="14"/>
      <name val="Times New Roman"/>
      <family val="1"/>
    </font>
    <font>
      <b/>
      <sz val="14"/>
      <name val="華康"/>
      <family val="3"/>
      <charset val="136"/>
    </font>
    <font>
      <b/>
      <sz val="14"/>
      <color indexed="56"/>
      <name val="華康"/>
      <family val="3"/>
      <charset val="136"/>
    </font>
    <font>
      <sz val="11"/>
      <color indexed="12"/>
      <name val="MS Gothic"/>
      <family val="3"/>
      <charset val="128"/>
    </font>
    <font>
      <sz val="11"/>
      <name val="細明體"/>
      <family val="3"/>
      <charset val="136"/>
    </font>
    <font>
      <sz val="7"/>
      <name val="華康仿宋體"/>
      <family val="1"/>
      <charset val="136"/>
    </font>
    <font>
      <sz val="10"/>
      <name val="細明體"/>
      <family val="3"/>
      <charset val="136"/>
    </font>
    <font>
      <b/>
      <sz val="12"/>
      <name val="細明體"/>
      <family val="3"/>
      <charset val="136"/>
    </font>
    <font>
      <b/>
      <sz val="9"/>
      <name val="細明體"/>
      <family val="3"/>
      <charset val="136"/>
    </font>
    <font>
      <b/>
      <sz val="12"/>
      <name val="Arial Unicode MS"/>
      <family val="1"/>
      <charset val="136"/>
    </font>
    <font>
      <b/>
      <sz val="12"/>
      <color indexed="12"/>
      <name val="Arial Unicode MS"/>
      <family val="1"/>
      <charset val="136"/>
    </font>
    <font>
      <b/>
      <sz val="12"/>
      <color indexed="10"/>
      <name val="Arial Unicode MS"/>
      <family val="1"/>
      <charset val="136"/>
    </font>
    <font>
      <sz val="12"/>
      <color rgb="FF0000FF"/>
      <name val="新細明體"/>
      <family val="1"/>
    </font>
    <font>
      <b/>
      <sz val="10"/>
      <name val="細明體"/>
      <family val="3"/>
      <charset val="136"/>
    </font>
    <font>
      <b/>
      <sz val="12"/>
      <name val="Times New Roman"/>
      <family val="1"/>
    </font>
    <font>
      <b/>
      <sz val="14"/>
      <color indexed="56"/>
      <name val="細明體"/>
      <family val="3"/>
      <charset val="136"/>
    </font>
    <font>
      <b/>
      <sz val="14"/>
      <color indexed="10"/>
      <name val="細明體"/>
      <family val="3"/>
      <charset val="136"/>
    </font>
    <font>
      <sz val="11"/>
      <color indexed="61"/>
      <name val="華康仿宋體"/>
      <family val="1"/>
      <charset val="136"/>
    </font>
    <font>
      <sz val="11"/>
      <color indexed="25"/>
      <name val="細明體"/>
      <family val="3"/>
      <charset val="136"/>
    </font>
    <font>
      <sz val="11"/>
      <color indexed="25"/>
      <name val="MS Gothic"/>
      <family val="3"/>
      <charset val="128"/>
    </font>
    <font>
      <sz val="11"/>
      <color indexed="62"/>
      <name val="Times New Roman"/>
      <family val="1"/>
    </font>
    <font>
      <sz val="11"/>
      <color indexed="62"/>
      <name val="細明體"/>
      <family val="3"/>
      <charset val="136"/>
    </font>
    <font>
      <sz val="8"/>
      <name val="新細明體"/>
      <family val="1"/>
      <charset val="136"/>
    </font>
    <font>
      <sz val="11"/>
      <color indexed="62"/>
      <name val="華康仿宋體"/>
      <family val="1"/>
      <charset val="136"/>
    </font>
    <font>
      <sz val="12"/>
      <color indexed="17"/>
      <name val="新細明體"/>
      <family val="1"/>
      <charset val="136"/>
    </font>
    <font>
      <b/>
      <sz val="14"/>
      <color indexed="18"/>
      <name val="細明體"/>
      <family val="3"/>
      <charset val="136"/>
    </font>
    <font>
      <sz val="11"/>
      <color indexed="12"/>
      <name val="Times New Roman"/>
      <family val="1"/>
    </font>
    <font>
      <sz val="11"/>
      <color rgb="FF0000FF"/>
      <name val="Times New Roman"/>
      <family val="1"/>
    </font>
    <font>
      <sz val="8"/>
      <color indexed="17"/>
      <name val="華康仿宋體"/>
      <family val="1"/>
      <charset val="136"/>
    </font>
    <font>
      <sz val="8"/>
      <color indexed="10"/>
      <name val="新細明體"/>
      <family val="1"/>
      <charset val="136"/>
    </font>
    <font>
      <sz val="11"/>
      <color rgb="FF0000FF"/>
      <name val="華康仿宋體"/>
      <family val="1"/>
      <charset val="136"/>
    </font>
    <font>
      <sz val="9"/>
      <color indexed="17"/>
      <name val="華康仿宋體"/>
      <family val="1"/>
      <charset val="136"/>
    </font>
    <font>
      <b/>
      <sz val="12"/>
      <color rgb="FF0000FF"/>
      <name val="Arial Unicode MS"/>
      <family val="1"/>
      <charset val="136"/>
    </font>
    <font>
      <b/>
      <sz val="12"/>
      <color indexed="17"/>
      <name val="Arial Unicode MS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rgb="FF0000FF"/>
      <name val="Times New Roman"/>
      <family val="1"/>
    </font>
    <font>
      <sz val="12"/>
      <color rgb="FFFF0000"/>
      <name val="新細明體"/>
      <family val="1"/>
    </font>
    <font>
      <b/>
      <sz val="12"/>
      <color rgb="FFFF0000"/>
      <name val="Times New Roman"/>
      <family val="1"/>
    </font>
    <font>
      <sz val="12"/>
      <color rgb="FF0033CC"/>
      <name val="新細明體"/>
      <family val="1"/>
    </font>
    <font>
      <sz val="11"/>
      <color indexed="25"/>
      <name val="華康仿宋體"/>
      <family val="3"/>
    </font>
    <font>
      <sz val="11"/>
      <color rgb="FF0033CC"/>
      <name val="Times New Roman"/>
      <family val="1"/>
    </font>
    <font>
      <sz val="11"/>
      <color indexed="30"/>
      <name val="細明體"/>
      <family val="3"/>
      <charset val="136"/>
    </font>
    <font>
      <sz val="11"/>
      <color rgb="FF0033CC"/>
      <name val="華康仿宋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rgb="FF0033CC"/>
      <name val="Arial Unicode MS"/>
      <family val="1"/>
      <charset val="136"/>
    </font>
    <font>
      <b/>
      <sz val="12"/>
      <color rgb="FF0033CC"/>
      <name val="Times New Roman"/>
      <family val="1"/>
    </font>
    <font>
      <sz val="12"/>
      <color rgb="FF0033CC"/>
      <name val="華康仿宋體"/>
      <family val="1"/>
      <charset val="136"/>
    </font>
    <font>
      <sz val="7"/>
      <color indexed="17"/>
      <name val="華康仿宋體"/>
      <family val="1"/>
      <charset val="136"/>
    </font>
    <font>
      <sz val="12"/>
      <name val="新細明體"/>
      <family val="1"/>
    </font>
    <font>
      <b/>
      <sz val="12"/>
      <name val="新細明體"/>
      <family val="1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1"/>
      <charset val="136"/>
    </font>
    <font>
      <sz val="12"/>
      <color indexed="10"/>
      <name val="華康仿宋體W4"/>
      <family val="3"/>
      <charset val="136"/>
    </font>
    <font>
      <sz val="12"/>
      <color indexed="12"/>
      <name val="新細明體"/>
      <family val="1"/>
      <charset val="136"/>
      <scheme val="minor"/>
    </font>
    <font>
      <sz val="12"/>
      <name val="華康仿宋體W4"/>
      <family val="3"/>
      <charset val="136"/>
    </font>
    <font>
      <sz val="12"/>
      <name val="新細明體"/>
      <family val="1"/>
      <charset val="136"/>
      <scheme val="minor"/>
    </font>
    <font>
      <b/>
      <sz val="12"/>
      <name val="Abadi MT Condensed Light"/>
      <family val="2"/>
    </font>
    <font>
      <b/>
      <sz val="12"/>
      <color indexed="12"/>
      <name val="MS Gothic"/>
      <family val="3"/>
      <charset val="128"/>
    </font>
    <font>
      <b/>
      <sz val="12"/>
      <color indexed="12"/>
      <name val="細明體"/>
      <family val="3"/>
      <charset val="136"/>
    </font>
    <font>
      <b/>
      <sz val="16"/>
      <name val="華康仿宋體"/>
      <family val="3"/>
      <charset val="136"/>
    </font>
    <font>
      <b/>
      <sz val="16"/>
      <name val="MS Gothic"/>
      <family val="3"/>
      <charset val="128"/>
    </font>
    <font>
      <b/>
      <sz val="16"/>
      <color indexed="10"/>
      <name val="MS Gothic"/>
      <family val="3"/>
      <charset val="128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sz val="12"/>
      <color theme="1"/>
      <name val="Times New Roman"/>
      <family val="1"/>
    </font>
    <font>
      <sz val="12"/>
      <name val="Modern"/>
      <family val="3"/>
      <charset val="255"/>
    </font>
    <font>
      <sz val="11"/>
      <name val="Arial Unicode MS"/>
      <family val="1"/>
      <charset val="136"/>
    </font>
    <font>
      <sz val="11"/>
      <color indexed="14"/>
      <name val="Arial Unicode MS"/>
      <family val="1"/>
      <charset val="136"/>
    </font>
    <font>
      <sz val="11"/>
      <color indexed="12"/>
      <name val="Arial Unicode MS"/>
      <family val="1"/>
      <charset val="136"/>
    </font>
    <font>
      <sz val="11"/>
      <color indexed="53"/>
      <name val="Arial Unicode MS"/>
      <family val="1"/>
      <charset val="136"/>
    </font>
    <font>
      <sz val="11"/>
      <color indexed="52"/>
      <name val="Arial Unicode MS"/>
      <family val="1"/>
      <charset val="136"/>
    </font>
    <font>
      <sz val="11"/>
      <color indexed="10"/>
      <name val="Arial Unicode MS"/>
      <family val="1"/>
      <charset val="136"/>
    </font>
    <font>
      <sz val="11"/>
      <color indexed="17"/>
      <name val="Arial Unicode MS"/>
      <family val="1"/>
      <charset val="136"/>
    </font>
    <font>
      <sz val="11"/>
      <color indexed="20"/>
      <name val="Arial Unicode MS"/>
      <family val="1"/>
      <charset val="136"/>
    </font>
    <font>
      <sz val="11"/>
      <color indexed="60"/>
      <name val="Arial Unicode MS"/>
      <family val="1"/>
      <charset val="136"/>
    </font>
    <font>
      <sz val="11"/>
      <color theme="8" tint="-0.249977111117893"/>
      <name val="Arial Unicode MS"/>
      <family val="1"/>
      <charset val="136"/>
    </font>
    <font>
      <sz val="11"/>
      <color rgb="FF40864F"/>
      <name val="Arial Unicode MS"/>
      <family val="1"/>
      <charset val="136"/>
    </font>
    <font>
      <sz val="11"/>
      <color rgb="FF002060"/>
      <name val="Arial Unicode MS"/>
      <family val="1"/>
      <charset val="136"/>
    </font>
    <font>
      <sz val="11"/>
      <color rgb="FFFF0000"/>
      <name val="Arial Unicode MS"/>
      <family val="1"/>
      <charset val="136"/>
    </font>
    <font>
      <sz val="11"/>
      <color rgb="FF7030A0"/>
      <name val="Arial Unicode MS"/>
      <family val="1"/>
      <charset val="136"/>
    </font>
    <font>
      <sz val="8"/>
      <color indexed="10"/>
      <name val="華康仿宋體"/>
      <family val="1"/>
      <charset val="136"/>
    </font>
    <font>
      <sz val="14"/>
      <color rgb="FFFF0000"/>
      <name val="MS Gothic"/>
      <family val="3"/>
      <charset val="128"/>
    </font>
    <font>
      <sz val="12"/>
      <color rgb="FF0000FF"/>
      <name val="MS Gothic"/>
      <family val="3"/>
      <charset val="128"/>
    </font>
    <font>
      <b/>
      <sz val="14"/>
      <color rgb="FFFF0000"/>
      <name val="MS Gothic"/>
      <family val="3"/>
      <charset val="128"/>
    </font>
    <font>
      <b/>
      <sz val="12"/>
      <name val="MS Gothic"/>
      <family val="3"/>
      <charset val="136"/>
    </font>
    <font>
      <b/>
      <sz val="12"/>
      <name val="Abadi MT Condensed Light"/>
      <family val="3"/>
      <charset val="136"/>
    </font>
    <font>
      <b/>
      <sz val="12"/>
      <color indexed="12"/>
      <name val="MS Gothic"/>
      <family val="3"/>
      <charset val="136"/>
    </font>
    <font>
      <sz val="8"/>
      <color rgb="FF008000"/>
      <name val="MS Gothic"/>
      <family val="3"/>
      <charset val="128"/>
    </font>
    <font>
      <sz val="12"/>
      <color rgb="FFFF0000"/>
      <name val="華康仿宋體"/>
      <family val="1"/>
      <charset val="136"/>
    </font>
    <font>
      <sz val="12"/>
      <name val="新細明體"/>
      <family val="3"/>
      <charset val="136"/>
    </font>
    <font>
      <b/>
      <sz val="12"/>
      <name val="新細明體"/>
      <family val="1"/>
      <charset val="136"/>
    </font>
    <font>
      <sz val="11"/>
      <color indexed="8"/>
      <name val="新細明體"/>
      <family val="2"/>
      <scheme val="minor"/>
    </font>
    <font>
      <sz val="11"/>
      <color rgb="FF0066CC"/>
      <name val="Arial Unicode MS"/>
      <family val="1"/>
      <charset val="136"/>
    </font>
    <font>
      <sz val="11"/>
      <color rgb="FF005696"/>
      <name val="Arial Unicode MS"/>
      <family val="1"/>
      <charset val="136"/>
    </font>
    <font>
      <sz val="11"/>
      <color rgb="FF0070C0"/>
      <name val="Arial Unicode MS"/>
      <family val="1"/>
      <charset val="136"/>
    </font>
    <font>
      <sz val="11"/>
      <color rgb="FFCC3300"/>
      <name val="Arial Unicode MS"/>
      <family val="1"/>
      <charset val="136"/>
    </font>
    <font>
      <sz val="11"/>
      <color rgb="FFCC6600"/>
      <name val="Arial Unicode MS"/>
      <family val="1"/>
      <charset val="136"/>
    </font>
    <font>
      <sz val="11"/>
      <color rgb="FFCC3300"/>
      <name val="新細明體"/>
      <family val="1"/>
      <charset val="136"/>
    </font>
    <font>
      <sz val="12"/>
      <color rgb="FFCC3300"/>
      <name val="Arial Unicode MS"/>
      <family val="1"/>
      <charset val="136"/>
    </font>
    <font>
      <sz val="12"/>
      <color rgb="FFCC3300"/>
      <name val="新細明體"/>
      <family val="1"/>
      <charset val="136"/>
    </font>
    <font>
      <sz val="12"/>
      <color rgb="FF005696"/>
      <name val="Arial Unicode MS"/>
      <family val="1"/>
      <charset val="136"/>
    </font>
    <font>
      <sz val="12"/>
      <color rgb="FF7030A0"/>
      <name val="Arial Unicode MS"/>
      <family val="1"/>
      <charset val="136"/>
    </font>
    <font>
      <sz val="12"/>
      <color indexed="36"/>
      <name val="Microsoft JhengHei UI"/>
      <family val="2"/>
      <charset val="136"/>
    </font>
    <font>
      <sz val="12"/>
      <name val="Arial Unicode MS"/>
      <family val="1"/>
      <charset val="136"/>
    </font>
    <font>
      <sz val="12"/>
      <color rgb="FFFF0000"/>
      <name val="Arial Unicode MS"/>
      <family val="1"/>
      <charset val="136"/>
    </font>
    <font>
      <sz val="12"/>
      <color rgb="FF002060"/>
      <name val="Arial Unicode MS"/>
      <family val="1"/>
      <charset val="136"/>
    </font>
    <font>
      <sz val="12"/>
      <color rgb="FF40864F"/>
      <name val="Arial Unicode MS"/>
      <family val="1"/>
      <charset val="136"/>
    </font>
    <font>
      <sz val="12"/>
      <color theme="8" tint="-0.249977111117893"/>
      <name val="Arial Unicode MS"/>
      <family val="1"/>
      <charset val="136"/>
    </font>
    <font>
      <sz val="12"/>
      <color indexed="60"/>
      <name val="Arial Unicode MS"/>
      <family val="1"/>
      <charset val="136"/>
    </font>
    <font>
      <sz val="12"/>
      <color indexed="20"/>
      <name val="Arial Unicode MS"/>
      <family val="1"/>
      <charset val="136"/>
    </font>
    <font>
      <sz val="12"/>
      <color indexed="21"/>
      <name val="Arial Unicode MS"/>
      <family val="1"/>
      <charset val="136"/>
    </font>
    <font>
      <sz val="12"/>
      <color indexed="53"/>
      <name val="Arial Unicode MS"/>
      <family val="1"/>
      <charset val="136"/>
    </font>
    <font>
      <sz val="12"/>
      <color indexed="14"/>
      <name val="Arial Unicode MS"/>
      <family val="1"/>
      <charset val="136"/>
    </font>
    <font>
      <sz val="12"/>
      <color indexed="12"/>
      <name val="Arial Unicode MS"/>
      <family val="1"/>
      <charset val="136"/>
    </font>
    <font>
      <sz val="12"/>
      <color indexed="61"/>
      <name val="Arial Unicode MS"/>
      <family val="1"/>
      <charset val="136"/>
    </font>
    <font>
      <sz val="12"/>
      <color indexed="8"/>
      <name val="Arial Unicode MS"/>
      <family val="1"/>
      <charset val="136"/>
    </font>
    <font>
      <sz val="12"/>
      <color indexed="17"/>
      <name val="Arial Unicode MS"/>
      <family val="1"/>
      <charset val="136"/>
    </font>
    <font>
      <sz val="12"/>
      <color rgb="FF0066CC"/>
      <name val="Arial Unicode MS"/>
      <family val="1"/>
      <charset val="136"/>
    </font>
    <font>
      <sz val="12"/>
      <color rgb="FF00B050"/>
      <name val="Arial Unicode MS"/>
      <family val="1"/>
      <charset val="136"/>
    </font>
    <font>
      <sz val="12"/>
      <color indexed="18"/>
      <name val="Arial Unicode MS"/>
      <family val="1"/>
      <charset val="136"/>
    </font>
    <font>
      <sz val="12"/>
      <color indexed="54"/>
      <name val="Arial Unicode MS"/>
      <family val="1"/>
      <charset val="136"/>
    </font>
    <font>
      <sz val="12"/>
      <color indexed="10"/>
      <name val="Arial Unicode MS"/>
      <family val="1"/>
      <charset val="136"/>
    </font>
    <font>
      <b/>
      <sz val="12"/>
      <color theme="1"/>
      <name val="Times New Roman"/>
      <family val="1"/>
    </font>
    <font>
      <sz val="12"/>
      <color rgb="FFF99707"/>
      <name val="Arial Unicode MS"/>
      <family val="2"/>
      <charset val="136"/>
    </font>
    <font>
      <sz val="12"/>
      <color theme="9" tint="-0.249977111117893"/>
      <name val="Arial Unicode MS"/>
      <family val="2"/>
      <charset val="136"/>
    </font>
    <font>
      <sz val="11"/>
      <color theme="9" tint="-0.249977111117893"/>
      <name val="Arial Unicode MS"/>
      <family val="2"/>
      <charset val="136"/>
    </font>
    <font>
      <sz val="14"/>
      <name val="新細明體"/>
      <family val="1"/>
      <charset val="136"/>
    </font>
    <font>
      <b/>
      <sz val="14"/>
      <name val="華康仿宋體"/>
      <family val="3"/>
    </font>
    <font>
      <sz val="11"/>
      <color rgb="FF0000FF"/>
      <name val="新細明體"/>
      <family val="1"/>
      <charset val="136"/>
    </font>
    <font>
      <b/>
      <sz val="16"/>
      <name val="新細明體"/>
      <family val="1"/>
      <charset val="136"/>
    </font>
    <font>
      <b/>
      <sz val="16"/>
      <name val="華康仿宋體"/>
      <family val="1"/>
    </font>
    <font>
      <b/>
      <sz val="16"/>
      <name val="華康仿宋體"/>
      <family val="1"/>
      <charset val="136"/>
    </font>
    <font>
      <sz val="12"/>
      <name val="新細明體"/>
      <family val="2"/>
      <charset val="136"/>
      <scheme val="minor"/>
    </font>
    <font>
      <b/>
      <sz val="12"/>
      <name val="新細明體"/>
      <family val="1"/>
      <charset val="136"/>
      <scheme val="minor"/>
    </font>
    <font>
      <sz val="11"/>
      <name val="新細明體"/>
      <family val="1"/>
      <charset val="136"/>
    </font>
    <font>
      <sz val="11"/>
      <name val="Arial Unicode MS"/>
      <family val="2"/>
      <charset val="136"/>
    </font>
    <font>
      <sz val="11"/>
      <color rgb="FFA40C92"/>
      <name val="Arial Unicode MS"/>
      <family val="2"/>
      <charset val="136"/>
    </font>
    <font>
      <b/>
      <sz val="12"/>
      <color theme="1"/>
      <name val="新細明體"/>
      <family val="1"/>
      <charset val="136"/>
      <scheme val="minor"/>
    </font>
    <font>
      <sz val="12"/>
      <color rgb="FF005696"/>
      <name val="新細明體"/>
      <family val="1"/>
      <charset val="136"/>
    </font>
    <font>
      <sz val="12"/>
      <color rgb="FFA40C92"/>
      <name val="Arial Unicode MS"/>
      <family val="2"/>
      <charset val="136"/>
    </font>
    <font>
      <sz val="11"/>
      <color theme="5" tint="-0.499984740745262"/>
      <name val="Arial Unicode MS"/>
      <family val="1"/>
      <charset val="136"/>
    </font>
    <font>
      <sz val="11"/>
      <color theme="9" tint="-0.249977111117893"/>
      <name val="Arial Unicode MS"/>
      <family val="1"/>
      <charset val="136"/>
    </font>
    <font>
      <sz val="11"/>
      <color theme="4" tint="-0.499984740745262"/>
      <name val="Arial Unicode MS"/>
      <family val="1"/>
      <charset val="136"/>
    </font>
    <font>
      <sz val="11"/>
      <color theme="9"/>
      <name val="Arial Unicode MS"/>
      <family val="1"/>
      <charset val="136"/>
    </font>
    <font>
      <sz val="12"/>
      <color theme="9"/>
      <name val="新細明體"/>
      <family val="2"/>
      <charset val="136"/>
      <scheme val="minor"/>
    </font>
    <font>
      <sz val="11"/>
      <color theme="0" tint="-0.499984740745262"/>
      <name val="Arial Unicode MS"/>
      <family val="1"/>
      <charset val="136"/>
    </font>
    <font>
      <sz val="12"/>
      <color theme="0" tint="-0.499984740745262"/>
      <name val="新細明體"/>
      <family val="2"/>
      <charset val="136"/>
      <scheme val="minor"/>
    </font>
    <font>
      <sz val="11"/>
      <color rgb="FFF78DEA"/>
      <name val="Arial Unicode MS"/>
      <family val="2"/>
      <charset val="136"/>
    </font>
    <font>
      <sz val="11"/>
      <color rgb="FFF78DEA"/>
      <name val="Arial Unicode MS"/>
      <family val="1"/>
      <charset val="136"/>
    </font>
    <font>
      <sz val="12"/>
      <color rgb="FFF78DEA"/>
      <name val="新細明體"/>
      <family val="2"/>
      <charset val="136"/>
      <scheme val="minor"/>
    </font>
    <font>
      <sz val="11"/>
      <color rgb="FFA40C92"/>
      <name val="Arial Unicode MS"/>
      <family val="1"/>
      <charset val="136"/>
    </font>
    <font>
      <b/>
      <sz val="18"/>
      <color rgb="FF000000"/>
      <name val="新細明體"/>
      <family val="1"/>
      <charset val="136"/>
      <scheme val="minor"/>
    </font>
    <font>
      <sz val="12"/>
      <color rgb="FF9966FF"/>
      <name val="Times New Roman"/>
      <family val="1"/>
    </font>
    <font>
      <sz val="12"/>
      <color theme="9"/>
      <name val="Arial Unicode MS"/>
      <family val="1"/>
      <charset val="136"/>
    </font>
    <font>
      <sz val="12"/>
      <color theme="0" tint="-0.499984740745262"/>
      <name val="Arial Unicode MS"/>
      <family val="1"/>
      <charset val="136"/>
    </font>
    <font>
      <sz val="12"/>
      <color rgb="FFF78DEA"/>
      <name val="Arial Unicode MS"/>
      <family val="2"/>
      <charset val="136"/>
    </font>
    <font>
      <b/>
      <sz val="16"/>
      <color rgb="FF000000"/>
      <name val="新細明體"/>
      <family val="1"/>
      <charset val="136"/>
      <scheme val="minor"/>
    </font>
    <font>
      <sz val="12"/>
      <color theme="1"/>
      <name val="Arial Unicode MS"/>
      <family val="2"/>
      <charset val="136"/>
    </font>
    <font>
      <sz val="12"/>
      <color theme="4" tint="-0.499984740745262"/>
      <name val="Arial Unicode MS"/>
      <family val="2"/>
      <charset val="136"/>
    </font>
    <font>
      <sz val="12"/>
      <color theme="4" tint="-0.499984740745262"/>
      <name val="Arial Unicode MS"/>
      <family val="1"/>
      <charset val="136"/>
    </font>
    <font>
      <sz val="11"/>
      <color theme="4" tint="-0.499984740745262"/>
      <name val="Arial Unicode MS"/>
      <family val="2"/>
      <charset val="136"/>
    </font>
    <font>
      <sz val="12"/>
      <name val="Microsoft JhengHei"/>
      <family val="1"/>
    </font>
    <font>
      <sz val="11"/>
      <color rgb="FFA40C92"/>
      <name val="Arial Unicode MS"/>
      <charset val="136"/>
    </font>
    <font>
      <sz val="12"/>
      <color rgb="FF0000FF"/>
      <name val="新細明體"/>
      <family val="1"/>
      <charset val="136"/>
    </font>
    <font>
      <b/>
      <sz val="12"/>
      <name val="Microsoft JhengHei"/>
      <family val="1"/>
    </font>
    <font>
      <sz val="12"/>
      <name val="Microsoft JhengHei"/>
      <family val="3"/>
    </font>
    <font>
      <sz val="12"/>
      <name val="細明體-ExtB"/>
      <family val="3"/>
      <charset val="136"/>
    </font>
    <font>
      <sz val="12"/>
      <name val="Microsoft JhengHei"/>
      <family val="3"/>
      <charset val="136"/>
    </font>
    <font>
      <sz val="12"/>
      <color theme="4" tint="-0.499984740745262"/>
      <name val="Arial Unicode MS"/>
      <charset val="136"/>
    </font>
    <font>
      <sz val="12"/>
      <color rgb="FF00B050"/>
      <name val="Arial Unicode MS"/>
      <charset val="136"/>
    </font>
    <font>
      <sz val="12"/>
      <color rgb="FF00B050"/>
      <name val="Arial Unicode MS"/>
      <family val="2"/>
      <charset val="136"/>
    </font>
    <font>
      <sz val="11"/>
      <color rgb="FF00B050"/>
      <name val="Arial Unicode MS"/>
      <family val="2"/>
      <charset val="136"/>
    </font>
    <font>
      <sz val="11"/>
      <color rgb="FF00B050"/>
      <name val="Arial Unicode MS"/>
      <charset val="136"/>
    </font>
    <font>
      <sz val="11"/>
      <color rgb="FF00B050"/>
      <name val="Arial Unicode MS"/>
      <family val="1"/>
      <charset val="136"/>
    </font>
    <font>
      <b/>
      <sz val="16"/>
      <name val="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6" fillId="0" borderId="0">
      <alignment vertical="center"/>
    </xf>
    <xf numFmtId="0" fontId="27" fillId="0" borderId="0"/>
  </cellStyleXfs>
  <cellXfs count="781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43" fontId="2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5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3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10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7" xfId="0" applyNumberFormat="1" applyFont="1" applyBorder="1" applyAlignment="1">
      <alignment horizontal="center"/>
    </xf>
    <xf numFmtId="0" fontId="5" fillId="2" borderId="7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8" xfId="0" applyFill="1" applyBorder="1" applyAlignment="1"/>
    <xf numFmtId="43" fontId="0" fillId="2" borderId="8" xfId="0" applyNumberFormat="1" applyFill="1" applyBorder="1" applyAlignment="1"/>
    <xf numFmtId="43" fontId="0" fillId="2" borderId="5" xfId="0" applyNumberFormat="1" applyFill="1" applyBorder="1" applyAlignment="1"/>
    <xf numFmtId="0" fontId="5" fillId="2" borderId="7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10" fontId="0" fillId="2" borderId="6" xfId="2" applyNumberFormat="1" applyFont="1" applyFill="1" applyBorder="1" applyAlignment="1"/>
    <xf numFmtId="43" fontId="0" fillId="2" borderId="9" xfId="0" applyNumberFormat="1" applyFill="1" applyBorder="1" applyAlignment="1"/>
    <xf numFmtId="0" fontId="5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43" fontId="0" fillId="0" borderId="6" xfId="0" applyNumberFormat="1" applyBorder="1" applyAlignment="1"/>
    <xf numFmtId="10" fontId="0" fillId="0" borderId="6" xfId="2" applyNumberFormat="1" applyFont="1" applyBorder="1" applyAlignment="1"/>
    <xf numFmtId="0" fontId="5" fillId="0" borderId="10" xfId="0" applyFont="1" applyBorder="1" applyAlignment="1">
      <alignment horizontal="center"/>
    </xf>
    <xf numFmtId="0" fontId="5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0" fontId="5" fillId="2" borderId="10" xfId="0" applyFont="1" applyFill="1" applyBorder="1" applyAlignment="1">
      <alignment horizontal="center"/>
    </xf>
    <xf numFmtId="43" fontId="0" fillId="0" borderId="10" xfId="0" applyNumberFormat="1" applyBorder="1" applyAlignment="1"/>
    <xf numFmtId="0" fontId="5" fillId="0" borderId="0" xfId="0" applyFont="1" applyAlignment="1">
      <alignment horizontal="center"/>
    </xf>
    <xf numFmtId="176" fontId="0" fillId="0" borderId="0" xfId="0" applyNumberFormat="1" applyAlignment="1"/>
    <xf numFmtId="10" fontId="0" fillId="0" borderId="0" xfId="0" applyNumberFormat="1" applyAlignment="1"/>
    <xf numFmtId="10" fontId="0" fillId="0" borderId="0" xfId="2" applyNumberFormat="1" applyFont="1" applyAlignment="1"/>
    <xf numFmtId="0" fontId="5" fillId="2" borderId="1" xfId="0" applyFont="1" applyFill="1" applyBorder="1" applyAlignment="1">
      <alignment horizontal="left"/>
    </xf>
    <xf numFmtId="176" fontId="0" fillId="2" borderId="2" xfId="0" applyNumberFormat="1" applyFill="1" applyBorder="1" applyAlignment="1"/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2" applyNumberFormat="1" applyFont="1" applyFill="1" applyBorder="1" applyAlignment="1"/>
    <xf numFmtId="43" fontId="0" fillId="2" borderId="3" xfId="0" applyNumberFormat="1" applyFill="1" applyBorder="1" applyAlignment="1"/>
    <xf numFmtId="0" fontId="5" fillId="0" borderId="5" xfId="0" applyFont="1" applyBorder="1" applyAlignment="1">
      <alignment horizontal="center"/>
    </xf>
    <xf numFmtId="43" fontId="5" fillId="0" borderId="11" xfId="0" applyNumberFormat="1" applyFont="1" applyBorder="1" applyAlignment="1">
      <alignment horizontal="center"/>
    </xf>
    <xf numFmtId="10" fontId="5" fillId="0" borderId="11" xfId="0" applyNumberFormat="1" applyFont="1" applyBorder="1" applyAlignment="1">
      <alignment horizontal="center"/>
    </xf>
    <xf numFmtId="10" fontId="5" fillId="0" borderId="11" xfId="2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76" fontId="5" fillId="0" borderId="9" xfId="0" applyNumberFormat="1" applyFont="1" applyBorder="1" applyAlignment="1">
      <alignment horizontal="center"/>
    </xf>
    <xf numFmtId="176" fontId="5" fillId="0" borderId="9" xfId="0" quotePrefix="1" applyNumberFormat="1" applyFont="1" applyBorder="1" applyAlignment="1">
      <alignment horizontal="center"/>
    </xf>
    <xf numFmtId="176" fontId="5" fillId="0" borderId="11" xfId="0" applyNumberFormat="1" applyFont="1" applyBorder="1" applyAlignment="1">
      <alignment horizontal="center"/>
    </xf>
    <xf numFmtId="176" fontId="5" fillId="0" borderId="11" xfId="0" quotePrefix="1" applyNumberFormat="1" applyFont="1" applyBorder="1" applyAlignment="1">
      <alignment horizontal="center"/>
    </xf>
    <xf numFmtId="10" fontId="5" fillId="0" borderId="11" xfId="2" quotePrefix="1" applyNumberFormat="1" applyFont="1" applyBorder="1" applyAlignment="1">
      <alignment horizontal="center"/>
    </xf>
    <xf numFmtId="43" fontId="5" fillId="0" borderId="9" xfId="0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2" applyNumberFormat="1" applyFont="1" applyFill="1" applyBorder="1" applyAlignment="1"/>
    <xf numFmtId="0" fontId="5" fillId="0" borderId="0" xfId="0" quotePrefix="1" applyFont="1" applyAlignment="1">
      <alignment horizontal="left"/>
    </xf>
    <xf numFmtId="176" fontId="0" fillId="2" borderId="0" xfId="0" applyNumberFormat="1" applyFill="1" applyAlignment="1"/>
    <xf numFmtId="43" fontId="5" fillId="0" borderId="0" xfId="0" applyNumberFormat="1" applyFont="1" applyAlignment="1"/>
    <xf numFmtId="0" fontId="14" fillId="0" borderId="0" xfId="0" applyFont="1" applyAlignment="1"/>
    <xf numFmtId="176" fontId="14" fillId="0" borderId="0" xfId="0" applyNumberFormat="1" applyFont="1" applyAlignment="1"/>
    <xf numFmtId="176" fontId="15" fillId="0" borderId="0" xfId="0" applyNumberFormat="1" applyFont="1" applyAlignment="1"/>
    <xf numFmtId="43" fontId="16" fillId="0" borderId="0" xfId="0" applyNumberFormat="1" applyFont="1" applyAlignment="1"/>
    <xf numFmtId="176" fontId="16" fillId="0" borderId="0" xfId="0" applyNumberFormat="1" applyFont="1" applyAlignment="1"/>
    <xf numFmtId="43" fontId="14" fillId="0" borderId="0" xfId="0" applyNumberFormat="1" applyFont="1" applyAlignment="1"/>
    <xf numFmtId="0" fontId="20" fillId="0" borderId="0" xfId="0" applyFont="1" applyAlignment="1">
      <alignment horizontal="centerContinuous"/>
    </xf>
    <xf numFmtId="0" fontId="21" fillId="0" borderId="0" xfId="0" applyFont="1" applyAlignment="1">
      <alignment horizontal="centerContinuous"/>
    </xf>
    <xf numFmtId="10" fontId="22" fillId="0" borderId="0" xfId="0" applyNumberFormat="1" applyFont="1" applyAlignment="1">
      <alignment horizontal="centerContinuous"/>
    </xf>
    <xf numFmtId="43" fontId="23" fillId="0" borderId="0" xfId="0" applyNumberFormat="1" applyFont="1" applyAlignment="1">
      <alignment horizontal="centerContinuous"/>
    </xf>
    <xf numFmtId="43" fontId="21" fillId="0" borderId="0" xfId="0" applyNumberFormat="1" applyFont="1" applyAlignment="1">
      <alignment horizontal="centerContinuous"/>
    </xf>
    <xf numFmtId="0" fontId="24" fillId="0" borderId="0" xfId="0" applyFont="1" applyAlignment="1"/>
    <xf numFmtId="10" fontId="25" fillId="0" borderId="0" xfId="0" applyNumberFormat="1" applyFont="1" applyAlignment="1"/>
    <xf numFmtId="43" fontId="26" fillId="0" borderId="0" xfId="0" applyNumberFormat="1" applyFont="1" applyAlignment="1"/>
    <xf numFmtId="43" fontId="24" fillId="0" borderId="0" xfId="0" applyNumberFormat="1" applyFont="1" applyAlignment="1"/>
    <xf numFmtId="0" fontId="28" fillId="0" borderId="4" xfId="0" quotePrefix="1" applyFont="1" applyBorder="1" applyAlignment="1">
      <alignment horizontal="center"/>
    </xf>
    <xf numFmtId="0" fontId="29" fillId="0" borderId="5" xfId="0" quotePrefix="1" applyFont="1" applyBorder="1" applyAlignment="1">
      <alignment horizontal="center"/>
    </xf>
    <xf numFmtId="10" fontId="5" fillId="0" borderId="5" xfId="0" applyNumberFormat="1" applyFont="1" applyBorder="1" applyAlignment="1">
      <alignment horizontal="center"/>
    </xf>
    <xf numFmtId="10" fontId="5" fillId="0" borderId="5" xfId="0" quotePrefix="1" applyNumberFormat="1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10" fontId="31" fillId="0" borderId="9" xfId="0" applyNumberFormat="1" applyFont="1" applyBorder="1" applyAlignment="1">
      <alignment horizontal="center"/>
    </xf>
    <xf numFmtId="0" fontId="5" fillId="0" borderId="9" xfId="0" quotePrefix="1" applyFont="1" applyBorder="1" applyAlignment="1">
      <alignment horizontal="center"/>
    </xf>
    <xf numFmtId="43" fontId="32" fillId="0" borderId="9" xfId="0" applyNumberFormat="1" applyFont="1" applyBorder="1" applyAlignment="1">
      <alignment horizontal="center"/>
    </xf>
    <xf numFmtId="43" fontId="34" fillId="0" borderId="9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4" fillId="2" borderId="5" xfId="0" applyFont="1" applyFill="1" applyBorder="1" applyAlignment="1"/>
    <xf numFmtId="10" fontId="25" fillId="2" borderId="5" xfId="0" applyNumberFormat="1" applyFont="1" applyFill="1" applyBorder="1" applyAlignment="1"/>
    <xf numFmtId="43" fontId="26" fillId="2" borderId="5" xfId="0" applyNumberFormat="1" applyFont="1" applyFill="1" applyBorder="1" applyAlignment="1"/>
    <xf numFmtId="43" fontId="24" fillId="2" borderId="5" xfId="0" applyNumberFormat="1" applyFont="1" applyFill="1" applyBorder="1" applyAlignment="1"/>
    <xf numFmtId="176" fontId="24" fillId="2" borderId="6" xfId="0" applyNumberFormat="1" applyFont="1" applyFill="1" applyBorder="1" applyAlignment="1"/>
    <xf numFmtId="10" fontId="35" fillId="2" borderId="9" xfId="2" applyNumberFormat="1" applyFont="1" applyFill="1" applyBorder="1" applyAlignment="1"/>
    <xf numFmtId="43" fontId="26" fillId="0" borderId="6" xfId="0" applyNumberFormat="1" applyFont="1" applyBorder="1" applyAlignment="1"/>
    <xf numFmtId="43" fontId="24" fillId="2" borderId="6" xfId="0" applyNumberFormat="1" applyFont="1" applyFill="1" applyBorder="1" applyAlignment="1"/>
    <xf numFmtId="176" fontId="24" fillId="0" borderId="6" xfId="0" applyNumberFormat="1" applyFont="1" applyBorder="1" applyAlignment="1"/>
    <xf numFmtId="10" fontId="27" fillId="2" borderId="9" xfId="2" applyNumberFormat="1" applyFont="1" applyFill="1" applyBorder="1" applyAlignment="1"/>
    <xf numFmtId="176" fontId="24" fillId="0" borderId="10" xfId="0" applyNumberFormat="1" applyFont="1" applyBorder="1" applyAlignment="1"/>
    <xf numFmtId="43" fontId="26" fillId="0" borderId="9" xfId="0" applyNumberFormat="1" applyFont="1" applyBorder="1" applyAlignment="1"/>
    <xf numFmtId="43" fontId="24" fillId="0" borderId="9" xfId="0" applyNumberFormat="1" applyFont="1" applyBorder="1" applyAlignment="1"/>
    <xf numFmtId="176" fontId="24" fillId="2" borderId="10" xfId="0" applyNumberFormat="1" applyFont="1" applyFill="1" applyBorder="1" applyAlignment="1"/>
    <xf numFmtId="10" fontId="27" fillId="0" borderId="9" xfId="2" applyNumberFormat="1" applyFont="1" applyBorder="1" applyAlignment="1"/>
    <xf numFmtId="10" fontId="35" fillId="0" borderId="9" xfId="2" applyNumberFormat="1" applyFont="1" applyBorder="1" applyAlignment="1"/>
    <xf numFmtId="176" fontId="5" fillId="0" borderId="10" xfId="0" applyNumberFormat="1" applyFont="1" applyBorder="1" applyAlignment="1">
      <alignment horizontal="center"/>
    </xf>
    <xf numFmtId="176" fontId="5" fillId="0" borderId="10" xfId="0" quotePrefix="1" applyNumberFormat="1" applyFont="1" applyBorder="1" applyAlignment="1">
      <alignment horizontal="center"/>
    </xf>
    <xf numFmtId="176" fontId="24" fillId="2" borderId="2" xfId="0" applyNumberFormat="1" applyFont="1" applyFill="1" applyBorder="1" applyAlignment="1"/>
    <xf numFmtId="10" fontId="25" fillId="0" borderId="0" xfId="2" applyNumberFormat="1" applyFont="1" applyAlignment="1"/>
    <xf numFmtId="43" fontId="26" fillId="2" borderId="0" xfId="0" applyNumberFormat="1" applyFont="1" applyFill="1" applyAlignment="1"/>
    <xf numFmtId="43" fontId="24" fillId="2" borderId="0" xfId="0" applyNumberFormat="1" applyFont="1" applyFill="1" applyAlignment="1"/>
    <xf numFmtId="176" fontId="24" fillId="2" borderId="12" xfId="0" applyNumberFormat="1" applyFont="1" applyFill="1" applyBorder="1" applyAlignment="1"/>
    <xf numFmtId="10" fontId="25" fillId="2" borderId="2" xfId="0" applyNumberFormat="1" applyFont="1" applyFill="1" applyBorder="1" applyAlignment="1"/>
    <xf numFmtId="10" fontId="25" fillId="2" borderId="3" xfId="2" applyNumberFormat="1" applyFont="1" applyFill="1" applyBorder="1" applyAlignment="1"/>
    <xf numFmtId="43" fontId="24" fillId="2" borderId="12" xfId="0" applyNumberFormat="1" applyFont="1" applyFill="1" applyBorder="1" applyAlignment="1"/>
    <xf numFmtId="10" fontId="5" fillId="0" borderId="5" xfId="2" quotePrefix="1" applyNumberFormat="1" applyFont="1" applyBorder="1" applyAlignment="1">
      <alignment horizontal="center"/>
    </xf>
    <xf numFmtId="176" fontId="29" fillId="0" borderId="9" xfId="0" applyNumberFormat="1" applyFont="1" applyBorder="1" applyAlignment="1">
      <alignment horizontal="center"/>
    </xf>
    <xf numFmtId="10" fontId="31" fillId="0" borderId="9" xfId="2" applyNumberFormat="1" applyFont="1" applyBorder="1" applyAlignment="1">
      <alignment horizontal="center"/>
    </xf>
    <xf numFmtId="0" fontId="39" fillId="0" borderId="0" xfId="0" applyFont="1" applyAlignment="1">
      <alignment horizontal="centerContinuous"/>
    </xf>
    <xf numFmtId="0" fontId="27" fillId="0" borderId="0" xfId="0" applyFont="1" applyAlignment="1"/>
    <xf numFmtId="0" fontId="40" fillId="0" borderId="0" xfId="0" applyFont="1" applyAlignment="1"/>
    <xf numFmtId="0" fontId="27" fillId="3" borderId="1" xfId="0" applyFont="1" applyFill="1" applyBorder="1" applyAlignment="1"/>
    <xf numFmtId="0" fontId="27" fillId="3" borderId="2" xfId="0" applyFont="1" applyFill="1" applyBorder="1" applyAlignment="1"/>
    <xf numFmtId="0" fontId="27" fillId="3" borderId="3" xfId="0" applyFont="1" applyFill="1" applyBorder="1" applyAlignment="1"/>
    <xf numFmtId="0" fontId="24" fillId="3" borderId="2" xfId="0" applyFont="1" applyFill="1" applyBorder="1" applyAlignment="1"/>
    <xf numFmtId="0" fontId="29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9" fillId="0" borderId="4" xfId="0" quotePrefix="1" applyFont="1" applyBorder="1" applyAlignment="1">
      <alignment horizontal="center"/>
    </xf>
    <xf numFmtId="0" fontId="40" fillId="2" borderId="8" xfId="0" applyFont="1" applyFill="1" applyBorder="1" applyAlignment="1"/>
    <xf numFmtId="0" fontId="0" fillId="2" borderId="5" xfId="0" applyFill="1" applyBorder="1" applyAlignment="1"/>
    <xf numFmtId="176" fontId="0" fillId="2" borderId="9" xfId="0" applyNumberFormat="1" applyFill="1" applyBorder="1" applyAlignment="1"/>
    <xf numFmtId="2" fontId="0" fillId="2" borderId="6" xfId="0" applyNumberFormat="1" applyFill="1" applyBorder="1" applyAlignment="1"/>
    <xf numFmtId="176" fontId="40" fillId="2" borderId="6" xfId="0" applyNumberFormat="1" applyFont="1" applyFill="1" applyBorder="1" applyAlignment="1"/>
    <xf numFmtId="10" fontId="1" fillId="2" borderId="6" xfId="2" applyNumberFormat="1" applyFill="1" applyBorder="1" applyAlignment="1"/>
    <xf numFmtId="2" fontId="0" fillId="2" borderId="9" xfId="0" applyNumberFormat="1" applyFill="1" applyBorder="1" applyAlignment="1"/>
    <xf numFmtId="2" fontId="0" fillId="0" borderId="6" xfId="0" applyNumberFormat="1" applyBorder="1" applyAlignment="1"/>
    <xf numFmtId="176" fontId="40" fillId="0" borderId="6" xfId="0" applyNumberFormat="1" applyFont="1" applyBorder="1" applyAlignment="1"/>
    <xf numFmtId="10" fontId="1" fillId="0" borderId="6" xfId="2" applyNumberFormat="1" applyBorder="1" applyAlignment="1"/>
    <xf numFmtId="176" fontId="40" fillId="0" borderId="10" xfId="0" applyNumberFormat="1" applyFont="1" applyBorder="1" applyAlignment="1"/>
    <xf numFmtId="2" fontId="0" fillId="0" borderId="9" xfId="0" applyNumberFormat="1" applyBorder="1" applyAlignment="1"/>
    <xf numFmtId="0" fontId="0" fillId="0" borderId="10" xfId="0" applyBorder="1" applyAlignment="1">
      <alignment horizontal="center"/>
    </xf>
    <xf numFmtId="176" fontId="40" fillId="2" borderId="10" xfId="0" applyNumberFormat="1" applyFont="1" applyFill="1" applyBorder="1" applyAlignment="1"/>
    <xf numFmtId="2" fontId="0" fillId="0" borderId="10" xfId="0" applyNumberFormat="1" applyBorder="1" applyAlignment="1"/>
    <xf numFmtId="176" fontId="40" fillId="3" borderId="6" xfId="0" applyNumberFormat="1" applyFont="1" applyFill="1" applyBorder="1" applyAlignment="1"/>
    <xf numFmtId="0" fontId="41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/>
    <xf numFmtId="176" fontId="40" fillId="0" borderId="0" xfId="0" applyNumberFormat="1" applyFont="1" applyAlignment="1"/>
    <xf numFmtId="10" fontId="1" fillId="0" borderId="0" xfId="2" applyNumberFormat="1" applyAlignment="1"/>
    <xf numFmtId="0" fontId="0" fillId="2" borderId="1" xfId="0" applyFill="1" applyBorder="1" applyAlignment="1">
      <alignment horizontal="left"/>
    </xf>
    <xf numFmtId="2" fontId="0" fillId="2" borderId="2" xfId="0" applyNumberFormat="1" applyFill="1" applyBorder="1" applyAlignment="1"/>
    <xf numFmtId="176" fontId="40" fillId="2" borderId="2" xfId="0" applyNumberFormat="1" applyFont="1" applyFill="1" applyBorder="1" applyAlignment="1"/>
    <xf numFmtId="10" fontId="1" fillId="2" borderId="2" xfId="2" applyNumberFormat="1" applyFill="1" applyBorder="1" applyAlignment="1"/>
    <xf numFmtId="2" fontId="0" fillId="2" borderId="3" xfId="0" applyNumberFormat="1" applyFill="1" applyBorder="1" applyAlignment="1"/>
    <xf numFmtId="2" fontId="5" fillId="0" borderId="11" xfId="0" applyNumberFormat="1" applyFont="1" applyBorder="1" applyAlignment="1">
      <alignment horizontal="center"/>
    </xf>
    <xf numFmtId="176" fontId="40" fillId="0" borderId="11" xfId="0" applyNumberFormat="1" applyFont="1" applyBorder="1" applyAlignment="1">
      <alignment horizontal="center"/>
    </xf>
    <xf numFmtId="176" fontId="29" fillId="0" borderId="11" xfId="0" quotePrefix="1" applyNumberFormat="1" applyFont="1" applyBorder="1" applyAlignment="1">
      <alignment horizontal="center"/>
    </xf>
    <xf numFmtId="2" fontId="0" fillId="2" borderId="10" xfId="0" applyNumberFormat="1" applyFill="1" applyBorder="1" applyAlignment="1"/>
    <xf numFmtId="10" fontId="1" fillId="2" borderId="10" xfId="2" applyNumberFormat="1" applyFill="1" applyBorder="1" applyAlignment="1"/>
    <xf numFmtId="0" fontId="29" fillId="0" borderId="0" xfId="0" applyFont="1" applyAlignment="1"/>
    <xf numFmtId="0" fontId="43" fillId="0" borderId="0" xfId="0" applyFont="1" applyAlignment="1"/>
    <xf numFmtId="0" fontId="28" fillId="0" borderId="7" xfId="0" applyFont="1" applyBorder="1" applyAlignment="1">
      <alignment horizontal="center"/>
    </xf>
    <xf numFmtId="0" fontId="14" fillId="2" borderId="7" xfId="0" quotePrefix="1" applyFont="1" applyFill="1" applyBorder="1" applyAlignment="1">
      <alignment horizontal="center"/>
    </xf>
    <xf numFmtId="0" fontId="5" fillId="2" borderId="13" xfId="0" quotePrefix="1" applyFont="1" applyFill="1" applyBorder="1" applyAlignment="1">
      <alignment horizontal="center"/>
    </xf>
    <xf numFmtId="2" fontId="0" fillId="2" borderId="14" xfId="0" applyNumberFormat="1" applyFill="1" applyBorder="1" applyAlignment="1"/>
    <xf numFmtId="176" fontId="0" fillId="0" borderId="13" xfId="0" applyNumberFormat="1" applyBorder="1" applyAlignment="1"/>
    <xf numFmtId="10" fontId="0" fillId="2" borderId="14" xfId="2" applyNumberFormat="1" applyFont="1" applyFill="1" applyBorder="1" applyAlignment="1"/>
    <xf numFmtId="2" fontId="0" fillId="2" borderId="13" xfId="0" applyNumberFormat="1" applyFill="1" applyBorder="1" applyAlignment="1"/>
    <xf numFmtId="0" fontId="5" fillId="2" borderId="0" xfId="0" quotePrefix="1" applyFont="1" applyFill="1" applyAlignment="1">
      <alignment horizontal="center"/>
    </xf>
    <xf numFmtId="2" fontId="0" fillId="2" borderId="0" xfId="0" applyNumberFormat="1" applyFill="1" applyAlignment="1"/>
    <xf numFmtId="10" fontId="0" fillId="2" borderId="0" xfId="2" applyNumberFormat="1" applyFont="1" applyFill="1" applyBorder="1" applyAlignment="1"/>
    <xf numFmtId="176" fontId="0" fillId="0" borderId="11" xfId="0" applyNumberFormat="1" applyBorder="1" applyAlignment="1">
      <alignment horizontal="center"/>
    </xf>
    <xf numFmtId="176" fontId="41" fillId="0" borderId="10" xfId="0" applyNumberFormat="1" applyFont="1" applyBorder="1" applyAlignment="1">
      <alignment horizontal="center"/>
    </xf>
    <xf numFmtId="176" fontId="41" fillId="0" borderId="10" xfId="0" quotePrefix="1" applyNumberFormat="1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10" fontId="0" fillId="2" borderId="6" xfId="2" applyNumberFormat="1" applyFon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2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0" fontId="40" fillId="0" borderId="0" xfId="0" applyFont="1" applyAlignment="1">
      <alignment horizontal="center"/>
    </xf>
    <xf numFmtId="0" fontId="27" fillId="2" borderId="1" xfId="0" applyFont="1" applyFill="1" applyBorder="1" applyAlignment="1"/>
    <xf numFmtId="0" fontId="27" fillId="2" borderId="2" xfId="0" applyFont="1" applyFill="1" applyBorder="1" applyAlignment="1"/>
    <xf numFmtId="0" fontId="27" fillId="2" borderId="2" xfId="0" applyFont="1" applyFill="1" applyBorder="1" applyAlignment="1">
      <alignment horizontal="center"/>
    </xf>
    <xf numFmtId="0" fontId="27" fillId="2" borderId="3" xfId="0" applyFont="1" applyFill="1" applyBorder="1" applyAlignment="1">
      <alignment horizontal="center"/>
    </xf>
    <xf numFmtId="0" fontId="24" fillId="2" borderId="2" xfId="0" applyFont="1" applyFill="1" applyBorder="1" applyAlignment="1"/>
    <xf numFmtId="0" fontId="24" fillId="2" borderId="2" xfId="0" applyFont="1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40" fillId="2" borderId="8" xfId="0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10" fontId="1" fillId="2" borderId="6" xfId="2" applyNumberFormat="1" applyFill="1" applyBorder="1" applyAlignment="1">
      <alignment horizontal="center"/>
    </xf>
    <xf numFmtId="176" fontId="40" fillId="2" borderId="6" xfId="0" applyNumberFormat="1" applyFont="1" applyFill="1" applyBorder="1" applyAlignment="1">
      <alignment horizontal="center"/>
    </xf>
    <xf numFmtId="10" fontId="1" fillId="0" borderId="6" xfId="2" applyNumberFormat="1" applyBorder="1" applyAlignment="1">
      <alignment horizontal="center"/>
    </xf>
    <xf numFmtId="176" fontId="40" fillId="0" borderId="10" xfId="0" applyNumberFormat="1" applyFont="1" applyBorder="1" applyAlignment="1">
      <alignment horizontal="center"/>
    </xf>
    <xf numFmtId="176" fontId="40" fillId="2" borderId="10" xfId="0" applyNumberFormat="1" applyFont="1" applyFill="1" applyBorder="1" applyAlignment="1">
      <alignment horizontal="center"/>
    </xf>
    <xf numFmtId="10" fontId="1" fillId="2" borderId="10" xfId="2" applyNumberFormat="1" applyFill="1" applyBorder="1" applyAlignment="1">
      <alignment horizontal="center"/>
    </xf>
    <xf numFmtId="0" fontId="49" fillId="0" borderId="0" xfId="0" applyFont="1" applyAlignment="1">
      <alignment horizontal="centerContinuous"/>
    </xf>
    <xf numFmtId="10" fontId="50" fillId="0" borderId="0" xfId="0" applyNumberFormat="1" applyFont="1" applyAlignment="1">
      <alignment horizontal="centerContinuous"/>
    </xf>
    <xf numFmtId="43" fontId="51" fillId="0" borderId="0" xfId="0" applyNumberFormat="1" applyFont="1" applyAlignment="1">
      <alignment horizontal="centerContinuous"/>
    </xf>
    <xf numFmtId="43" fontId="49" fillId="0" borderId="0" xfId="0" applyNumberFormat="1" applyFont="1" applyAlignment="1">
      <alignment horizontal="centerContinuous"/>
    </xf>
    <xf numFmtId="0" fontId="0" fillId="2" borderId="7" xfId="0" applyFill="1" applyBorder="1" applyAlignment="1"/>
    <xf numFmtId="0" fontId="24" fillId="0" borderId="5" xfId="0" applyFont="1" applyBorder="1" applyAlignment="1"/>
    <xf numFmtId="10" fontId="25" fillId="2" borderId="7" xfId="0" applyNumberFormat="1" applyFont="1" applyFill="1" applyBorder="1" applyAlignment="1"/>
    <xf numFmtId="0" fontId="0" fillId="2" borderId="11" xfId="0" applyFill="1" applyBorder="1" applyAlignment="1"/>
    <xf numFmtId="43" fontId="26" fillId="2" borderId="16" xfId="0" applyNumberFormat="1" applyFont="1" applyFill="1" applyBorder="1" applyAlignment="1"/>
    <xf numFmtId="0" fontId="5" fillId="2" borderId="9" xfId="0" applyFont="1" applyFill="1" applyBorder="1" applyAlignment="1">
      <alignment horizontal="center"/>
    </xf>
    <xf numFmtId="176" fontId="24" fillId="0" borderId="9" xfId="0" applyNumberFormat="1" applyFont="1" applyBorder="1" applyAlignment="1"/>
    <xf numFmtId="176" fontId="0" fillId="0" borderId="9" xfId="0" applyNumberFormat="1" applyBorder="1" applyAlignment="1"/>
    <xf numFmtId="10" fontId="27" fillId="2" borderId="10" xfId="2" applyNumberFormat="1" applyFont="1" applyFill="1" applyBorder="1" applyAlignment="1"/>
    <xf numFmtId="10" fontId="27" fillId="0" borderId="10" xfId="2" applyNumberFormat="1" applyFont="1" applyBorder="1" applyAlignment="1"/>
    <xf numFmtId="49" fontId="0" fillId="0" borderId="0" xfId="0" applyNumberFormat="1" applyAlignment="1"/>
    <xf numFmtId="41" fontId="0" fillId="0" borderId="0" xfId="0" applyNumberFormat="1" applyAlignment="1"/>
    <xf numFmtId="49" fontId="14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1" fontId="15" fillId="0" borderId="5" xfId="0" quotePrefix="1" applyNumberFormat="1" applyFont="1" applyBorder="1" applyAlignment="1">
      <alignment horizontal="center"/>
    </xf>
    <xf numFmtId="41" fontId="16" fillId="0" borderId="5" xfId="0" applyNumberFormat="1" applyFont="1" applyBorder="1" applyAlignment="1">
      <alignment horizontal="center"/>
    </xf>
    <xf numFmtId="41" fontId="58" fillId="0" borderId="5" xfId="0" applyNumberFormat="1" applyFont="1" applyBorder="1" applyAlignment="1">
      <alignment horizontal="center"/>
    </xf>
    <xf numFmtId="0" fontId="48" fillId="0" borderId="5" xfId="0" applyFont="1" applyBorder="1" applyAlignment="1">
      <alignment horizontal="center"/>
    </xf>
    <xf numFmtId="49" fontId="14" fillId="0" borderId="9" xfId="0" applyNumberFormat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1" fontId="14" fillId="0" borderId="9" xfId="0" applyNumberFormat="1" applyFont="1" applyBorder="1" applyAlignment="1">
      <alignment horizontal="center"/>
    </xf>
    <xf numFmtId="41" fontId="15" fillId="0" borderId="9" xfId="0" applyNumberFormat="1" applyFont="1" applyBorder="1" applyAlignment="1">
      <alignment horizontal="center"/>
    </xf>
    <xf numFmtId="41" fontId="16" fillId="0" borderId="9" xfId="0" applyNumberFormat="1" applyFont="1" applyBorder="1" applyAlignment="1">
      <alignment horizontal="center"/>
    </xf>
    <xf numFmtId="41" fontId="14" fillId="0" borderId="9" xfId="0" quotePrefix="1" applyNumberFormat="1" applyFont="1" applyBorder="1" applyAlignment="1">
      <alignment horizontal="center"/>
    </xf>
    <xf numFmtId="41" fontId="15" fillId="0" borderId="9" xfId="0" quotePrefix="1" applyNumberFormat="1" applyFont="1" applyBorder="1" applyAlignment="1">
      <alignment horizontal="center"/>
    </xf>
    <xf numFmtId="41" fontId="16" fillId="0" borderId="9" xfId="0" quotePrefix="1" applyNumberFormat="1" applyFont="1" applyBorder="1" applyAlignment="1">
      <alignment horizontal="center"/>
    </xf>
    <xf numFmtId="0" fontId="59" fillId="0" borderId="9" xfId="0" quotePrefix="1" applyFont="1" applyBorder="1" applyAlignment="1">
      <alignment horizontal="center"/>
    </xf>
    <xf numFmtId="0" fontId="59" fillId="0" borderId="9" xfId="0" applyFont="1" applyBorder="1" applyAlignment="1">
      <alignment horizontal="center"/>
    </xf>
    <xf numFmtId="49" fontId="41" fillId="0" borderId="10" xfId="0" applyNumberFormat="1" applyFont="1" applyBorder="1" applyAlignment="1"/>
    <xf numFmtId="0" fontId="60" fillId="0" borderId="10" xfId="0" applyFont="1" applyBorder="1" applyAlignment="1"/>
    <xf numFmtId="41" fontId="11" fillId="0" borderId="10" xfId="0" applyNumberFormat="1" applyFont="1" applyBorder="1" applyAlignment="1"/>
    <xf numFmtId="41" fontId="40" fillId="0" borderId="10" xfId="0" applyNumberFormat="1" applyFont="1" applyBorder="1" applyAlignment="1"/>
    <xf numFmtId="177" fontId="25" fillId="0" borderId="10" xfId="0" applyNumberFormat="1" applyFont="1" applyBorder="1" applyAlignment="1"/>
    <xf numFmtId="177" fontId="27" fillId="0" borderId="10" xfId="0" applyNumberFormat="1" applyFont="1" applyBorder="1" applyAlignment="1"/>
    <xf numFmtId="49" fontId="41" fillId="0" borderId="5" xfId="0" applyNumberFormat="1" applyFont="1" applyBorder="1" applyAlignment="1"/>
    <xf numFmtId="0" fontId="60" fillId="0" borderId="5" xfId="0" applyFont="1" applyBorder="1" applyAlignment="1"/>
    <xf numFmtId="0" fontId="60" fillId="0" borderId="16" xfId="0" applyFont="1" applyBorder="1" applyAlignment="1"/>
    <xf numFmtId="41" fontId="40" fillId="0" borderId="12" xfId="0" applyNumberFormat="1" applyFont="1" applyBorder="1" applyAlignment="1"/>
    <xf numFmtId="177" fontId="35" fillId="0" borderId="10" xfId="0" applyNumberFormat="1" applyFont="1" applyBorder="1" applyAlignment="1"/>
    <xf numFmtId="49" fontId="61" fillId="0" borderId="17" xfId="0" applyNumberFormat="1" applyFont="1" applyBorder="1" applyAlignment="1"/>
    <xf numFmtId="0" fontId="62" fillId="0" borderId="17" xfId="0" applyFont="1" applyBorder="1" applyAlignment="1"/>
    <xf numFmtId="41" fontId="63" fillId="0" borderId="17" xfId="0" applyNumberFormat="1" applyFont="1" applyBorder="1" applyAlignment="1"/>
    <xf numFmtId="41" fontId="64" fillId="0" borderId="17" xfId="0" applyNumberFormat="1" applyFont="1" applyBorder="1" applyAlignment="1"/>
    <xf numFmtId="177" fontId="65" fillId="0" borderId="17" xfId="0" applyNumberFormat="1" applyFont="1" applyBorder="1" applyAlignment="1"/>
    <xf numFmtId="177" fontId="63" fillId="0" borderId="17" xfId="0" applyNumberFormat="1" applyFont="1" applyBorder="1" applyAlignment="1"/>
    <xf numFmtId="43" fontId="63" fillId="0" borderId="17" xfId="0" applyNumberFormat="1" applyFont="1" applyBorder="1" applyAlignment="1"/>
    <xf numFmtId="49" fontId="41" fillId="0" borderId="0" xfId="0" applyNumberFormat="1" applyFont="1" applyAlignment="1"/>
    <xf numFmtId="0" fontId="60" fillId="0" borderId="0" xfId="0" applyFont="1" applyAlignment="1"/>
    <xf numFmtId="41" fontId="11" fillId="0" borderId="0" xfId="0" applyNumberFormat="1" applyFont="1" applyAlignment="1"/>
    <xf numFmtId="41" fontId="40" fillId="0" borderId="0" xfId="0" applyNumberFormat="1" applyFont="1" applyAlignment="1"/>
    <xf numFmtId="177" fontId="25" fillId="0" borderId="0" xfId="0" applyNumberFormat="1" applyFont="1" applyAlignment="1"/>
    <xf numFmtId="41" fontId="66" fillId="0" borderId="10" xfId="0" applyNumberFormat="1" applyFont="1" applyBorder="1" applyAlignment="1"/>
    <xf numFmtId="0" fontId="67" fillId="0" borderId="17" xfId="0" applyFont="1" applyBorder="1" applyAlignment="1"/>
    <xf numFmtId="49" fontId="61" fillId="0" borderId="0" xfId="0" applyNumberFormat="1" applyFont="1" applyAlignment="1"/>
    <xf numFmtId="0" fontId="67" fillId="0" borderId="0" xfId="0" applyFont="1" applyAlignment="1"/>
    <xf numFmtId="41" fontId="68" fillId="0" borderId="0" xfId="0" applyNumberFormat="1" applyFont="1" applyAlignment="1"/>
    <xf numFmtId="41" fontId="22" fillId="0" borderId="0" xfId="0" applyNumberFormat="1" applyFont="1" applyAlignment="1"/>
    <xf numFmtId="43" fontId="68" fillId="0" borderId="0" xfId="0" applyNumberFormat="1" applyFont="1" applyAlignment="1"/>
    <xf numFmtId="41" fontId="25" fillId="0" borderId="0" xfId="0" applyNumberFormat="1" applyFont="1" applyAlignment="1"/>
    <xf numFmtId="0" fontId="59" fillId="0" borderId="0" xfId="0" applyFont="1" applyAlignment="1">
      <alignment horizontal="center"/>
    </xf>
    <xf numFmtId="0" fontId="59" fillId="0" borderId="0" xfId="0" quotePrefix="1" applyFont="1" applyAlignment="1">
      <alignment horizontal="center"/>
    </xf>
    <xf numFmtId="49" fontId="0" fillId="0" borderId="10" xfId="0" applyNumberFormat="1" applyBorder="1" applyAlignment="1"/>
    <xf numFmtId="41" fontId="35" fillId="0" borderId="0" xfId="0" applyNumberFormat="1" applyFont="1" applyAlignment="1"/>
    <xf numFmtId="41" fontId="0" fillId="0" borderId="10" xfId="0" applyNumberFormat="1" applyBorder="1" applyAlignment="1"/>
    <xf numFmtId="49" fontId="61" fillId="0" borderId="13" xfId="0" applyNumberFormat="1" applyFont="1" applyBorder="1" applyAlignment="1"/>
    <xf numFmtId="0" fontId="68" fillId="0" borderId="13" xfId="0" applyFont="1" applyBorder="1" applyAlignment="1"/>
    <xf numFmtId="41" fontId="68" fillId="0" borderId="13" xfId="0" applyNumberFormat="1" applyFont="1" applyBorder="1" applyAlignment="1"/>
    <xf numFmtId="41" fontId="21" fillId="0" borderId="13" xfId="0" applyNumberFormat="1" applyFont="1" applyBorder="1" applyAlignment="1"/>
    <xf numFmtId="177" fontId="68" fillId="0" borderId="13" xfId="0" applyNumberFormat="1" applyFont="1" applyBorder="1" applyAlignment="1"/>
    <xf numFmtId="0" fontId="68" fillId="0" borderId="0" xfId="0" applyFont="1" applyAlignment="1"/>
    <xf numFmtId="40" fontId="22" fillId="0" borderId="0" xfId="0" applyNumberFormat="1" applyFont="1" applyAlignment="1"/>
    <xf numFmtId="41" fontId="71" fillId="0" borderId="5" xfId="0" applyNumberFormat="1" applyFont="1" applyBorder="1" applyAlignment="1">
      <alignment horizontal="center"/>
    </xf>
    <xf numFmtId="41" fontId="14" fillId="0" borderId="5" xfId="0" applyNumberFormat="1" applyFont="1" applyBorder="1" applyAlignment="1">
      <alignment horizontal="center"/>
    </xf>
    <xf numFmtId="41" fontId="74" fillId="0" borderId="5" xfId="0" applyNumberFormat="1" applyFont="1" applyBorder="1" applyAlignment="1">
      <alignment horizontal="center"/>
    </xf>
    <xf numFmtId="0" fontId="48" fillId="0" borderId="5" xfId="0" applyFont="1" applyBorder="1" applyAlignment="1">
      <alignment horizontal="left"/>
    </xf>
    <xf numFmtId="0" fontId="76" fillId="0" borderId="5" xfId="0" applyFont="1" applyBorder="1" applyAlignment="1"/>
    <xf numFmtId="41" fontId="71" fillId="0" borderId="9" xfId="0" applyNumberFormat="1" applyFont="1" applyBorder="1" applyAlignment="1">
      <alignment horizontal="center"/>
    </xf>
    <xf numFmtId="41" fontId="77" fillId="0" borderId="9" xfId="0" applyNumberFormat="1" applyFont="1" applyBorder="1" applyAlignment="1">
      <alignment horizontal="center"/>
    </xf>
    <xf numFmtId="0" fontId="76" fillId="0" borderId="9" xfId="0" applyFont="1" applyBorder="1" applyAlignment="1"/>
    <xf numFmtId="41" fontId="27" fillId="0" borderId="10" xfId="0" applyNumberFormat="1" applyFont="1" applyBorder="1" applyAlignment="1"/>
    <xf numFmtId="43" fontId="27" fillId="0" borderId="10" xfId="0" applyNumberFormat="1" applyFont="1" applyBorder="1" applyAlignment="1"/>
    <xf numFmtId="41" fontId="25" fillId="0" borderId="10" xfId="0" applyNumberFormat="1" applyFont="1" applyBorder="1" applyAlignment="1"/>
    <xf numFmtId="10" fontId="25" fillId="0" borderId="5" xfId="0" applyNumberFormat="1" applyFont="1" applyBorder="1" applyAlignment="1"/>
    <xf numFmtId="43" fontId="78" fillId="0" borderId="12" xfId="0" applyNumberFormat="1" applyFont="1" applyBorder="1" applyAlignment="1"/>
    <xf numFmtId="10" fontId="27" fillId="0" borderId="5" xfId="0" applyNumberFormat="1" applyFont="1" applyBorder="1" applyAlignment="1"/>
    <xf numFmtId="43" fontId="27" fillId="0" borderId="18" xfId="0" applyNumberFormat="1" applyFont="1" applyBorder="1" applyAlignment="1"/>
    <xf numFmtId="43" fontId="11" fillId="0" borderId="17" xfId="0" applyNumberFormat="1" applyFont="1" applyBorder="1" applyAlignment="1"/>
    <xf numFmtId="41" fontId="63" fillId="0" borderId="13" xfId="0" applyNumberFormat="1" applyFont="1" applyBorder="1" applyAlignment="1"/>
    <xf numFmtId="41" fontId="66" fillId="0" borderId="0" xfId="0" applyNumberFormat="1" applyFont="1" applyAlignment="1"/>
    <xf numFmtId="41" fontId="80" fillId="0" borderId="5" xfId="0" applyNumberFormat="1" applyFont="1" applyBorder="1" applyAlignment="1">
      <alignment horizontal="center"/>
    </xf>
    <xf numFmtId="41" fontId="81" fillId="0" borderId="5" xfId="0" applyNumberFormat="1" applyFont="1" applyBorder="1" applyAlignment="1">
      <alignment horizontal="center"/>
    </xf>
    <xf numFmtId="10" fontId="16" fillId="0" borderId="5" xfId="0" applyNumberFormat="1" applyFont="1" applyBorder="1" applyAlignment="1">
      <alignment horizontal="center"/>
    </xf>
    <xf numFmtId="0" fontId="82" fillId="0" borderId="5" xfId="0" applyFont="1" applyBorder="1" applyAlignment="1">
      <alignment horizontal="center"/>
    </xf>
    <xf numFmtId="10" fontId="83" fillId="0" borderId="5" xfId="0" applyNumberFormat="1" applyFont="1" applyBorder="1" applyAlignment="1"/>
    <xf numFmtId="41" fontId="84" fillId="0" borderId="9" xfId="0" applyNumberFormat="1" applyFont="1" applyBorder="1" applyAlignment="1">
      <alignment horizontal="center"/>
    </xf>
    <xf numFmtId="10" fontId="16" fillId="0" borderId="9" xfId="0" applyNumberFormat="1" applyFont="1" applyBorder="1" applyAlignment="1">
      <alignment horizontal="center"/>
    </xf>
    <xf numFmtId="0" fontId="85" fillId="0" borderId="9" xfId="0" quotePrefix="1" applyFont="1" applyBorder="1" applyAlignment="1">
      <alignment horizontal="center"/>
    </xf>
    <xf numFmtId="0" fontId="85" fillId="0" borderId="9" xfId="0" applyFont="1" applyBorder="1" applyAlignment="1">
      <alignment horizontal="center"/>
    </xf>
    <xf numFmtId="10" fontId="83" fillId="0" borderId="9" xfId="0" applyNumberFormat="1" applyFont="1" applyBorder="1" applyAlignment="1"/>
    <xf numFmtId="10" fontId="35" fillId="0" borderId="10" xfId="0" applyNumberFormat="1" applyFont="1" applyBorder="1" applyAlignment="1"/>
    <xf numFmtId="43" fontId="78" fillId="0" borderId="10" xfId="0" applyNumberFormat="1" applyFont="1" applyBorder="1" applyAlignment="1"/>
    <xf numFmtId="10" fontId="27" fillId="0" borderId="10" xfId="0" applyNumberFormat="1" applyFont="1" applyBorder="1" applyAlignment="1"/>
    <xf numFmtId="41" fontId="11" fillId="0" borderId="5" xfId="0" applyNumberFormat="1" applyFont="1" applyBorder="1" applyAlignment="1"/>
    <xf numFmtId="41" fontId="0" fillId="0" borderId="5" xfId="0" applyNumberFormat="1" applyBorder="1" applyAlignment="1"/>
    <xf numFmtId="41" fontId="40" fillId="0" borderId="5" xfId="0" applyNumberFormat="1" applyFont="1" applyBorder="1" applyAlignment="1"/>
    <xf numFmtId="41" fontId="66" fillId="0" borderId="5" xfId="0" applyNumberFormat="1" applyFont="1" applyBorder="1" applyAlignment="1"/>
    <xf numFmtId="43" fontId="78" fillId="0" borderId="5" xfId="0" applyNumberFormat="1" applyFont="1" applyBorder="1" applyAlignment="1"/>
    <xf numFmtId="41" fontId="86" fillId="0" borderId="17" xfId="0" applyNumberFormat="1" applyFont="1" applyBorder="1" applyAlignment="1"/>
    <xf numFmtId="10" fontId="68" fillId="0" borderId="17" xfId="0" applyNumberFormat="1" applyFont="1" applyBorder="1" applyAlignment="1"/>
    <xf numFmtId="43" fontId="87" fillId="0" borderId="17" xfId="0" applyNumberFormat="1" applyFont="1" applyBorder="1" applyAlignment="1"/>
    <xf numFmtId="43" fontId="78" fillId="0" borderId="0" xfId="0" applyNumberFormat="1" applyFont="1" applyAlignment="1"/>
    <xf numFmtId="10" fontId="35" fillId="0" borderId="5" xfId="0" applyNumberFormat="1" applyFont="1" applyBorder="1" applyAlignment="1"/>
    <xf numFmtId="41" fontId="89" fillId="0" borderId="0" xfId="0" applyNumberFormat="1" applyFont="1" applyAlignment="1"/>
    <xf numFmtId="10" fontId="22" fillId="0" borderId="0" xfId="0" applyNumberFormat="1" applyFont="1" applyAlignment="1"/>
    <xf numFmtId="49" fontId="54" fillId="0" borderId="0" xfId="0" applyNumberFormat="1" applyFont="1" applyAlignment="1"/>
    <xf numFmtId="41" fontId="90" fillId="0" borderId="0" xfId="0" applyNumberFormat="1" applyFont="1" applyAlignment="1"/>
    <xf numFmtId="41" fontId="63" fillId="3" borderId="13" xfId="0" applyNumberFormat="1" applyFont="1" applyFill="1" applyBorder="1" applyAlignment="1"/>
    <xf numFmtId="10" fontId="91" fillId="0" borderId="13" xfId="0" applyNumberFormat="1" applyFont="1" applyBorder="1" applyAlignment="1"/>
    <xf numFmtId="41" fontId="64" fillId="0" borderId="13" xfId="0" applyNumberFormat="1" applyFont="1" applyBorder="1" applyAlignment="1"/>
    <xf numFmtId="41" fontId="86" fillId="0" borderId="13" xfId="0" applyNumberFormat="1" applyFont="1" applyBorder="1" applyAlignment="1"/>
    <xf numFmtId="176" fontId="84" fillId="0" borderId="0" xfId="0" applyNumberFormat="1" applyFont="1" applyAlignment="1"/>
    <xf numFmtId="10" fontId="14" fillId="0" borderId="0" xfId="0" applyNumberFormat="1" applyFont="1" applyAlignment="1"/>
    <xf numFmtId="41" fontId="92" fillId="0" borderId="0" xfId="0" applyNumberFormat="1" applyFont="1" applyAlignment="1"/>
    <xf numFmtId="41" fontId="94" fillId="0" borderId="5" xfId="0" applyNumberFormat="1" applyFont="1" applyBorder="1" applyAlignment="1">
      <alignment horizontal="center"/>
    </xf>
    <xf numFmtId="0" fontId="48" fillId="0" borderId="8" xfId="0" applyFont="1" applyBorder="1" applyAlignment="1">
      <alignment horizontal="left"/>
    </xf>
    <xf numFmtId="41" fontId="96" fillId="0" borderId="9" xfId="0" applyNumberFormat="1" applyFont="1" applyBorder="1" applyAlignment="1">
      <alignment horizontal="center"/>
    </xf>
    <xf numFmtId="0" fontId="59" fillId="0" borderId="6" xfId="0" applyFont="1" applyBorder="1" applyAlignment="1">
      <alignment horizontal="center"/>
    </xf>
    <xf numFmtId="41" fontId="92" fillId="0" borderId="10" xfId="0" applyNumberFormat="1" applyFont="1" applyBorder="1" applyAlignment="1"/>
    <xf numFmtId="43" fontId="11" fillId="0" borderId="10" xfId="0" applyNumberFormat="1" applyFont="1" applyBorder="1" applyAlignment="1"/>
    <xf numFmtId="43" fontId="97" fillId="0" borderId="10" xfId="0" applyNumberFormat="1" applyFont="1" applyBorder="1" applyAlignment="1"/>
    <xf numFmtId="41" fontId="65" fillId="0" borderId="17" xfId="0" applyNumberFormat="1" applyFont="1" applyBorder="1" applyAlignment="1"/>
    <xf numFmtId="41" fontId="98" fillId="0" borderId="17" xfId="0" applyNumberFormat="1" applyFont="1" applyBorder="1" applyAlignment="1"/>
    <xf numFmtId="41" fontId="99" fillId="0" borderId="0" xfId="0" applyNumberFormat="1" applyFont="1" applyAlignment="1"/>
    <xf numFmtId="41" fontId="65" fillId="0" borderId="13" xfId="0" applyNumberFormat="1" applyFont="1" applyBorder="1" applyAlignment="1"/>
    <xf numFmtId="41" fontId="98" fillId="0" borderId="13" xfId="0" applyNumberFormat="1" applyFont="1" applyBorder="1" applyAlignment="1"/>
    <xf numFmtId="0" fontId="100" fillId="0" borderId="0" xfId="0" applyFont="1" applyAlignment="1"/>
    <xf numFmtId="176" fontId="96" fillId="0" borderId="0" xfId="0" applyNumberFormat="1" applyFont="1" applyAlignment="1"/>
    <xf numFmtId="0" fontId="101" fillId="0" borderId="9" xfId="0" quotePrefix="1" applyFont="1" applyBorder="1" applyAlignment="1">
      <alignment horizontal="center"/>
    </xf>
    <xf numFmtId="0" fontId="101" fillId="0" borderId="6" xfId="0" applyFont="1" applyBorder="1" applyAlignment="1">
      <alignment horizontal="center"/>
    </xf>
    <xf numFmtId="10" fontId="102" fillId="0" borderId="10" xfId="0" applyNumberFormat="1" applyFont="1" applyBorder="1" applyAlignment="1"/>
    <xf numFmtId="10" fontId="90" fillId="0" borderId="5" xfId="0" applyNumberFormat="1" applyFont="1" applyBorder="1" applyAlignment="1"/>
    <xf numFmtId="10" fontId="91" fillId="0" borderId="17" xfId="0" applyNumberFormat="1" applyFont="1" applyBorder="1" applyAlignment="1"/>
    <xf numFmtId="10" fontId="103" fillId="0" borderId="17" xfId="0" applyNumberFormat="1" applyFont="1" applyBorder="1" applyAlignment="1"/>
    <xf numFmtId="10" fontId="5" fillId="0" borderId="0" xfId="0" applyNumberFormat="1" applyFont="1" applyAlignment="1"/>
    <xf numFmtId="43" fontId="20" fillId="0" borderId="0" xfId="0" applyNumberFormat="1" applyFont="1" applyAlignment="1">
      <alignment horizontal="centerContinuous"/>
    </xf>
    <xf numFmtId="0" fontId="41" fillId="0" borderId="4" xfId="0" quotePrefix="1" applyFont="1" applyBorder="1" applyAlignment="1">
      <alignment horizontal="center"/>
    </xf>
    <xf numFmtId="43" fontId="41" fillId="0" borderId="7" xfId="0" applyNumberFormat="1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1" fillId="0" borderId="6" xfId="0" applyFont="1" applyBorder="1" applyAlignment="1">
      <alignment horizontal="center"/>
    </xf>
    <xf numFmtId="0" fontId="41" fillId="0" borderId="6" xfId="0" quotePrefix="1" applyFont="1" applyBorder="1" applyAlignment="1">
      <alignment horizontal="center"/>
    </xf>
    <xf numFmtId="43" fontId="41" fillId="0" borderId="9" xfId="0" applyNumberFormat="1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/>
    </xf>
    <xf numFmtId="0" fontId="41" fillId="2" borderId="4" xfId="0" quotePrefix="1" applyFont="1" applyFill="1" applyBorder="1" applyAlignment="1">
      <alignment horizontal="center"/>
    </xf>
    <xf numFmtId="0" fontId="41" fillId="2" borderId="5" xfId="0" quotePrefix="1" applyFont="1" applyFill="1" applyBorder="1" applyAlignment="1">
      <alignment horizontal="center"/>
    </xf>
    <xf numFmtId="43" fontId="41" fillId="2" borderId="7" xfId="0" quotePrefix="1" applyNumberFormat="1" applyFont="1" applyFill="1" applyBorder="1" applyAlignment="1">
      <alignment horizontal="center"/>
    </xf>
    <xf numFmtId="0" fontId="41" fillId="2" borderId="12" xfId="0" applyFont="1" applyFill="1" applyBorder="1" applyAlignment="1"/>
    <xf numFmtId="0" fontId="41" fillId="2" borderId="8" xfId="0" applyFont="1" applyFill="1" applyBorder="1" applyAlignment="1"/>
    <xf numFmtId="43" fontId="41" fillId="2" borderId="5" xfId="0" applyNumberFormat="1" applyFont="1" applyFill="1" applyBorder="1" applyAlignment="1"/>
    <xf numFmtId="0" fontId="8" fillId="2" borderId="7" xfId="0" applyFont="1" applyFill="1" applyBorder="1" applyAlignment="1">
      <alignment horizontal="center"/>
    </xf>
    <xf numFmtId="176" fontId="41" fillId="2" borderId="4" xfId="0" applyNumberFormat="1" applyFont="1" applyFill="1" applyBorder="1" applyAlignment="1">
      <alignment horizontal="center"/>
    </xf>
    <xf numFmtId="43" fontId="41" fillId="2" borderId="9" xfId="0" applyNumberFormat="1" applyFont="1" applyFill="1" applyBorder="1" applyAlignment="1">
      <alignment horizontal="center"/>
    </xf>
    <xf numFmtId="10" fontId="41" fillId="0" borderId="6" xfId="2" applyNumberFormat="1" applyFont="1" applyBorder="1" applyAlignment="1"/>
    <xf numFmtId="10" fontId="41" fillId="2" borderId="6" xfId="2" applyNumberFormat="1" applyFont="1" applyFill="1" applyBorder="1" applyAlignment="1"/>
    <xf numFmtId="0" fontId="8" fillId="0" borderId="10" xfId="0" quotePrefix="1" applyFont="1" applyBorder="1" applyAlignment="1">
      <alignment horizontal="center"/>
    </xf>
    <xf numFmtId="176" fontId="41" fillId="0" borderId="1" xfId="0" quotePrefix="1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41" fillId="2" borderId="10" xfId="0" quotePrefix="1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0" borderId="0" xfId="0" quotePrefix="1" applyFont="1" applyAlignment="1">
      <alignment horizontal="left"/>
    </xf>
    <xf numFmtId="0" fontId="45" fillId="0" borderId="0" xfId="0" applyFont="1" applyAlignment="1"/>
    <xf numFmtId="0" fontId="104" fillId="0" borderId="8" xfId="0" applyFont="1" applyBorder="1" applyAlignment="1">
      <alignment horizontal="left"/>
    </xf>
    <xf numFmtId="0" fontId="105" fillId="0" borderId="12" xfId="0" applyFont="1" applyBorder="1" applyAlignment="1">
      <alignment horizontal="centerContinuous"/>
    </xf>
    <xf numFmtId="0" fontId="106" fillId="0" borderId="12" xfId="0" applyFont="1" applyBorder="1" applyAlignment="1">
      <alignment horizontal="centerContinuous"/>
    </xf>
    <xf numFmtId="0" fontId="106" fillId="0" borderId="16" xfId="0" applyFont="1" applyBorder="1" applyAlignment="1">
      <alignment horizontal="centerContinuous"/>
    </xf>
    <xf numFmtId="0" fontId="104" fillId="0" borderId="6" xfId="0" applyFont="1" applyBorder="1" applyAlignment="1">
      <alignment horizontal="left"/>
    </xf>
    <xf numFmtId="0" fontId="105" fillId="0" borderId="19" xfId="0" applyFont="1" applyBorder="1" applyAlignment="1">
      <alignment horizontal="centerContinuous"/>
    </xf>
    <xf numFmtId="0" fontId="106" fillId="0" borderId="19" xfId="0" applyFont="1" applyBorder="1" applyAlignment="1">
      <alignment horizontal="centerContinuous"/>
    </xf>
    <xf numFmtId="0" fontId="106" fillId="0" borderId="15" xfId="0" applyFont="1" applyBorder="1" applyAlignment="1">
      <alignment horizontal="centerContinuous"/>
    </xf>
    <xf numFmtId="0" fontId="41" fillId="0" borderId="10" xfId="0" quotePrefix="1" applyFont="1" applyBorder="1" applyAlignment="1">
      <alignment horizontal="center"/>
    </xf>
    <xf numFmtId="0" fontId="53" fillId="0" borderId="0" xfId="0" applyFont="1" applyAlignment="1"/>
    <xf numFmtId="10" fontId="107" fillId="0" borderId="0" xfId="0" applyNumberFormat="1" applyFont="1" applyAlignment="1"/>
    <xf numFmtId="0" fontId="108" fillId="0" borderId="0" xfId="0" applyFont="1" applyAlignment="1"/>
    <xf numFmtId="10" fontId="107" fillId="0" borderId="0" xfId="0" applyNumberFormat="1" applyFont="1" applyAlignment="1">
      <alignment horizontal="center"/>
    </xf>
    <xf numFmtId="0" fontId="53" fillId="0" borderId="9" xfId="0" applyFont="1" applyBorder="1" applyAlignment="1">
      <alignment horizontal="center"/>
    </xf>
    <xf numFmtId="0" fontId="108" fillId="0" borderId="9" xfId="0" applyFont="1" applyBorder="1" applyAlignment="1">
      <alignment horizontal="center"/>
    </xf>
    <xf numFmtId="0" fontId="53" fillId="0" borderId="5" xfId="0" applyFont="1" applyBorder="1" applyAlignment="1"/>
    <xf numFmtId="10" fontId="109" fillId="2" borderId="5" xfId="0" applyNumberFormat="1" applyFont="1" applyFill="1" applyBorder="1" applyAlignment="1"/>
    <xf numFmtId="0" fontId="108" fillId="0" borderId="5" xfId="0" applyFont="1" applyBorder="1" applyAlignment="1"/>
    <xf numFmtId="10" fontId="109" fillId="2" borderId="5" xfId="0" applyNumberFormat="1" applyFont="1" applyFill="1" applyBorder="1" applyAlignment="1">
      <alignment horizontal="center"/>
    </xf>
    <xf numFmtId="10" fontId="27" fillId="2" borderId="5" xfId="0" applyNumberFormat="1" applyFont="1" applyFill="1" applyBorder="1" applyAlignment="1"/>
    <xf numFmtId="176" fontId="27" fillId="2" borderId="6" xfId="0" applyNumberFormat="1" applyFont="1" applyFill="1" applyBorder="1" applyAlignment="1"/>
    <xf numFmtId="176" fontId="24" fillId="0" borderId="6" xfId="0" applyNumberFormat="1" applyFont="1" applyBorder="1" applyAlignment="1">
      <alignment horizontal="center"/>
    </xf>
    <xf numFmtId="10" fontId="27" fillId="2" borderId="9" xfId="2" applyNumberFormat="1" applyFont="1" applyFill="1" applyBorder="1" applyAlignment="1">
      <alignment horizontal="center"/>
    </xf>
    <xf numFmtId="176" fontId="27" fillId="0" borderId="6" xfId="0" applyNumberFormat="1" applyFont="1" applyBorder="1" applyAlignment="1"/>
    <xf numFmtId="176" fontId="27" fillId="0" borderId="10" xfId="0" applyNumberFormat="1" applyFont="1" applyBorder="1" applyAlignment="1"/>
    <xf numFmtId="176" fontId="24" fillId="0" borderId="10" xfId="0" applyNumberFormat="1" applyFont="1" applyBorder="1" applyAlignment="1">
      <alignment horizontal="center"/>
    </xf>
    <xf numFmtId="176" fontId="27" fillId="2" borderId="10" xfId="0" applyNumberFormat="1" applyFont="1" applyFill="1" applyBorder="1" applyAlignment="1"/>
    <xf numFmtId="176" fontId="5" fillId="0" borderId="10" xfId="0" applyNumberFormat="1" applyFont="1" applyBorder="1" applyAlignment="1">
      <alignment horizontal="center" vertical="center"/>
    </xf>
    <xf numFmtId="176" fontId="5" fillId="0" borderId="10" xfId="0" quotePrefix="1" applyNumberFormat="1" applyFont="1" applyBorder="1" applyAlignment="1">
      <alignment horizontal="center" vertical="center"/>
    </xf>
    <xf numFmtId="10" fontId="27" fillId="0" borderId="10" xfId="2" applyNumberFormat="1" applyFont="1" applyBorder="1" applyAlignment="1">
      <alignment horizontal="center"/>
    </xf>
    <xf numFmtId="176" fontId="41" fillId="0" borderId="0" xfId="0" applyNumberFormat="1" applyFont="1" applyAlignment="1"/>
    <xf numFmtId="0" fontId="110" fillId="0" borderId="0" xfId="0" applyFont="1" applyAlignment="1"/>
    <xf numFmtId="176" fontId="8" fillId="0" borderId="0" xfId="0" applyNumberFormat="1" applyFont="1" applyAlignment="1">
      <alignment horizontal="centerContinuous"/>
    </xf>
    <xf numFmtId="0" fontId="8" fillId="0" borderId="0" xfId="0" applyFont="1" applyAlignment="1"/>
    <xf numFmtId="176" fontId="8" fillId="0" borderId="0" xfId="0" applyNumberFormat="1" applyFont="1" applyAlignment="1"/>
    <xf numFmtId="176" fontId="5" fillId="0" borderId="0" xfId="0" applyNumberFormat="1" applyFont="1" applyAlignment="1"/>
    <xf numFmtId="0" fontId="8" fillId="0" borderId="1" xfId="0" quotePrefix="1" applyFont="1" applyBorder="1" applyAlignment="1">
      <alignment horizontal="center"/>
    </xf>
    <xf numFmtId="0" fontId="8" fillId="4" borderId="7" xfId="0" quotePrefix="1" applyFont="1" applyFill="1" applyBorder="1" applyAlignment="1">
      <alignment horizontal="left"/>
    </xf>
    <xf numFmtId="0" fontId="8" fillId="4" borderId="0" xfId="0" quotePrefix="1" applyFont="1" applyFill="1" applyAlignment="1">
      <alignment horizontal="left"/>
    </xf>
    <xf numFmtId="176" fontId="5" fillId="4" borderId="0" xfId="0" applyNumberFormat="1" applyFont="1" applyFill="1" applyAlignment="1">
      <alignment horizontal="center"/>
    </xf>
    <xf numFmtId="176" fontId="5" fillId="4" borderId="11" xfId="0" applyNumberFormat="1" applyFont="1" applyFill="1" applyBorder="1" applyAlignment="1">
      <alignment horizontal="center"/>
    </xf>
    <xf numFmtId="0" fontId="8" fillId="0" borderId="7" xfId="0" applyFont="1" applyBorder="1" applyAlignment="1"/>
    <xf numFmtId="178" fontId="5" fillId="0" borderId="11" xfId="1" applyNumberFormat="1" applyFont="1" applyBorder="1" applyAlignment="1"/>
    <xf numFmtId="0" fontId="8" fillId="4" borderId="7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178" fontId="5" fillId="4" borderId="0" xfId="1" applyNumberFormat="1" applyFont="1" applyFill="1" applyBorder="1" applyAlignment="1"/>
    <xf numFmtId="178" fontId="5" fillId="4" borderId="11" xfId="1" applyNumberFormat="1" applyFont="1" applyFill="1" applyBorder="1" applyAlignment="1"/>
    <xf numFmtId="176" fontId="5" fillId="4" borderId="0" xfId="0" applyNumberFormat="1" applyFont="1" applyFill="1" applyAlignment="1"/>
    <xf numFmtId="0" fontId="8" fillId="5" borderId="7" xfId="0" applyFont="1" applyFill="1" applyBorder="1" applyAlignment="1">
      <alignment horizontal="left"/>
    </xf>
    <xf numFmtId="0" fontId="8" fillId="5" borderId="0" xfId="0" applyFont="1" applyFill="1" applyAlignment="1">
      <alignment horizontal="left"/>
    </xf>
    <xf numFmtId="178" fontId="5" fillId="5" borderId="11" xfId="1" applyNumberFormat="1" applyFont="1" applyFill="1" applyBorder="1" applyAlignment="1"/>
    <xf numFmtId="176" fontId="5" fillId="5" borderId="0" xfId="0" applyNumberFormat="1" applyFont="1" applyFill="1" applyAlignment="1"/>
    <xf numFmtId="0" fontId="8" fillId="0" borderId="7" xfId="0" quotePrefix="1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178" fontId="11" fillId="0" borderId="11" xfId="1" applyNumberFormat="1" applyFont="1" applyBorder="1" applyAlignment="1"/>
    <xf numFmtId="0" fontId="8" fillId="0" borderId="2" xfId="0" quotePrefix="1" applyFont="1" applyBorder="1" applyAlignment="1">
      <alignment horizontal="center"/>
    </xf>
    <xf numFmtId="176" fontId="5" fillId="0" borderId="2" xfId="0" applyNumberFormat="1" applyFont="1" applyBorder="1" applyAlignment="1"/>
    <xf numFmtId="178" fontId="14" fillId="0" borderId="3" xfId="1" applyNumberFormat="1" applyFont="1" applyBorder="1" applyAlignment="1"/>
    <xf numFmtId="176" fontId="49" fillId="0" borderId="0" xfId="0" applyNumberFormat="1" applyFont="1" applyAlignment="1">
      <alignment horizontal="centerContinuous"/>
    </xf>
    <xf numFmtId="176" fontId="29" fillId="0" borderId="0" xfId="0" applyNumberFormat="1" applyFont="1" applyAlignment="1"/>
    <xf numFmtId="0" fontId="49" fillId="0" borderId="1" xfId="0" quotePrefix="1" applyFont="1" applyBorder="1" applyAlignment="1">
      <alignment horizontal="center"/>
    </xf>
    <xf numFmtId="176" fontId="29" fillId="4" borderId="0" xfId="0" applyNumberFormat="1" applyFont="1" applyFill="1" applyAlignment="1">
      <alignment horizontal="center"/>
    </xf>
    <xf numFmtId="176" fontId="29" fillId="4" borderId="11" xfId="0" applyNumberFormat="1" applyFont="1" applyFill="1" applyBorder="1" applyAlignment="1">
      <alignment horizontal="center"/>
    </xf>
    <xf numFmtId="178" fontId="29" fillId="0" borderId="11" xfId="1" applyNumberFormat="1" applyFont="1" applyBorder="1" applyAlignment="1"/>
    <xf numFmtId="176" fontId="29" fillId="4" borderId="0" xfId="0" applyNumberFormat="1" applyFont="1" applyFill="1" applyAlignment="1"/>
    <xf numFmtId="178" fontId="29" fillId="4" borderId="11" xfId="1" applyNumberFormat="1" applyFont="1" applyFill="1" applyBorder="1" applyAlignment="1"/>
    <xf numFmtId="176" fontId="29" fillId="5" borderId="0" xfId="0" applyNumberFormat="1" applyFont="1" applyFill="1" applyAlignment="1"/>
    <xf numFmtId="178" fontId="29" fillId="5" borderId="11" xfId="1" applyNumberFormat="1" applyFont="1" applyFill="1" applyBorder="1" applyAlignment="1"/>
    <xf numFmtId="176" fontId="29" fillId="0" borderId="2" xfId="0" applyNumberFormat="1" applyFont="1" applyBorder="1" applyAlignment="1"/>
    <xf numFmtId="178" fontId="15" fillId="0" borderId="3" xfId="1" applyNumberFormat="1" applyFont="1" applyBorder="1" applyAlignment="1"/>
    <xf numFmtId="0" fontId="15" fillId="0" borderId="0" xfId="0" applyFont="1" applyAlignment="1"/>
    <xf numFmtId="176" fontId="114" fillId="0" borderId="0" xfId="0" applyNumberFormat="1" applyFont="1" applyAlignment="1">
      <alignment horizontal="centerContinuous"/>
    </xf>
    <xf numFmtId="176" fontId="117" fillId="0" borderId="0" xfId="0" applyNumberFormat="1" applyFont="1" applyAlignment="1">
      <alignment horizontal="centerContinuous"/>
    </xf>
    <xf numFmtId="176" fontId="118" fillId="0" borderId="0" xfId="0" applyNumberFormat="1" applyFont="1" applyAlignment="1">
      <alignment horizontal="centerContinuous"/>
    </xf>
    <xf numFmtId="0" fontId="20" fillId="0" borderId="0" xfId="0" quotePrefix="1" applyFont="1" applyAlignment="1">
      <alignment horizontal="left"/>
    </xf>
    <xf numFmtId="176" fontId="20" fillId="0" borderId="0" xfId="0" applyNumberFormat="1" applyFont="1" applyAlignment="1"/>
    <xf numFmtId="176" fontId="49" fillId="0" borderId="0" xfId="0" applyNumberFormat="1" applyFont="1" applyAlignment="1"/>
    <xf numFmtId="176" fontId="50" fillId="0" borderId="0" xfId="0" applyNumberFormat="1" applyFont="1" applyAlignment="1"/>
    <xf numFmtId="0" fontId="8" fillId="4" borderId="5" xfId="0" quotePrefix="1" applyFont="1" applyFill="1" applyBorder="1" applyAlignment="1">
      <alignment horizontal="left"/>
    </xf>
    <xf numFmtId="176" fontId="27" fillId="4" borderId="5" xfId="0" applyNumberFormat="1" applyFont="1" applyFill="1" applyBorder="1" applyAlignment="1">
      <alignment horizontal="center"/>
    </xf>
    <xf numFmtId="176" fontId="24" fillId="4" borderId="5" xfId="0" applyNumberFormat="1" applyFont="1" applyFill="1" applyBorder="1" applyAlignment="1">
      <alignment horizontal="center"/>
    </xf>
    <xf numFmtId="176" fontId="25" fillId="4" borderId="5" xfId="0" applyNumberFormat="1" applyFont="1" applyFill="1" applyBorder="1" applyAlignment="1">
      <alignment horizontal="center"/>
    </xf>
    <xf numFmtId="176" fontId="25" fillId="4" borderId="7" xfId="0" applyNumberFormat="1" applyFont="1" applyFill="1" applyBorder="1" applyAlignment="1">
      <alignment horizontal="center"/>
    </xf>
    <xf numFmtId="176" fontId="27" fillId="0" borderId="7" xfId="0" applyNumberFormat="1" applyFont="1" applyBorder="1" applyAlignment="1"/>
    <xf numFmtId="176" fontId="24" fillId="0" borderId="7" xfId="0" applyNumberFormat="1" applyFont="1" applyBorder="1" applyAlignment="1"/>
    <xf numFmtId="10" fontId="35" fillId="2" borderId="7" xfId="2" applyNumberFormat="1" applyFont="1" applyFill="1" applyBorder="1" applyAlignment="1"/>
    <xf numFmtId="178" fontId="24" fillId="0" borderId="7" xfId="1" applyNumberFormat="1" applyFont="1" applyBorder="1" applyAlignment="1"/>
    <xf numFmtId="176" fontId="35" fillId="0" borderId="7" xfId="0" applyNumberFormat="1" applyFont="1" applyBorder="1" applyAlignment="1">
      <alignment horizontal="left"/>
    </xf>
    <xf numFmtId="178" fontId="27" fillId="0" borderId="7" xfId="1" applyNumberFormat="1" applyFont="1" applyBorder="1" applyAlignment="1"/>
    <xf numFmtId="178" fontId="27" fillId="4" borderId="7" xfId="1" applyNumberFormat="1" applyFont="1" applyFill="1" applyBorder="1" applyAlignment="1"/>
    <xf numFmtId="178" fontId="24" fillId="4" borderId="7" xfId="1" applyNumberFormat="1" applyFont="1" applyFill="1" applyBorder="1" applyAlignment="1"/>
    <xf numFmtId="176" fontId="35" fillId="4" borderId="7" xfId="0" applyNumberFormat="1" applyFont="1" applyFill="1" applyBorder="1" applyAlignment="1"/>
    <xf numFmtId="176" fontId="24" fillId="4" borderId="7" xfId="0" applyNumberFormat="1" applyFont="1" applyFill="1" applyBorder="1" applyAlignment="1"/>
    <xf numFmtId="10" fontId="27" fillId="2" borderId="7" xfId="2" applyNumberFormat="1" applyFont="1" applyFill="1" applyBorder="1" applyAlignment="1"/>
    <xf numFmtId="176" fontId="35" fillId="0" borderId="7" xfId="0" applyNumberFormat="1" applyFont="1" applyBorder="1" applyAlignment="1">
      <alignment horizontal="right"/>
    </xf>
    <xf numFmtId="178" fontId="24" fillId="5" borderId="7" xfId="1" applyNumberFormat="1" applyFont="1" applyFill="1" applyBorder="1" applyAlignment="1"/>
    <xf numFmtId="176" fontId="35" fillId="5" borderId="7" xfId="0" applyNumberFormat="1" applyFont="1" applyFill="1" applyBorder="1" applyAlignment="1"/>
    <xf numFmtId="178" fontId="27" fillId="5" borderId="7" xfId="1" applyNumberFormat="1" applyFont="1" applyFill="1" applyBorder="1" applyAlignment="1"/>
    <xf numFmtId="176" fontId="24" fillId="5" borderId="7" xfId="0" applyNumberFormat="1" applyFont="1" applyFill="1" applyBorder="1" applyAlignment="1"/>
    <xf numFmtId="176" fontId="27" fillId="0" borderId="7" xfId="0" applyNumberFormat="1" applyFont="1" applyBorder="1" applyAlignment="1">
      <alignment horizontal="right"/>
    </xf>
    <xf numFmtId="176" fontId="35" fillId="0" borderId="7" xfId="0" applyNumberFormat="1" applyFont="1" applyBorder="1" applyAlignment="1"/>
    <xf numFmtId="176" fontId="27" fillId="5" borderId="7" xfId="0" applyNumberFormat="1" applyFont="1" applyFill="1" applyBorder="1" applyAlignment="1"/>
    <xf numFmtId="10" fontId="119" fillId="2" borderId="7" xfId="2" applyNumberFormat="1" applyFont="1" applyFill="1" applyBorder="1" applyAlignment="1"/>
    <xf numFmtId="178" fontId="25" fillId="0" borderId="7" xfId="1" applyNumberFormat="1" applyFont="1" applyBorder="1" applyAlignment="1"/>
    <xf numFmtId="178" fontId="25" fillId="5" borderId="7" xfId="1" applyNumberFormat="1" applyFont="1" applyFill="1" applyBorder="1" applyAlignment="1"/>
    <xf numFmtId="176" fontId="25" fillId="5" borderId="7" xfId="0" applyNumberFormat="1" applyFont="1" applyFill="1" applyBorder="1" applyAlignment="1"/>
    <xf numFmtId="178" fontId="35" fillId="0" borderId="7" xfId="1" applyNumberFormat="1" applyFont="1" applyBorder="1" applyAlignment="1"/>
    <xf numFmtId="178" fontId="35" fillId="5" borderId="7" xfId="1" applyNumberFormat="1" applyFont="1" applyFill="1" applyBorder="1" applyAlignment="1"/>
    <xf numFmtId="176" fontId="25" fillId="0" borderId="7" xfId="0" applyNumberFormat="1" applyFont="1" applyBorder="1" applyAlignment="1"/>
    <xf numFmtId="0" fontId="8" fillId="0" borderId="9" xfId="0" quotePrefix="1" applyFont="1" applyBorder="1" applyAlignment="1">
      <alignment horizontal="center"/>
    </xf>
    <xf numFmtId="176" fontId="27" fillId="0" borderId="9" xfId="0" applyNumberFormat="1" applyFont="1" applyBorder="1" applyAlignment="1"/>
    <xf numFmtId="176" fontId="41" fillId="0" borderId="7" xfId="0" applyNumberFormat="1" applyFont="1" applyBorder="1" applyAlignment="1"/>
    <xf numFmtId="176" fontId="27" fillId="0" borderId="7" xfId="0" applyNumberFormat="1" applyFont="1" applyBorder="1" applyAlignment="1">
      <alignment horizontal="left"/>
    </xf>
    <xf numFmtId="176" fontId="27" fillId="4" borderId="7" xfId="0" applyNumberFormat="1" applyFont="1" applyFill="1" applyBorder="1" applyAlignment="1"/>
    <xf numFmtId="178" fontId="24" fillId="0" borderId="7" xfId="1" applyNumberFormat="1" applyFont="1" applyFill="1" applyBorder="1" applyAlignment="1"/>
    <xf numFmtId="0" fontId="76" fillId="0" borderId="10" xfId="0" applyFont="1" applyBorder="1" applyAlignment="1">
      <alignment horizontal="center"/>
    </xf>
    <xf numFmtId="0" fontId="121" fillId="0" borderId="10" xfId="0" applyFont="1" applyBorder="1" applyAlignment="1">
      <alignment horizontal="center"/>
    </xf>
    <xf numFmtId="43" fontId="121" fillId="0" borderId="10" xfId="0" applyNumberFormat="1" applyFont="1" applyBorder="1" applyAlignment="1"/>
    <xf numFmtId="0" fontId="122" fillId="0" borderId="10" xfId="0" applyFont="1" applyBorder="1" applyAlignment="1">
      <alignment horizontal="center"/>
    </xf>
    <xf numFmtId="0" fontId="123" fillId="0" borderId="10" xfId="0" applyFont="1" applyBorder="1" applyAlignment="1">
      <alignment horizontal="center"/>
    </xf>
    <xf numFmtId="0" fontId="124" fillId="0" borderId="10" xfId="0" applyFont="1" applyBorder="1" applyAlignment="1">
      <alignment horizontal="center"/>
    </xf>
    <xf numFmtId="43" fontId="124" fillId="0" borderId="10" xfId="0" applyNumberFormat="1" applyFont="1" applyBorder="1" applyAlignment="1">
      <alignment horizontal="center"/>
    </xf>
    <xf numFmtId="0" fontId="126" fillId="0" borderId="10" xfId="0" applyFont="1" applyBorder="1" applyAlignment="1">
      <alignment horizontal="center"/>
    </xf>
    <xf numFmtId="0" fontId="126" fillId="0" borderId="5" xfId="0" applyFont="1" applyBorder="1" applyAlignment="1">
      <alignment horizontal="center"/>
    </xf>
    <xf numFmtId="0" fontId="127" fillId="0" borderId="10" xfId="0" applyFont="1" applyBorder="1" applyAlignment="1">
      <alignment horizontal="center"/>
    </xf>
    <xf numFmtId="0" fontId="128" fillId="0" borderId="10" xfId="0" applyFont="1" applyBorder="1" applyAlignment="1">
      <alignment horizontal="center"/>
    </xf>
    <xf numFmtId="0" fontId="129" fillId="0" borderId="10" xfId="0" applyFont="1" applyBorder="1" applyAlignment="1">
      <alignment horizontal="center"/>
    </xf>
    <xf numFmtId="0" fontId="130" fillId="0" borderId="10" xfId="0" applyFont="1" applyBorder="1" applyAlignment="1">
      <alignment horizontal="center"/>
    </xf>
    <xf numFmtId="0" fontId="131" fillId="0" borderId="10" xfId="0" applyFont="1" applyBorder="1" applyAlignment="1">
      <alignment horizontal="center"/>
    </xf>
    <xf numFmtId="0" fontId="132" fillId="0" borderId="10" xfId="0" applyFont="1" applyBorder="1" applyAlignment="1">
      <alignment horizontal="center"/>
    </xf>
    <xf numFmtId="0" fontId="133" fillId="0" borderId="10" xfId="0" applyFont="1" applyBorder="1" applyAlignment="1">
      <alignment horizontal="center"/>
    </xf>
    <xf numFmtId="43" fontId="133" fillId="0" borderId="10" xfId="0" applyNumberFormat="1" applyFont="1" applyBorder="1" applyAlignment="1"/>
    <xf numFmtId="0" fontId="134" fillId="0" borderId="10" xfId="0" applyFont="1" applyBorder="1" applyAlignment="1">
      <alignment horizontal="center"/>
    </xf>
    <xf numFmtId="43" fontId="134" fillId="0" borderId="10" xfId="0" applyNumberFormat="1" applyFont="1" applyBorder="1" applyAlignment="1"/>
    <xf numFmtId="10" fontId="135" fillId="0" borderId="5" xfId="0" applyNumberFormat="1" applyFont="1" applyBorder="1" applyAlignment="1">
      <alignment horizontal="center" vertical="center"/>
    </xf>
    <xf numFmtId="10" fontId="135" fillId="0" borderId="9" xfId="0" applyNumberFormat="1" applyFont="1" applyBorder="1" applyAlignment="1">
      <alignment horizontal="center" vertical="center"/>
    </xf>
    <xf numFmtId="49" fontId="140" fillId="0" borderId="3" xfId="0" applyNumberFormat="1" applyFont="1" applyBorder="1" applyAlignment="1">
      <alignment horizontal="center"/>
    </xf>
    <xf numFmtId="49" fontId="140" fillId="0" borderId="10" xfId="0" applyNumberFormat="1" applyFont="1" applyBorder="1" applyAlignment="1">
      <alignment horizontal="center"/>
    </xf>
    <xf numFmtId="49" fontId="139" fillId="0" borderId="3" xfId="0" applyNumberFormat="1" applyFont="1" applyBorder="1" applyAlignment="1">
      <alignment horizontal="center"/>
    </xf>
    <xf numFmtId="49" fontId="139" fillId="0" borderId="10" xfId="0" applyNumberFormat="1" applyFont="1" applyBorder="1" applyAlignment="1">
      <alignment horizontal="center"/>
    </xf>
    <xf numFmtId="49" fontId="141" fillId="0" borderId="3" xfId="0" applyNumberFormat="1" applyFont="1" applyBorder="1" applyAlignment="1">
      <alignment horizontal="center"/>
    </xf>
    <xf numFmtId="49" fontId="141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7" fillId="0" borderId="2" xfId="0" applyFont="1" applyBorder="1" applyAlignment="1"/>
    <xf numFmtId="0" fontId="0" fillId="0" borderId="4" xfId="0" applyBorder="1" applyAlignment="1"/>
    <xf numFmtId="0" fontId="0" fillId="0" borderId="8" xfId="0" applyBorder="1" applyAlignment="1"/>
    <xf numFmtId="176" fontId="0" fillId="0" borderId="2" xfId="0" applyNumberFormat="1" applyBorder="1" applyAlignment="1"/>
    <xf numFmtId="176" fontId="7" fillId="0" borderId="11" xfId="0" applyNumberFormat="1" applyFont="1" applyBorder="1" applyAlignment="1">
      <alignment horizontal="center"/>
    </xf>
    <xf numFmtId="176" fontId="0" fillId="0" borderId="4" xfId="0" applyNumberFormat="1" applyBorder="1" applyAlignment="1"/>
    <xf numFmtId="176" fontId="11" fillId="0" borderId="10" xfId="0" applyNumberFormat="1" applyFont="1" applyBorder="1" applyAlignment="1"/>
    <xf numFmtId="176" fontId="5" fillId="0" borderId="5" xfId="0" quotePrefix="1" applyNumberFormat="1" applyFont="1" applyBorder="1" applyAlignment="1">
      <alignment horizontal="center"/>
    </xf>
    <xf numFmtId="176" fontId="41" fillId="0" borderId="10" xfId="0" quotePrefix="1" applyNumberFormat="1" applyFont="1" applyBorder="1" applyAlignment="1"/>
    <xf numFmtId="0" fontId="0" fillId="0" borderId="8" xfId="0" applyBorder="1" applyAlignment="1">
      <alignment horizontal="center"/>
    </xf>
    <xf numFmtId="176" fontId="0" fillId="0" borderId="6" xfId="0" applyNumberFormat="1" applyBorder="1" applyAlignment="1">
      <alignment horizontal="center"/>
    </xf>
    <xf numFmtId="41" fontId="57" fillId="0" borderId="5" xfId="0" applyNumberFormat="1" applyFont="1" applyBorder="1" applyAlignment="1">
      <alignment horizontal="center"/>
    </xf>
    <xf numFmtId="41" fontId="52" fillId="0" borderId="5" xfId="0" applyNumberFormat="1" applyFont="1" applyBorder="1" applyAlignment="1">
      <alignment horizontal="center"/>
    </xf>
    <xf numFmtId="176" fontId="9" fillId="0" borderId="3" xfId="0" applyNumberFormat="1" applyFont="1" applyBorder="1" applyAlignment="1">
      <alignment horizontal="center"/>
    </xf>
    <xf numFmtId="176" fontId="9" fillId="0" borderId="10" xfId="0" applyNumberFormat="1" applyFont="1" applyBorder="1" applyAlignment="1">
      <alignment horizontal="center"/>
    </xf>
    <xf numFmtId="10" fontId="68" fillId="0" borderId="13" xfId="0" applyNumberFormat="1" applyFont="1" applyBorder="1" applyAlignment="1"/>
    <xf numFmtId="178" fontId="27" fillId="0" borderId="9" xfId="1" applyNumberFormat="1" applyFont="1" applyBorder="1" applyAlignment="1"/>
    <xf numFmtId="42" fontId="24" fillId="0" borderId="9" xfId="0" applyNumberFormat="1" applyFont="1" applyBorder="1" applyAlignment="1"/>
    <xf numFmtId="41" fontId="24" fillId="0" borderId="15" xfId="1" applyNumberFormat="1" applyFont="1" applyBorder="1" applyAlignment="1"/>
    <xf numFmtId="178" fontId="5" fillId="0" borderId="3" xfId="1" applyNumberFormat="1" applyFont="1" applyBorder="1" applyAlignment="1"/>
    <xf numFmtId="10" fontId="143" fillId="0" borderId="9" xfId="0" applyNumberFormat="1" applyFont="1" applyBorder="1" applyAlignment="1">
      <alignment horizontal="center"/>
    </xf>
    <xf numFmtId="49" fontId="143" fillId="0" borderId="9" xfId="0" applyNumberFormat="1" applyFont="1" applyBorder="1" applyAlignment="1">
      <alignment horizontal="center"/>
    </xf>
    <xf numFmtId="10" fontId="143" fillId="0" borderId="9" xfId="2" applyNumberFormat="1" applyFont="1" applyBorder="1" applyAlignment="1">
      <alignment horizontal="center"/>
    </xf>
    <xf numFmtId="43" fontId="59" fillId="0" borderId="0" xfId="0" applyNumberFormat="1" applyFont="1" applyAlignment="1">
      <alignment horizontal="center"/>
    </xf>
    <xf numFmtId="0" fontId="11" fillId="0" borderId="10" xfId="0" applyFont="1" applyBorder="1" applyAlignment="1">
      <alignment horizontal="center"/>
    </xf>
    <xf numFmtId="0" fontId="144" fillId="0" borderId="10" xfId="0" applyFont="1" applyBorder="1" applyAlignment="1">
      <alignment horizontal="center"/>
    </xf>
    <xf numFmtId="0" fontId="11" fillId="0" borderId="10" xfId="0" quotePrefix="1" applyFont="1" applyBorder="1" applyAlignment="1">
      <alignment horizontal="center"/>
    </xf>
    <xf numFmtId="176" fontId="11" fillId="0" borderId="10" xfId="0" applyNumberFormat="1" applyFont="1" applyBorder="1" applyAlignment="1">
      <alignment horizontal="center"/>
    </xf>
    <xf numFmtId="0" fontId="145" fillId="0" borderId="10" xfId="0" applyFont="1" applyBorder="1" applyAlignment="1">
      <alignment horizontal="center"/>
    </xf>
    <xf numFmtId="0" fontId="145" fillId="0" borderId="10" xfId="0" quotePrefix="1" applyFont="1" applyBorder="1" applyAlignment="1">
      <alignment horizontal="center"/>
    </xf>
    <xf numFmtId="41" fontId="11" fillId="0" borderId="10" xfId="0" applyNumberFormat="1" applyFont="1" applyBorder="1" applyAlignment="1">
      <alignment horizontal="right"/>
    </xf>
    <xf numFmtId="0" fontId="147" fillId="0" borderId="10" xfId="0" applyFont="1" applyBorder="1" applyAlignment="1">
      <alignment horizontal="center"/>
    </xf>
    <xf numFmtId="2" fontId="147" fillId="0" borderId="10" xfId="0" applyNumberFormat="1" applyFont="1" applyBorder="1" applyAlignment="1">
      <alignment horizontal="center"/>
    </xf>
    <xf numFmtId="2" fontId="148" fillId="0" borderId="10" xfId="0" applyNumberFormat="1" applyFont="1" applyBorder="1" applyAlignment="1">
      <alignment horizontal="center"/>
    </xf>
    <xf numFmtId="2" fontId="149" fillId="0" borderId="10" xfId="0" applyNumberFormat="1" applyFont="1" applyBorder="1" applyAlignment="1">
      <alignment horizontal="center"/>
    </xf>
    <xf numFmtId="2" fontId="150" fillId="0" borderId="10" xfId="0" applyNumberFormat="1" applyFont="1" applyBorder="1" applyAlignment="1">
      <alignment horizontal="center"/>
    </xf>
    <xf numFmtId="41" fontId="150" fillId="0" borderId="10" xfId="0" applyNumberFormat="1" applyFont="1" applyBorder="1" applyAlignment="1">
      <alignment horizontal="center"/>
    </xf>
    <xf numFmtId="2" fontId="121" fillId="0" borderId="10" xfId="0" applyNumberFormat="1" applyFont="1" applyBorder="1" applyAlignment="1">
      <alignment horizontal="center"/>
    </xf>
    <xf numFmtId="41" fontId="153" fillId="0" borderId="10" xfId="0" applyNumberFormat="1" applyFont="1" applyBorder="1" applyAlignment="1">
      <alignment horizontal="center"/>
    </xf>
    <xf numFmtId="41" fontId="155" fillId="0" borderId="10" xfId="0" applyNumberFormat="1" applyFont="1" applyBorder="1" applyAlignment="1"/>
    <xf numFmtId="41" fontId="155" fillId="0" borderId="10" xfId="0" applyNumberFormat="1" applyFont="1" applyBorder="1" applyAlignment="1">
      <alignment horizontal="center"/>
    </xf>
    <xf numFmtId="0" fontId="155" fillId="0" borderId="10" xfId="0" applyFont="1" applyBorder="1" applyAlignment="1">
      <alignment horizontal="center"/>
    </xf>
    <xf numFmtId="41" fontId="156" fillId="0" borderId="10" xfId="0" applyNumberFormat="1" applyFont="1" applyBorder="1" applyAlignment="1"/>
    <xf numFmtId="41" fontId="156" fillId="0" borderId="10" xfId="0" applyNumberFormat="1" applyFont="1" applyBorder="1" applyAlignment="1">
      <alignment horizontal="center"/>
    </xf>
    <xf numFmtId="0" fontId="156" fillId="0" borderId="10" xfId="0" applyFont="1" applyBorder="1" applyAlignment="1">
      <alignment horizontal="center"/>
    </xf>
    <xf numFmtId="41" fontId="158" fillId="0" borderId="10" xfId="0" applyNumberFormat="1" applyFont="1" applyBorder="1" applyAlignment="1"/>
    <xf numFmtId="41" fontId="158" fillId="0" borderId="10" xfId="0" applyNumberFormat="1" applyFont="1" applyBorder="1" applyAlignment="1">
      <alignment horizontal="center"/>
    </xf>
    <xf numFmtId="0" fontId="158" fillId="0" borderId="10" xfId="0" applyFont="1" applyBorder="1" applyAlignment="1">
      <alignment horizontal="center"/>
    </xf>
    <xf numFmtId="41" fontId="159" fillId="0" borderId="10" xfId="0" applyNumberFormat="1" applyFont="1" applyBorder="1" applyAlignment="1"/>
    <xf numFmtId="41" fontId="159" fillId="0" borderId="10" xfId="0" applyNumberFormat="1" applyFont="1" applyBorder="1" applyAlignment="1">
      <alignment horizontal="center"/>
    </xf>
    <xf numFmtId="0" fontId="159" fillId="0" borderId="10" xfId="0" applyFont="1" applyBorder="1" applyAlignment="1">
      <alignment horizontal="center"/>
    </xf>
    <xf numFmtId="41" fontId="160" fillId="0" borderId="10" xfId="0" applyNumberFormat="1" applyFont="1" applyBorder="1" applyAlignment="1"/>
    <xf numFmtId="41" fontId="160" fillId="0" borderId="10" xfId="0" applyNumberFormat="1" applyFont="1" applyBorder="1" applyAlignment="1">
      <alignment horizontal="center"/>
    </xf>
    <xf numFmtId="0" fontId="160" fillId="0" borderId="10" xfId="0" applyFont="1" applyBorder="1" applyAlignment="1">
      <alignment horizontal="center"/>
    </xf>
    <xf numFmtId="41" fontId="161" fillId="0" borderId="10" xfId="0" applyNumberFormat="1" applyFont="1" applyBorder="1" applyAlignment="1"/>
    <xf numFmtId="41" fontId="161" fillId="0" borderId="10" xfId="0" applyNumberFormat="1" applyFont="1" applyBorder="1" applyAlignment="1">
      <alignment horizontal="center"/>
    </xf>
    <xf numFmtId="0" fontId="161" fillId="0" borderId="10" xfId="0" applyFont="1" applyBorder="1" applyAlignment="1">
      <alignment horizontal="center"/>
    </xf>
    <xf numFmtId="41" fontId="162" fillId="0" borderId="10" xfId="0" applyNumberFormat="1" applyFont="1" applyBorder="1" applyAlignment="1"/>
    <xf numFmtId="41" fontId="162" fillId="0" borderId="10" xfId="0" applyNumberFormat="1" applyFont="1" applyBorder="1" applyAlignment="1">
      <alignment horizontal="center"/>
    </xf>
    <xf numFmtId="0" fontId="162" fillId="0" borderId="10" xfId="0" applyFont="1" applyBorder="1" applyAlignment="1">
      <alignment horizontal="center"/>
    </xf>
    <xf numFmtId="41" fontId="163" fillId="0" borderId="10" xfId="0" applyNumberFormat="1" applyFont="1" applyBorder="1" applyAlignment="1"/>
    <xf numFmtId="41" fontId="163" fillId="0" borderId="10" xfId="0" applyNumberFormat="1" applyFont="1" applyBorder="1" applyAlignment="1">
      <alignment horizontal="center"/>
    </xf>
    <xf numFmtId="0" fontId="163" fillId="0" borderId="10" xfId="0" applyFont="1" applyBorder="1" applyAlignment="1">
      <alignment horizontal="center"/>
    </xf>
    <xf numFmtId="41" fontId="164" fillId="0" borderId="10" xfId="0" applyNumberFormat="1" applyFont="1" applyBorder="1" applyAlignment="1"/>
    <xf numFmtId="41" fontId="164" fillId="0" borderId="10" xfId="0" applyNumberFormat="1" applyFont="1" applyBorder="1" applyAlignment="1">
      <alignment horizontal="center"/>
    </xf>
    <xf numFmtId="0" fontId="164" fillId="0" borderId="10" xfId="0" applyFont="1" applyBorder="1" applyAlignment="1">
      <alignment horizontal="center"/>
    </xf>
    <xf numFmtId="41" fontId="165" fillId="0" borderId="10" xfId="0" applyNumberFormat="1" applyFont="1" applyBorder="1" applyAlignment="1"/>
    <xf numFmtId="41" fontId="165" fillId="0" borderId="10" xfId="0" applyNumberFormat="1" applyFont="1" applyBorder="1" applyAlignment="1">
      <alignment horizontal="center"/>
    </xf>
    <xf numFmtId="0" fontId="165" fillId="0" borderId="10" xfId="0" applyFont="1" applyBorder="1" applyAlignment="1">
      <alignment horizontal="center"/>
    </xf>
    <xf numFmtId="41" fontId="166" fillId="0" borderId="10" xfId="0" applyNumberFormat="1" applyFont="1" applyBorder="1" applyAlignment="1"/>
    <xf numFmtId="41" fontId="166" fillId="0" borderId="10" xfId="0" applyNumberFormat="1" applyFont="1" applyBorder="1" applyAlignment="1">
      <alignment horizontal="center"/>
    </xf>
    <xf numFmtId="0" fontId="166" fillId="0" borderId="10" xfId="0" applyFont="1" applyBorder="1" applyAlignment="1">
      <alignment horizontal="center"/>
    </xf>
    <xf numFmtId="41" fontId="167" fillId="0" borderId="10" xfId="0" applyNumberFormat="1" applyFont="1" applyBorder="1" applyAlignment="1"/>
    <xf numFmtId="41" fontId="167" fillId="0" borderId="10" xfId="0" applyNumberFormat="1" applyFont="1" applyBorder="1" applyAlignment="1">
      <alignment horizontal="center"/>
    </xf>
    <xf numFmtId="0" fontId="167" fillId="0" borderId="10" xfId="0" applyFont="1" applyBorder="1" applyAlignment="1">
      <alignment horizontal="center"/>
    </xf>
    <xf numFmtId="41" fontId="168" fillId="0" borderId="10" xfId="0" applyNumberFormat="1" applyFont="1" applyBorder="1" applyAlignment="1"/>
    <xf numFmtId="41" fontId="168" fillId="0" borderId="10" xfId="0" applyNumberFormat="1" applyFont="1" applyBorder="1" applyAlignment="1">
      <alignment horizontal="center"/>
    </xf>
    <xf numFmtId="0" fontId="168" fillId="0" borderId="10" xfId="0" applyFont="1" applyBorder="1" applyAlignment="1">
      <alignment horizontal="center"/>
    </xf>
    <xf numFmtId="41" fontId="169" fillId="0" borderId="10" xfId="0" applyNumberFormat="1" applyFont="1" applyBorder="1" applyAlignment="1">
      <alignment horizontal="center"/>
    </xf>
    <xf numFmtId="0" fontId="169" fillId="0" borderId="10" xfId="0" applyFont="1" applyBorder="1" applyAlignment="1">
      <alignment horizontal="center"/>
    </xf>
    <xf numFmtId="41" fontId="170" fillId="0" borderId="10" xfId="0" applyNumberFormat="1" applyFont="1" applyBorder="1" applyAlignment="1"/>
    <xf numFmtId="41" fontId="171" fillId="0" borderId="10" xfId="0" applyNumberFormat="1" applyFont="1" applyBorder="1" applyAlignment="1"/>
    <xf numFmtId="41" fontId="171" fillId="0" borderId="10" xfId="0" applyNumberFormat="1" applyFont="1" applyBorder="1" applyAlignment="1">
      <alignment horizontal="center"/>
    </xf>
    <xf numFmtId="0" fontId="171" fillId="0" borderId="10" xfId="0" applyFont="1" applyBorder="1" applyAlignment="1">
      <alignment horizontal="center"/>
    </xf>
    <xf numFmtId="41" fontId="172" fillId="0" borderId="10" xfId="0" applyNumberFormat="1" applyFont="1" applyBorder="1" applyAlignment="1"/>
    <xf numFmtId="41" fontId="172" fillId="0" borderId="10" xfId="0" applyNumberFormat="1" applyFont="1" applyBorder="1" applyAlignment="1">
      <alignment horizontal="center"/>
    </xf>
    <xf numFmtId="41" fontId="173" fillId="0" borderId="10" xfId="0" applyNumberFormat="1" applyFont="1" applyBorder="1" applyAlignment="1"/>
    <xf numFmtId="41" fontId="173" fillId="0" borderId="10" xfId="0" applyNumberFormat="1" applyFont="1" applyBorder="1" applyAlignment="1">
      <alignment horizontal="center"/>
    </xf>
    <xf numFmtId="41" fontId="174" fillId="0" borderId="10" xfId="0" applyNumberFormat="1" applyFont="1" applyBorder="1" applyAlignment="1"/>
    <xf numFmtId="41" fontId="174" fillId="0" borderId="10" xfId="0" applyNumberFormat="1" applyFont="1" applyBorder="1" applyAlignment="1">
      <alignment horizontal="center"/>
    </xf>
    <xf numFmtId="41" fontId="175" fillId="0" borderId="10" xfId="0" applyNumberFormat="1" applyFont="1" applyBorder="1" applyAlignment="1"/>
    <xf numFmtId="41" fontId="175" fillId="0" borderId="10" xfId="0" applyNumberFormat="1" applyFont="1" applyBorder="1" applyAlignment="1">
      <alignment horizontal="center"/>
    </xf>
    <xf numFmtId="41" fontId="176" fillId="0" borderId="10" xfId="0" applyNumberFormat="1" applyFont="1" applyBorder="1" applyAlignment="1"/>
    <xf numFmtId="41" fontId="176" fillId="0" borderId="10" xfId="0" applyNumberFormat="1" applyFont="1" applyBorder="1" applyAlignment="1">
      <alignment horizontal="center"/>
    </xf>
    <xf numFmtId="10" fontId="25" fillId="2" borderId="2" xfId="2" applyNumberFormat="1" applyFont="1" applyFill="1" applyBorder="1" applyAlignment="1"/>
    <xf numFmtId="43" fontId="26" fillId="2" borderId="2" xfId="0" applyNumberFormat="1" applyFont="1" applyFill="1" applyBorder="1" applyAlignment="1"/>
    <xf numFmtId="43" fontId="26" fillId="2" borderId="1" xfId="0" applyNumberFormat="1" applyFont="1" applyFill="1" applyBorder="1" applyAlignment="1"/>
    <xf numFmtId="0" fontId="29" fillId="0" borderId="10" xfId="0" quotePrefix="1" applyFont="1" applyBorder="1" applyAlignment="1">
      <alignment horizontal="center"/>
    </xf>
    <xf numFmtId="10" fontId="5" fillId="0" borderId="10" xfId="0" applyNumberFormat="1" applyFont="1" applyBorder="1" applyAlignment="1">
      <alignment horizontal="center"/>
    </xf>
    <xf numFmtId="43" fontId="10" fillId="0" borderId="10" xfId="0" applyNumberFormat="1" applyFont="1" applyBorder="1" applyAlignment="1">
      <alignment horizontal="center"/>
    </xf>
    <xf numFmtId="0" fontId="0" fillId="0" borderId="10" xfId="0" applyBorder="1" applyAlignment="1"/>
    <xf numFmtId="43" fontId="63" fillId="0" borderId="13" xfId="0" applyNumberFormat="1" applyFont="1" applyBorder="1" applyAlignment="1"/>
    <xf numFmtId="43" fontId="63" fillId="0" borderId="18" xfId="0" applyNumberFormat="1" applyFont="1" applyBorder="1" applyAlignment="1"/>
    <xf numFmtId="10" fontId="91" fillId="0" borderId="10" xfId="0" applyNumberFormat="1" applyFont="1" applyBorder="1" applyAlignment="1"/>
    <xf numFmtId="43" fontId="88" fillId="0" borderId="10" xfId="0" applyNumberFormat="1" applyFont="1" applyBorder="1" applyAlignment="1"/>
    <xf numFmtId="10" fontId="68" fillId="0" borderId="10" xfId="0" applyNumberFormat="1" applyFont="1" applyBorder="1" applyAlignment="1"/>
    <xf numFmtId="10" fontId="119" fillId="0" borderId="10" xfId="0" applyNumberFormat="1" applyFont="1" applyBorder="1" applyAlignment="1"/>
    <xf numFmtId="10" fontId="177" fillId="0" borderId="10" xfId="0" applyNumberFormat="1" applyFont="1" applyBorder="1" applyAlignment="1"/>
    <xf numFmtId="10" fontId="119" fillId="0" borderId="5" xfId="0" applyNumberFormat="1" applyFont="1" applyBorder="1" applyAlignment="1"/>
    <xf numFmtId="177" fontId="119" fillId="0" borderId="10" xfId="0" applyNumberFormat="1" applyFont="1" applyBorder="1" applyAlignment="1"/>
    <xf numFmtId="179" fontId="0" fillId="0" borderId="0" xfId="0" applyNumberFormat="1" applyAlignment="1"/>
    <xf numFmtId="38" fontId="27" fillId="0" borderId="10" xfId="0" applyNumberFormat="1" applyFont="1" applyBorder="1" applyAlignment="1"/>
    <xf numFmtId="38" fontId="68" fillId="0" borderId="13" xfId="0" applyNumberFormat="1" applyFont="1" applyBorder="1" applyAlignment="1"/>
    <xf numFmtId="0" fontId="178" fillId="0" borderId="10" xfId="0" applyFont="1" applyBorder="1" applyAlignment="1">
      <alignment horizontal="center"/>
    </xf>
    <xf numFmtId="41" fontId="178" fillId="0" borderId="10" xfId="0" applyNumberFormat="1" applyFont="1" applyBorder="1" applyAlignment="1">
      <alignment horizontal="center"/>
    </xf>
    <xf numFmtId="0" fontId="179" fillId="0" borderId="10" xfId="0" applyFont="1" applyBorder="1" applyAlignment="1">
      <alignment horizontal="center"/>
    </xf>
    <xf numFmtId="41" fontId="179" fillId="0" borderId="10" xfId="0" applyNumberFormat="1" applyFont="1" applyBorder="1" applyAlignment="1">
      <alignment horizontal="center"/>
    </xf>
    <xf numFmtId="0" fontId="180" fillId="0" borderId="10" xfId="0" applyFont="1" applyBorder="1" applyAlignment="1">
      <alignment horizontal="center"/>
    </xf>
    <xf numFmtId="2" fontId="180" fillId="0" borderId="10" xfId="0" applyNumberFormat="1" applyFont="1" applyBorder="1" applyAlignment="1">
      <alignment horizontal="center"/>
    </xf>
    <xf numFmtId="10" fontId="177" fillId="0" borderId="17" xfId="0" applyNumberFormat="1" applyFont="1" applyBorder="1" applyAlignment="1"/>
    <xf numFmtId="0" fontId="186" fillId="0" borderId="0" xfId="0" applyFont="1" applyAlignment="1">
      <alignment horizontal="centerContinuous"/>
    </xf>
    <xf numFmtId="0" fontId="187" fillId="0" borderId="0" xfId="0" applyFont="1">
      <alignment vertical="center"/>
    </xf>
    <xf numFmtId="0" fontId="76" fillId="0" borderId="10" xfId="0" applyFont="1" applyBorder="1" applyAlignment="1">
      <alignment horizontal="center" vertical="center"/>
    </xf>
    <xf numFmtId="43" fontId="121" fillId="0" borderId="10" xfId="0" applyNumberFormat="1" applyFont="1" applyBorder="1">
      <alignment vertical="center"/>
    </xf>
    <xf numFmtId="43" fontId="122" fillId="0" borderId="10" xfId="0" applyNumberFormat="1" applyFont="1" applyBorder="1">
      <alignment vertical="center"/>
    </xf>
    <xf numFmtId="43" fontId="123" fillId="0" borderId="10" xfId="0" applyNumberFormat="1" applyFont="1" applyBorder="1">
      <alignment vertical="center"/>
    </xf>
    <xf numFmtId="43" fontId="125" fillId="0" borderId="10" xfId="0" applyNumberFormat="1" applyFont="1" applyBorder="1">
      <alignment vertical="center"/>
    </xf>
    <xf numFmtId="43" fontId="126" fillId="0" borderId="10" xfId="0" applyNumberFormat="1" applyFont="1" applyBorder="1">
      <alignment vertical="center"/>
    </xf>
    <xf numFmtId="43" fontId="127" fillId="0" borderId="10" xfId="0" applyNumberFormat="1" applyFont="1" applyBorder="1">
      <alignment vertical="center"/>
    </xf>
    <xf numFmtId="43" fontId="128" fillId="0" borderId="10" xfId="0" applyNumberFormat="1" applyFont="1" applyBorder="1">
      <alignment vertical="center"/>
    </xf>
    <xf numFmtId="43" fontId="129" fillId="0" borderId="10" xfId="0" applyNumberFormat="1" applyFont="1" applyBorder="1">
      <alignment vertical="center"/>
    </xf>
    <xf numFmtId="43" fontId="130" fillId="0" borderId="10" xfId="0" applyNumberFormat="1" applyFont="1" applyBorder="1">
      <alignment vertical="center"/>
    </xf>
    <xf numFmtId="43" fontId="131" fillId="0" borderId="10" xfId="0" applyNumberFormat="1" applyFont="1" applyBorder="1">
      <alignment vertical="center"/>
    </xf>
    <xf numFmtId="43" fontId="132" fillId="0" borderId="10" xfId="0" applyNumberFormat="1" applyFont="1" applyBorder="1">
      <alignment vertical="center"/>
    </xf>
    <xf numFmtId="43" fontId="133" fillId="0" borderId="10" xfId="0" applyNumberFormat="1" applyFont="1" applyBorder="1">
      <alignment vertical="center"/>
    </xf>
    <xf numFmtId="43" fontId="134" fillId="0" borderId="10" xfId="0" applyNumberFormat="1" applyFont="1" applyBorder="1">
      <alignment vertical="center"/>
    </xf>
    <xf numFmtId="43" fontId="147" fillId="0" borderId="10" xfId="1" applyNumberFormat="1" applyFont="1" applyBorder="1" applyAlignment="1">
      <alignment vertical="center"/>
    </xf>
    <xf numFmtId="43" fontId="151" fillId="0" borderId="10" xfId="1" applyNumberFormat="1" applyFont="1" applyBorder="1" applyAlignment="1">
      <alignment vertical="center"/>
    </xf>
    <xf numFmtId="2" fontId="180" fillId="0" borderId="10" xfId="0" applyNumberFormat="1" applyFont="1" applyBorder="1" applyAlignment="1">
      <alignment horizontal="center" vertical="center"/>
    </xf>
    <xf numFmtId="41" fontId="121" fillId="0" borderId="10" xfId="0" applyNumberFormat="1" applyFont="1" applyBorder="1" applyAlignment="1">
      <alignment horizontal="center"/>
    </xf>
    <xf numFmtId="180" fontId="121" fillId="0" borderId="10" xfId="0" applyNumberFormat="1" applyFont="1" applyBorder="1" applyAlignment="1">
      <alignment horizontal="center" vertical="center"/>
    </xf>
    <xf numFmtId="0" fontId="190" fillId="0" borderId="10" xfId="0" applyFont="1" applyBorder="1" applyAlignment="1">
      <alignment horizontal="center"/>
    </xf>
    <xf numFmtId="180" fontId="190" fillId="0" borderId="10" xfId="0" applyNumberFormat="1" applyFont="1" applyBorder="1" applyAlignment="1">
      <alignment horizontal="center" vertical="center"/>
    </xf>
    <xf numFmtId="180" fontId="190" fillId="0" borderId="10" xfId="0" applyNumberFormat="1" applyFont="1" applyBorder="1">
      <alignment vertical="center"/>
    </xf>
    <xf numFmtId="0" fontId="191" fillId="0" borderId="10" xfId="0" applyFont="1" applyBorder="1" applyAlignment="1">
      <alignment horizontal="center"/>
    </xf>
    <xf numFmtId="180" fontId="191" fillId="0" borderId="10" xfId="0" applyNumberFormat="1" applyFont="1" applyBorder="1" applyAlignment="1">
      <alignment horizontal="center"/>
    </xf>
    <xf numFmtId="0" fontId="192" fillId="0" borderId="0" xfId="0" applyFont="1" applyAlignment="1"/>
    <xf numFmtId="181" fontId="121" fillId="0" borderId="10" xfId="0" applyNumberFormat="1" applyFont="1" applyBorder="1" applyAlignment="1">
      <alignment horizontal="center"/>
    </xf>
    <xf numFmtId="181" fontId="190" fillId="0" borderId="10" xfId="0" applyNumberFormat="1" applyFont="1" applyBorder="1" applyAlignment="1">
      <alignment horizontal="center"/>
    </xf>
    <xf numFmtId="0" fontId="194" fillId="0" borderId="10" xfId="0" applyFont="1" applyBorder="1" applyAlignment="1">
      <alignment horizontal="center"/>
    </xf>
    <xf numFmtId="181" fontId="194" fillId="0" borderId="10" xfId="0" applyNumberFormat="1" applyFont="1" applyBorder="1" applyAlignment="1">
      <alignment horizontal="right"/>
    </xf>
    <xf numFmtId="41" fontId="194" fillId="0" borderId="10" xfId="0" applyNumberFormat="1" applyFont="1" applyBorder="1" applyAlignment="1">
      <alignment horizontal="center"/>
    </xf>
    <xf numFmtId="43" fontId="195" fillId="0" borderId="10" xfId="0" applyNumberFormat="1" applyFont="1" applyBorder="1" applyAlignment="1"/>
    <xf numFmtId="43" fontId="149" fillId="0" borderId="10" xfId="0" applyNumberFormat="1" applyFont="1" applyBorder="1" applyAlignment="1"/>
    <xf numFmtId="43" fontId="196" fillId="0" borderId="10" xfId="0" applyNumberFormat="1" applyFont="1" applyBorder="1" applyAlignment="1"/>
    <xf numFmtId="43" fontId="197" fillId="0" borderId="10" xfId="0" applyNumberFormat="1" applyFont="1" applyBorder="1" applyAlignment="1"/>
    <xf numFmtId="4" fontId="133" fillId="0" borderId="10" xfId="0" applyNumberFormat="1" applyFont="1" applyBorder="1" applyAlignment="1">
      <alignment horizontal="center"/>
    </xf>
    <xf numFmtId="4" fontId="121" fillId="0" borderId="10" xfId="0" applyNumberFormat="1" applyFont="1" applyBorder="1" applyAlignment="1">
      <alignment horizontal="center"/>
    </xf>
    <xf numFmtId="4" fontId="134" fillId="0" borderId="10" xfId="0" applyNumberFormat="1" applyFont="1" applyBorder="1" applyAlignment="1">
      <alignment horizontal="center"/>
    </xf>
    <xf numFmtId="0" fontId="198" fillId="0" borderId="10" xfId="0" applyFont="1" applyBorder="1" applyAlignment="1">
      <alignment horizontal="center"/>
    </xf>
    <xf numFmtId="4" fontId="198" fillId="0" borderId="10" xfId="0" applyNumberFormat="1" applyFont="1" applyBorder="1" applyAlignment="1">
      <alignment horizontal="center"/>
    </xf>
    <xf numFmtId="43" fontId="198" fillId="0" borderId="10" xfId="0" applyNumberFormat="1" applyFont="1" applyBorder="1" applyAlignment="1"/>
    <xf numFmtId="0" fontId="199" fillId="0" borderId="0" xfId="0" applyFont="1">
      <alignment vertical="center"/>
    </xf>
    <xf numFmtId="0" fontId="200" fillId="0" borderId="10" xfId="0" applyFont="1" applyBorder="1" applyAlignment="1">
      <alignment horizontal="center"/>
    </xf>
    <xf numFmtId="4" fontId="200" fillId="0" borderId="10" xfId="0" applyNumberFormat="1" applyFont="1" applyBorder="1" applyAlignment="1">
      <alignment horizontal="center"/>
    </xf>
    <xf numFmtId="43" fontId="200" fillId="0" borderId="10" xfId="0" applyNumberFormat="1" applyFont="1" applyBorder="1" applyAlignment="1"/>
    <xf numFmtId="0" fontId="201" fillId="0" borderId="0" xfId="0" applyFont="1">
      <alignment vertical="center"/>
    </xf>
    <xf numFmtId="0" fontId="202" fillId="0" borderId="10" xfId="0" applyFont="1" applyBorder="1" applyAlignment="1">
      <alignment horizontal="center"/>
    </xf>
    <xf numFmtId="4" fontId="203" fillId="0" borderId="10" xfId="0" applyNumberFormat="1" applyFont="1" applyBorder="1" applyAlignment="1">
      <alignment horizontal="center"/>
    </xf>
    <xf numFmtId="4" fontId="202" fillId="0" borderId="10" xfId="0" applyNumberFormat="1" applyFont="1" applyBorder="1" applyAlignment="1">
      <alignment horizontal="center"/>
    </xf>
    <xf numFmtId="0" fontId="204" fillId="0" borderId="0" xfId="0" applyFont="1">
      <alignment vertical="center"/>
    </xf>
    <xf numFmtId="180" fontId="121" fillId="0" borderId="10" xfId="0" applyNumberFormat="1" applyFont="1" applyBorder="1" applyAlignment="1">
      <alignment horizontal="center"/>
    </xf>
    <xf numFmtId="180" fontId="190" fillId="0" borderId="10" xfId="0" applyNumberFormat="1" applyFont="1" applyBorder="1" applyAlignment="1">
      <alignment horizontal="center"/>
    </xf>
    <xf numFmtId="4" fontId="205" fillId="0" borderId="10" xfId="0" applyNumberFormat="1" applyFont="1" applyBorder="1" applyAlignment="1">
      <alignment horizontal="center"/>
    </xf>
    <xf numFmtId="0" fontId="206" fillId="0" borderId="0" xfId="0" applyFont="1" applyAlignment="1">
      <alignment horizontal="center" vertical="center" readingOrder="1"/>
    </xf>
    <xf numFmtId="41" fontId="41" fillId="2" borderId="10" xfId="0" quotePrefix="1" applyNumberFormat="1" applyFont="1" applyFill="1" applyBorder="1" applyAlignment="1">
      <alignment horizontal="center"/>
    </xf>
    <xf numFmtId="41" fontId="207" fillId="0" borderId="10" xfId="4" applyNumberFormat="1" applyFont="1" applyBorder="1"/>
    <xf numFmtId="0" fontId="208" fillId="0" borderId="10" xfId="0" applyFont="1" applyBorder="1" applyAlignment="1">
      <alignment horizontal="center"/>
    </xf>
    <xf numFmtId="41" fontId="208" fillId="0" borderId="10" xfId="0" applyNumberFormat="1" applyFont="1" applyBorder="1" applyAlignment="1">
      <alignment horizontal="center"/>
    </xf>
    <xf numFmtId="41" fontId="208" fillId="0" borderId="10" xfId="0" applyNumberFormat="1" applyFont="1" applyBorder="1" applyAlignment="1"/>
    <xf numFmtId="49" fontId="209" fillId="0" borderId="10" xfId="0" applyNumberFormat="1" applyFont="1" applyBorder="1" applyAlignment="1">
      <alignment horizontal="center"/>
    </xf>
    <xf numFmtId="41" fontId="209" fillId="0" borderId="10" xfId="0" applyNumberFormat="1" applyFont="1" applyBorder="1" applyAlignment="1">
      <alignment horizontal="center"/>
    </xf>
    <xf numFmtId="0" fontId="210" fillId="0" borderId="10" xfId="0" applyFont="1" applyBorder="1" applyAlignment="1">
      <alignment horizontal="center"/>
    </xf>
    <xf numFmtId="41" fontId="210" fillId="0" borderId="10" xfId="0" applyNumberFormat="1" applyFont="1" applyBorder="1" applyAlignment="1">
      <alignment horizontal="center"/>
    </xf>
    <xf numFmtId="182" fontId="121" fillId="0" borderId="10" xfId="0" applyNumberFormat="1" applyFont="1" applyBorder="1" applyAlignment="1">
      <alignment horizontal="center"/>
    </xf>
    <xf numFmtId="182" fontId="190" fillId="0" borderId="10" xfId="0" applyNumberFormat="1" applyFont="1" applyBorder="1" applyAlignment="1">
      <alignment horizontal="center"/>
    </xf>
    <xf numFmtId="0" fontId="211" fillId="0" borderId="0" xfId="0" applyFont="1" applyAlignment="1">
      <alignment horizontal="center" vertical="center" readingOrder="1"/>
    </xf>
    <xf numFmtId="0" fontId="173" fillId="0" borderId="10" xfId="0" applyFont="1" applyBorder="1" applyAlignment="1">
      <alignment horizontal="center"/>
    </xf>
    <xf numFmtId="41" fontId="212" fillId="2" borderId="10" xfId="0" quotePrefix="1" applyNumberFormat="1" applyFont="1" applyFill="1" applyBorder="1" applyAlignment="1">
      <alignment horizontal="center"/>
    </xf>
    <xf numFmtId="0" fontId="209" fillId="0" borderId="10" xfId="0" applyFont="1" applyBorder="1" applyAlignment="1">
      <alignment horizontal="center"/>
    </xf>
    <xf numFmtId="0" fontId="82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wrapText="1"/>
    </xf>
    <xf numFmtId="0" fontId="145" fillId="0" borderId="7" xfId="0" applyFont="1" applyBorder="1" applyAlignment="1"/>
    <xf numFmtId="0" fontId="213" fillId="0" borderId="10" xfId="0" applyFont="1" applyBorder="1" applyAlignment="1">
      <alignment horizontal="center"/>
    </xf>
    <xf numFmtId="181" fontId="214" fillId="0" borderId="10" xfId="0" applyNumberFormat="1" applyFont="1" applyBorder="1" applyAlignment="1">
      <alignment horizontal="right"/>
    </xf>
    <xf numFmtId="41" fontId="214" fillId="0" borderId="10" xfId="0" applyNumberFormat="1" applyFont="1" applyBorder="1" applyAlignment="1">
      <alignment horizontal="center"/>
    </xf>
    <xf numFmtId="2" fontId="191" fillId="0" borderId="10" xfId="0" applyNumberFormat="1" applyFont="1" applyBorder="1" applyAlignment="1">
      <alignment horizontal="center"/>
    </xf>
    <xf numFmtId="2" fontId="191" fillId="0" borderId="10" xfId="0" applyNumberFormat="1" applyFont="1" applyBorder="1" applyAlignment="1">
      <alignment horizontal="center" vertical="center"/>
    </xf>
    <xf numFmtId="0" fontId="215" fillId="0" borderId="10" xfId="0" applyFont="1" applyBorder="1" applyAlignment="1">
      <alignment horizontal="center"/>
    </xf>
    <xf numFmtId="180" fontId="197" fillId="0" borderId="10" xfId="0" applyNumberFormat="1" applyFont="1" applyBorder="1" applyAlignment="1">
      <alignment horizontal="center"/>
    </xf>
    <xf numFmtId="2" fontId="197" fillId="0" borderId="10" xfId="0" applyNumberFormat="1" applyFont="1" applyBorder="1" applyAlignment="1">
      <alignment horizontal="center"/>
    </xf>
    <xf numFmtId="2" fontId="197" fillId="0" borderId="10" xfId="0" applyNumberFormat="1" applyFont="1" applyBorder="1" applyAlignment="1">
      <alignment horizontal="center" vertical="center"/>
    </xf>
    <xf numFmtId="41" fontId="213" fillId="0" borderId="10" xfId="0" applyNumberFormat="1" applyFont="1" applyBorder="1" applyAlignment="1">
      <alignment horizontal="center"/>
    </xf>
    <xf numFmtId="4" fontId="217" fillId="0" borderId="10" xfId="0" applyNumberFormat="1" applyFont="1" applyBorder="1" applyAlignment="1">
      <alignment horizontal="center"/>
    </xf>
    <xf numFmtId="183" fontId="215" fillId="0" borderId="10" xfId="0" applyNumberFormat="1" applyFont="1" applyBorder="1" applyAlignment="1">
      <alignment horizontal="center"/>
    </xf>
    <xf numFmtId="0" fontId="0" fillId="3" borderId="10" xfId="0" applyFill="1" applyBorder="1" applyAlignment="1"/>
    <xf numFmtId="0" fontId="60" fillId="3" borderId="10" xfId="0" applyFont="1" applyFill="1" applyBorder="1" applyAlignment="1"/>
    <xf numFmtId="41" fontId="11" fillId="3" borderId="10" xfId="0" applyNumberFormat="1" applyFont="1" applyFill="1" applyBorder="1" applyAlignment="1"/>
    <xf numFmtId="41" fontId="0" fillId="3" borderId="10" xfId="0" applyNumberFormat="1" applyFill="1" applyBorder="1" applyAlignment="1"/>
    <xf numFmtId="10" fontId="27" fillId="3" borderId="10" xfId="0" applyNumberFormat="1" applyFont="1" applyFill="1" applyBorder="1" applyAlignment="1"/>
    <xf numFmtId="41" fontId="40" fillId="3" borderId="10" xfId="0" applyNumberFormat="1" applyFont="1" applyFill="1" applyBorder="1" applyAlignment="1"/>
    <xf numFmtId="41" fontId="66" fillId="3" borderId="10" xfId="0" applyNumberFormat="1" applyFont="1" applyFill="1" applyBorder="1" applyAlignment="1"/>
    <xf numFmtId="41" fontId="0" fillId="3" borderId="0" xfId="0" applyNumberFormat="1" applyFill="1" applyAlignment="1"/>
    <xf numFmtId="10" fontId="0" fillId="3" borderId="0" xfId="0" applyNumberFormat="1" applyFill="1" applyAlignment="1"/>
    <xf numFmtId="0" fontId="0" fillId="3" borderId="0" xfId="0" applyFill="1">
      <alignment vertical="center"/>
    </xf>
    <xf numFmtId="176" fontId="24" fillId="0" borderId="0" xfId="0" applyNumberFormat="1" applyFont="1" applyAlignment="1"/>
    <xf numFmtId="10" fontId="27" fillId="2" borderId="0" xfId="2" applyNumberFormat="1" applyFont="1" applyFill="1" applyBorder="1" applyAlignment="1"/>
    <xf numFmtId="41" fontId="11" fillId="0" borderId="10" xfId="0" applyNumberFormat="1" applyFont="1" applyBorder="1" applyAlignment="1">
      <alignment horizontal="center"/>
    </xf>
    <xf numFmtId="49" fontId="111" fillId="0" borderId="3" xfId="0" applyNumberFormat="1" applyFont="1" applyBorder="1" applyAlignment="1">
      <alignment horizontal="center"/>
    </xf>
    <xf numFmtId="49" fontId="111" fillId="0" borderId="10" xfId="0" applyNumberFormat="1" applyFont="1" applyBorder="1" applyAlignment="1">
      <alignment horizontal="center"/>
    </xf>
    <xf numFmtId="0" fontId="8" fillId="0" borderId="0" xfId="0" quotePrefix="1" applyFont="1" applyAlignment="1">
      <alignment horizontal="center"/>
    </xf>
    <xf numFmtId="176" fontId="27" fillId="0" borderId="0" xfId="0" applyNumberFormat="1" applyFont="1" applyAlignment="1"/>
    <xf numFmtId="41" fontId="24" fillId="0" borderId="0" xfId="1" applyNumberFormat="1" applyFont="1" applyBorder="1" applyAlignment="1"/>
    <xf numFmtId="178" fontId="27" fillId="0" borderId="0" xfId="1" applyNumberFormat="1" applyFont="1" applyBorder="1" applyAlignment="1"/>
    <xf numFmtId="42" fontId="24" fillId="0" borderId="0" xfId="0" applyNumberFormat="1" applyFont="1" applyAlignment="1"/>
    <xf numFmtId="41" fontId="223" fillId="0" borderId="10" xfId="0" applyNumberFormat="1" applyFont="1" applyBorder="1" applyAlignment="1">
      <alignment horizontal="center"/>
    </xf>
    <xf numFmtId="0" fontId="224" fillId="0" borderId="10" xfId="0" applyFont="1" applyBorder="1" applyAlignment="1">
      <alignment horizontal="center"/>
    </xf>
    <xf numFmtId="181" fontId="173" fillId="0" borderId="10" xfId="0" applyNumberFormat="1" applyFont="1" applyBorder="1" applyAlignment="1">
      <alignment horizontal="right"/>
    </xf>
    <xf numFmtId="0" fontId="225" fillId="0" borderId="10" xfId="0" applyFont="1" applyBorder="1" applyAlignment="1">
      <alignment horizontal="center"/>
    </xf>
    <xf numFmtId="0" fontId="226" fillId="0" borderId="10" xfId="0" applyFont="1" applyBorder="1" applyAlignment="1">
      <alignment horizontal="center"/>
    </xf>
    <xf numFmtId="0" fontId="227" fillId="0" borderId="10" xfId="0" applyFont="1" applyBorder="1" applyAlignment="1">
      <alignment horizontal="center"/>
    </xf>
    <xf numFmtId="180" fontId="228" fillId="0" borderId="10" xfId="0" applyNumberFormat="1" applyFont="1" applyBorder="1" applyAlignment="1">
      <alignment horizontal="center"/>
    </xf>
    <xf numFmtId="2" fontId="228" fillId="0" borderId="10" xfId="0" applyNumberFormat="1" applyFont="1" applyBorder="1" applyAlignment="1">
      <alignment horizontal="center"/>
    </xf>
    <xf numFmtId="2" fontId="228" fillId="0" borderId="10" xfId="0" applyNumberFormat="1" applyFont="1" applyBorder="1" applyAlignment="1">
      <alignment horizontal="center" vertical="center"/>
    </xf>
    <xf numFmtId="41" fontId="225" fillId="0" borderId="10" xfId="0" applyNumberFormat="1" applyFont="1" applyBorder="1" applyAlignment="1">
      <alignment horizontal="center"/>
    </xf>
    <xf numFmtId="183" fontId="226" fillId="0" borderId="10" xfId="0" applyNumberFormat="1" applyFont="1" applyBorder="1" applyAlignment="1">
      <alignment horizontal="center"/>
    </xf>
    <xf numFmtId="180" fontId="190" fillId="0" borderId="10" xfId="0" applyNumberFormat="1" applyFont="1" applyBorder="1" applyAlignment="1">
      <alignment horizontal="center" vertical="center" wrapText="1"/>
    </xf>
    <xf numFmtId="4" fontId="215" fillId="0" borderId="10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/>
    </xf>
    <xf numFmtId="0" fontId="27" fillId="2" borderId="2" xfId="0" applyFont="1" applyFill="1" applyBorder="1" applyAlignment="1">
      <alignment horizontal="left"/>
    </xf>
    <xf numFmtId="0" fontId="27" fillId="2" borderId="3" xfId="0" applyFont="1" applyFill="1" applyBorder="1" applyAlignment="1">
      <alignment horizontal="left"/>
    </xf>
    <xf numFmtId="0" fontId="20" fillId="0" borderId="0" xfId="0" applyFont="1" applyAlignment="1">
      <alignment horizontal="center"/>
    </xf>
    <xf numFmtId="0" fontId="68" fillId="0" borderId="8" xfId="0" applyFont="1" applyBorder="1" applyAlignment="1">
      <alignment horizontal="left"/>
    </xf>
    <xf numFmtId="0" fontId="68" fillId="0" borderId="12" xfId="0" applyFont="1" applyBorder="1" applyAlignment="1">
      <alignment horizontal="left"/>
    </xf>
    <xf numFmtId="0" fontId="68" fillId="0" borderId="16" xfId="0" applyFont="1" applyBorder="1" applyAlignment="1">
      <alignment horizontal="left"/>
    </xf>
    <xf numFmtId="0" fontId="44" fillId="0" borderId="6" xfId="0" applyFont="1" applyBorder="1" applyAlignment="1">
      <alignment horizontal="left"/>
    </xf>
    <xf numFmtId="0" fontId="44" fillId="0" borderId="19" xfId="0" applyFont="1" applyBorder="1" applyAlignment="1">
      <alignment horizontal="left"/>
    </xf>
    <xf numFmtId="0" fontId="44" fillId="0" borderId="15" xfId="0" applyFont="1" applyBorder="1" applyAlignment="1">
      <alignment horizontal="left"/>
    </xf>
    <xf numFmtId="0" fontId="54" fillId="0" borderId="0" xfId="0" applyFont="1" applyAlignment="1">
      <alignment horizontal="center"/>
    </xf>
    <xf numFmtId="0" fontId="104" fillId="0" borderId="8" xfId="0" applyFont="1" applyBorder="1" applyAlignment="1">
      <alignment horizontal="left"/>
    </xf>
    <xf numFmtId="0" fontId="104" fillId="0" borderId="12" xfId="0" applyFont="1" applyBorder="1" applyAlignment="1">
      <alignment horizontal="left"/>
    </xf>
    <xf numFmtId="0" fontId="104" fillId="0" borderId="16" xfId="0" applyFont="1" applyBorder="1" applyAlignment="1">
      <alignment horizontal="left"/>
    </xf>
    <xf numFmtId="0" fontId="68" fillId="0" borderId="6" xfId="0" applyFont="1" applyBorder="1" applyAlignment="1">
      <alignment horizontal="left"/>
    </xf>
    <xf numFmtId="0" fontId="68" fillId="0" borderId="19" xfId="0" applyFont="1" applyBorder="1" applyAlignment="1">
      <alignment horizontal="left"/>
    </xf>
    <xf numFmtId="0" fontId="68" fillId="0" borderId="15" xfId="0" applyFont="1" applyBorder="1" applyAlignment="1">
      <alignment horizontal="left"/>
    </xf>
    <xf numFmtId="49" fontId="54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</cellXfs>
  <cellStyles count="5">
    <cellStyle name="一般" xfId="0" builtinId="0"/>
    <cellStyle name="一般 2" xfId="3" xr:uid="{00000000-0005-0000-0000-000001000000}"/>
    <cellStyle name="一般 2 3" xfId="4" xr:uid="{756834E3-EC48-4E8F-B4A0-ED13DCFEF359}"/>
    <cellStyle name="百分比" xfId="2" builtinId="5"/>
    <cellStyle name="貨幣" xfId="1" builtinId="4"/>
  </cellStyles>
  <dxfs count="52"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</dxfs>
  <tableStyles count="0" defaultTableStyle="TableStyleMedium2" defaultPivotStyle="PivotStyleLight16"/>
  <colors>
    <mruColors>
      <color rgb="FFA40C92"/>
      <color rgb="FF0000FF"/>
      <color rgb="FFF010C5"/>
      <color rgb="FFF99707"/>
      <color rgb="FFF567DA"/>
      <color rgb="FFF78D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2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42" Type="http://schemas.openxmlformats.org/officeDocument/2006/relationships/externalLink" Target="externalLinks/externalLink15.xml"/><Relationship Id="rId47" Type="http://schemas.openxmlformats.org/officeDocument/2006/relationships/externalLink" Target="externalLinks/externalLink20.xml"/><Relationship Id="rId50" Type="http://schemas.openxmlformats.org/officeDocument/2006/relationships/externalLink" Target="externalLinks/externalLink23.xml"/><Relationship Id="rId55" Type="http://schemas.openxmlformats.org/officeDocument/2006/relationships/externalLink" Target="externalLinks/externalLink28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2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externalLink" Target="externalLinks/externalLink13.xml"/><Relationship Id="rId45" Type="http://schemas.openxmlformats.org/officeDocument/2006/relationships/externalLink" Target="externalLinks/externalLink18.xml"/><Relationship Id="rId53" Type="http://schemas.openxmlformats.org/officeDocument/2006/relationships/externalLink" Target="externalLinks/externalLink26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43" Type="http://schemas.openxmlformats.org/officeDocument/2006/relationships/externalLink" Target="externalLinks/externalLink16.xml"/><Relationship Id="rId48" Type="http://schemas.openxmlformats.org/officeDocument/2006/relationships/externalLink" Target="externalLinks/externalLink21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externalLink" Target="externalLinks/externalLink11.xml"/><Relationship Id="rId46" Type="http://schemas.openxmlformats.org/officeDocument/2006/relationships/externalLink" Target="externalLinks/externalLink19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4.xml"/><Relationship Id="rId54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49" Type="http://schemas.openxmlformats.org/officeDocument/2006/relationships/externalLink" Target="externalLinks/externalLink22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4.xml"/><Relationship Id="rId44" Type="http://schemas.openxmlformats.org/officeDocument/2006/relationships/externalLink" Target="externalLinks/externalLink17.xml"/><Relationship Id="rId52" Type="http://schemas.openxmlformats.org/officeDocument/2006/relationships/externalLink" Target="externalLinks/externalLink25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zh-TW" alt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台灣自行車出口歐盟數量</a:t>
            </a:r>
          </a:p>
        </c:rich>
      </c:tx>
      <c:layout>
        <c:manualLayout>
          <c:xMode val="edge"/>
          <c:yMode val="edge"/>
          <c:x val="0.35894642886518641"/>
          <c:y val="4.37181217623310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7.7765625552373888E-2"/>
          <c:y val="0.15364877198805177"/>
          <c:w val="0.7634142231556279"/>
          <c:h val="0.70469123528368482"/>
        </c:manualLayout>
      </c:layout>
      <c:lineChart>
        <c:grouping val="standard"/>
        <c:varyColors val="0"/>
        <c:ser>
          <c:idx val="1"/>
          <c:order val="0"/>
          <c:tx>
            <c:strRef>
              <c:f>'整車-數量 '!$A$22</c:f>
              <c:strCache>
                <c:ptCount val="1"/>
                <c:pt idx="0">
                  <c:v> 2022年 </c:v>
                </c:pt>
              </c:strCache>
            </c:strRef>
          </c:tx>
          <c:spPr>
            <a:ln w="19050" cap="rnd">
              <a:solidFill>
                <a:srgbClr val="CC33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0070C0"/>
              </a:solidFill>
              <a:ln w="9525" cap="flat">
                <a:solidFill>
                  <a:srgbClr val="00B0F0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80" b="0" i="0" u="none" strike="noStrike" kern="1200" baseline="0">
                    <a:solidFill>
                      <a:srgbClr val="CC33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'整車-數量 '!$B$22:$M$22</c:f>
              <c:numCache>
                <c:formatCode>_(* #,##0_);_(* \(#,##0\);_(* "-"_);_(@_)</c:formatCode>
                <c:ptCount val="12"/>
                <c:pt idx="0">
                  <c:v>35439</c:v>
                </c:pt>
                <c:pt idx="1">
                  <c:v>50736</c:v>
                </c:pt>
                <c:pt idx="2">
                  <c:v>40712</c:v>
                </c:pt>
                <c:pt idx="3">
                  <c:v>41520</c:v>
                </c:pt>
                <c:pt idx="4">
                  <c:v>45973</c:v>
                </c:pt>
                <c:pt idx="5">
                  <c:v>34459</c:v>
                </c:pt>
                <c:pt idx="6">
                  <c:v>37887</c:v>
                </c:pt>
                <c:pt idx="7">
                  <c:v>43366</c:v>
                </c:pt>
                <c:pt idx="8">
                  <c:v>46652</c:v>
                </c:pt>
                <c:pt idx="9">
                  <c:v>52997</c:v>
                </c:pt>
                <c:pt idx="10">
                  <c:v>58255</c:v>
                </c:pt>
                <c:pt idx="11">
                  <c:v>37856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B48-4C1E-92EA-7B98AC245FAE}"/>
            </c:ext>
          </c:extLst>
        </c:ser>
        <c:ser>
          <c:idx val="2"/>
          <c:order val="1"/>
          <c:tx>
            <c:strRef>
              <c:f>'整車-數量 '!$A$23</c:f>
              <c:strCache>
                <c:ptCount val="1"/>
                <c:pt idx="0">
                  <c:v>2023年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bg1"/>
              </a:solidFill>
              <a:ln w="9525" cap="flat">
                <a:solidFill>
                  <a:srgbClr val="CC3300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80" b="0" i="0" u="none" strike="noStrike" kern="1200" baseline="0">
                    <a:solidFill>
                      <a:srgbClr val="CC33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'整車-數量 '!$B$23:$M$23</c:f>
              <c:numCache>
                <c:formatCode>_(* #,##0_);_(* \(#,##0\);_(* "-"_);_(@_)</c:formatCode>
                <c:ptCount val="12"/>
                <c:pt idx="0">
                  <c:v>55261</c:v>
                </c:pt>
                <c:pt idx="1">
                  <c:v>33882</c:v>
                </c:pt>
                <c:pt idx="2">
                  <c:v>38590</c:v>
                </c:pt>
                <c:pt idx="3">
                  <c:v>41561</c:v>
                </c:pt>
                <c:pt idx="4">
                  <c:v>41432</c:v>
                </c:pt>
                <c:pt idx="5">
                  <c:v>24646</c:v>
                </c:pt>
                <c:pt idx="6">
                  <c:v>29164</c:v>
                </c:pt>
                <c:pt idx="7">
                  <c:v>31742</c:v>
                </c:pt>
                <c:pt idx="8">
                  <c:v>25773</c:v>
                </c:pt>
                <c:pt idx="9">
                  <c:v>20059</c:v>
                </c:pt>
                <c:pt idx="10">
                  <c:v>18634</c:v>
                </c:pt>
                <c:pt idx="11">
                  <c:v>23876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6B48-4C1E-92EA-7B98AC245FAE}"/>
            </c:ext>
          </c:extLst>
        </c:ser>
        <c:ser>
          <c:idx val="3"/>
          <c:order val="2"/>
          <c:tx>
            <c:strRef>
              <c:f>'整車-數量 '!$A$24</c:f>
              <c:strCache>
                <c:ptCount val="1"/>
                <c:pt idx="0">
                  <c:v>2024年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'整車-數量 '!$B$24:$M$24</c:f>
              <c:numCache>
                <c:formatCode>_(* #,##0_);_(* \(#,##0\);_(* "-"_);_(@_)</c:formatCode>
                <c:ptCount val="12"/>
                <c:pt idx="0" formatCode="#,##0_ ">
                  <c:v>22597</c:v>
                </c:pt>
                <c:pt idx="1">
                  <c:v>20879</c:v>
                </c:pt>
                <c:pt idx="2">
                  <c:v>27621</c:v>
                </c:pt>
                <c:pt idx="3">
                  <c:v>19678</c:v>
                </c:pt>
                <c:pt idx="4">
                  <c:v>19676</c:v>
                </c:pt>
                <c:pt idx="5">
                  <c:v>24340</c:v>
                </c:pt>
                <c:pt idx="6">
                  <c:v>13085</c:v>
                </c:pt>
                <c:pt idx="7">
                  <c:v>28367</c:v>
                </c:pt>
                <c:pt idx="8">
                  <c:v>15235</c:v>
                </c:pt>
                <c:pt idx="9">
                  <c:v>20020</c:v>
                </c:pt>
                <c:pt idx="10">
                  <c:v>15967</c:v>
                </c:pt>
                <c:pt idx="11">
                  <c:v>29393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CB-4E1B-816C-30BEAFC84089}"/>
            </c:ext>
          </c:extLst>
        </c:ser>
        <c:ser>
          <c:idx val="0"/>
          <c:order val="3"/>
          <c:tx>
            <c:strRef>
              <c:f>'整車-數量 '!$A$25</c:f>
              <c:strCache>
                <c:ptCount val="1"/>
                <c:pt idx="0">
                  <c:v>2025年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F0-4D90-842A-B040360164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'整車-數量 '!$B$25:$M$25</c:f>
              <c:numCache>
                <c:formatCode>_(* #,##0_);_(* \(#,##0\);_(* "-"_);_(@_)</c:formatCode>
                <c:ptCount val="12"/>
                <c:pt idx="0" formatCode="#,##0_ ">
                  <c:v>13209</c:v>
                </c:pt>
                <c:pt idx="1">
                  <c:v>24798</c:v>
                </c:pt>
                <c:pt idx="2">
                  <c:v>19241</c:v>
                </c:pt>
                <c:pt idx="3">
                  <c:v>13706</c:v>
                </c:pt>
                <c:pt idx="4">
                  <c:v>14490</c:v>
                </c:pt>
                <c:pt idx="5">
                  <c:v>15344</c:v>
                </c:pt>
                <c:pt idx="6">
                  <c:v>18577</c:v>
                </c:pt>
                <c:pt idx="7">
                  <c:v>16961</c:v>
                </c:pt>
                <c:pt idx="8">
                  <c:v>13677</c:v>
                </c:pt>
                <c:pt idx="9">
                  <c:v>11415</c:v>
                </c:pt>
                <c:pt idx="10">
                  <c:v>15329</c:v>
                </c:pt>
                <c:pt idx="11">
                  <c:v>17741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1-40D4-BF5D-2D7081CAE1E4}"/>
            </c:ext>
          </c:extLst>
        </c:ser>
        <c:ser>
          <c:idx val="4"/>
          <c:order val="4"/>
          <c:tx>
            <c:strRef>
              <c:f>'整車-數量 '!$A$26</c:f>
              <c:strCache>
                <c:ptCount val="1"/>
                <c:pt idx="0">
                  <c:v>2026年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'整車-數量 '!$B$26:$M$26</c:f>
              <c:numCache>
                <c:formatCode>_(* #,##0_);_(* \(#,##0\);_(* "-"_);_(@_)</c:formatCode>
                <c:ptCount val="12"/>
                <c:pt idx="0" formatCode="#,##0_ ">
                  <c:v>15712</c:v>
                </c:pt>
                <c:pt idx="1">
                  <c:v>19642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9-4F96-89AD-70867BBEB12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90447456"/>
        <c:axId val="890449024"/>
      </c:lineChart>
      <c:catAx>
        <c:axId val="890447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TW"/>
          </a:p>
        </c:txPr>
        <c:crossAx val="890449024"/>
        <c:crosses val="autoZero"/>
        <c:auto val="1"/>
        <c:lblAlgn val="ctr"/>
        <c:lblOffset val="100"/>
        <c:noMultiLvlLbl val="0"/>
      </c:catAx>
      <c:valAx>
        <c:axId val="8904490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(* #,##0_);_(* \(#,##0\);_(* &quot;-&quot;_);_(@_)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TW"/>
          </a:p>
        </c:txPr>
        <c:crossAx val="890447456"/>
        <c:crosses val="autoZero"/>
        <c:crossBetween val="between"/>
      </c:valAx>
      <c:spPr>
        <a:solidFill>
          <a:schemeClr val="bg2">
            <a:lumMod val="75000"/>
          </a:schemeClr>
        </a:solidFill>
        <a:ln w="15875">
          <a:solidFill>
            <a:srgbClr val="008000"/>
          </a:solidFill>
        </a:ln>
        <a:effectLst/>
      </c:spPr>
    </c:plotArea>
    <c:legend>
      <c:legendPos val="r"/>
      <c:layout>
        <c:manualLayout>
          <c:xMode val="edge"/>
          <c:yMode val="edge"/>
          <c:x val="0.8773942194259392"/>
          <c:y val="0.50073490121142106"/>
          <c:w val="9.3723589616834566E-2"/>
          <c:h val="0.28876753802097699"/>
        </c:manualLayout>
      </c:layout>
      <c:overlay val="0"/>
      <c:spPr>
        <a:solidFill>
          <a:schemeClr val="bg1"/>
        </a:solidFill>
        <a:ln>
          <a:solidFill>
            <a:srgbClr val="008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台灣自行車出口歐盟金額</a:t>
            </a:r>
          </a:p>
        </c:rich>
      </c:tx>
      <c:layout>
        <c:manualLayout>
          <c:xMode val="edge"/>
          <c:yMode val="edge"/>
          <c:x val="0.37184466019417478"/>
          <c:y val="2.76497695852534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12338604983158975"/>
          <c:y val="0.11648412085303018"/>
          <c:w val="0.72186646640841279"/>
          <c:h val="0.75830102695308899"/>
        </c:manualLayout>
      </c:layout>
      <c:lineChart>
        <c:grouping val="standard"/>
        <c:varyColors val="0"/>
        <c:ser>
          <c:idx val="1"/>
          <c:order val="0"/>
          <c:tx>
            <c:strRef>
              <c:f>'整車-金額 '!$A$22</c:f>
              <c:strCache>
                <c:ptCount val="1"/>
                <c:pt idx="0">
                  <c:v> 2022年 </c:v>
                </c:pt>
              </c:strCache>
            </c:strRef>
          </c:tx>
          <c:spPr>
            <a:ln w="19050" cap="rnd">
              <a:solidFill>
                <a:srgbClr val="CC33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CC3300"/>
              </a:solidFill>
              <a:ln w="9525">
                <a:solidFill>
                  <a:srgbClr val="FF9900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CC3300"/>
                </a:solidFill>
                <a:ln w="9525">
                  <a:solidFill>
                    <a:srgbClr val="CC33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A-A458-4FCB-B21B-28A2F1E18731}"/>
              </c:ext>
            </c:extLst>
          </c:dPt>
          <c:dLbls>
            <c:dLbl>
              <c:idx val="0"/>
              <c:layout>
                <c:manualLayout>
                  <c:x val="-1.0899182561307902E-2"/>
                  <c:y val="2.1937842778793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458-4FCB-B21B-28A2F1E18731}"/>
                </c:ext>
              </c:extLst>
            </c:dLbl>
            <c:dLbl>
              <c:idx val="1"/>
              <c:layout>
                <c:manualLayout>
                  <c:x val="-3.1486527399333941E-2"/>
                  <c:y val="2.1937842778793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458-4FCB-B21B-28A2F1E18731}"/>
                </c:ext>
              </c:extLst>
            </c:dLbl>
            <c:dLbl>
              <c:idx val="8"/>
              <c:layout>
                <c:manualLayout>
                  <c:x val="-8.3507927108347278E-17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458-4FCB-B21B-28A2F1E187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'整車-金額 '!$B$22:$M$22</c:f>
              <c:numCache>
                <c:formatCode>_(* #,##0_);_(* \(#,##0\);_(* "-"_);_(@_)</c:formatCode>
                <c:ptCount val="12"/>
                <c:pt idx="0">
                  <c:v>22199024</c:v>
                </c:pt>
                <c:pt idx="1">
                  <c:v>25333401</c:v>
                </c:pt>
                <c:pt idx="2">
                  <c:v>22954157</c:v>
                </c:pt>
                <c:pt idx="3">
                  <c:v>23486387</c:v>
                </c:pt>
                <c:pt idx="4">
                  <c:v>27771038</c:v>
                </c:pt>
                <c:pt idx="5">
                  <c:v>20360406</c:v>
                </c:pt>
                <c:pt idx="6">
                  <c:v>31965702</c:v>
                </c:pt>
                <c:pt idx="7">
                  <c:v>29025147</c:v>
                </c:pt>
                <c:pt idx="8">
                  <c:v>35651016</c:v>
                </c:pt>
                <c:pt idx="9">
                  <c:v>36515992</c:v>
                </c:pt>
                <c:pt idx="10">
                  <c:v>44477712</c:v>
                </c:pt>
                <c:pt idx="11">
                  <c:v>29855823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A458-4FCB-B21B-28A2F1E18731}"/>
            </c:ext>
          </c:extLst>
        </c:ser>
        <c:ser>
          <c:idx val="0"/>
          <c:order val="1"/>
          <c:tx>
            <c:strRef>
              <c:f>'整車-金額 '!$A$23</c:f>
              <c:strCache>
                <c:ptCount val="1"/>
                <c:pt idx="0">
                  <c:v>2023年</c:v>
                </c:pt>
              </c:strCache>
            </c:strRef>
          </c:tx>
          <c:spPr>
            <a:ln w="28575" cap="rnd">
              <a:solidFill>
                <a:schemeClr val="accent6">
                  <a:tint val="54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shade val="65000"/>
                </a:schemeClr>
              </a:solidFill>
              <a:ln w="9525">
                <a:solidFill>
                  <a:schemeClr val="accent6">
                    <a:shade val="65000"/>
                  </a:schemeClr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1.9358879462506407E-2"/>
                  <c:y val="3.2403240324032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BB-4D19-A5B5-735F536AA9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'整車-金額 '!$B$23:$M$23</c:f>
              <c:numCache>
                <c:formatCode>_(* #,##0_);_(* \(#,##0\);_(* "-"_);_(@_)</c:formatCode>
                <c:ptCount val="12"/>
                <c:pt idx="0">
                  <c:v>46519685</c:v>
                </c:pt>
                <c:pt idx="1">
                  <c:v>30712822</c:v>
                </c:pt>
                <c:pt idx="2">
                  <c:v>26849916</c:v>
                </c:pt>
                <c:pt idx="3">
                  <c:v>34534661</c:v>
                </c:pt>
                <c:pt idx="4">
                  <c:v>36571253</c:v>
                </c:pt>
                <c:pt idx="5">
                  <c:v>28429967</c:v>
                </c:pt>
                <c:pt idx="6">
                  <c:v>30116716</c:v>
                </c:pt>
                <c:pt idx="7">
                  <c:v>38368771</c:v>
                </c:pt>
                <c:pt idx="8">
                  <c:v>30676800</c:v>
                </c:pt>
                <c:pt idx="9">
                  <c:v>21660617</c:v>
                </c:pt>
                <c:pt idx="10">
                  <c:v>22312430</c:v>
                </c:pt>
                <c:pt idx="11">
                  <c:v>26688780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1D-49E4-9BAE-D3BD571AA864}"/>
            </c:ext>
          </c:extLst>
        </c:ser>
        <c:ser>
          <c:idx val="2"/>
          <c:order val="2"/>
          <c:tx>
            <c:strRef>
              <c:f>'整車-金額 '!$A$24</c:f>
              <c:strCache>
                <c:ptCount val="1"/>
                <c:pt idx="0">
                  <c:v>2024年</c:v>
                </c:pt>
              </c:strCache>
            </c:strRef>
          </c:tx>
          <c:spPr>
            <a:ln w="28575" cap="rnd">
              <a:solidFill>
                <a:srgbClr val="A40C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A40C92"/>
              </a:solidFill>
              <a:ln w="9525">
                <a:solidFill>
                  <a:schemeClr val="accent6">
                    <a:shade val="58000"/>
                  </a:schemeClr>
                </a:solidFill>
              </a:ln>
              <a:effectLst/>
            </c:spPr>
          </c:marker>
          <c:dPt>
            <c:idx val="0"/>
            <c:marker>
              <c:symbol val="triangle"/>
              <c:size val="6"/>
              <c:spPr>
                <a:solidFill>
                  <a:srgbClr val="A40C92"/>
                </a:solidFill>
                <a:ln w="9525">
                  <a:solidFill>
                    <a:srgbClr val="A40C9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C0BB-4D19-A5B5-735F536AA9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A40C92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'整車-金額 '!$B$24:$M$24</c:f>
              <c:numCache>
                <c:formatCode>_(* #,##0_);_(* \(#,##0\);_(* "-"_);_(@_)</c:formatCode>
                <c:ptCount val="12"/>
                <c:pt idx="0">
                  <c:v>26916095</c:v>
                </c:pt>
                <c:pt idx="1">
                  <c:v>22507201</c:v>
                </c:pt>
                <c:pt idx="2">
                  <c:v>25084191</c:v>
                </c:pt>
                <c:pt idx="3">
                  <c:v>19690715</c:v>
                </c:pt>
                <c:pt idx="4">
                  <c:v>22576900</c:v>
                </c:pt>
                <c:pt idx="5">
                  <c:v>30627406</c:v>
                </c:pt>
                <c:pt idx="6">
                  <c:v>16543352</c:v>
                </c:pt>
                <c:pt idx="7">
                  <c:v>32422394</c:v>
                </c:pt>
                <c:pt idx="8">
                  <c:v>15807907</c:v>
                </c:pt>
                <c:pt idx="9">
                  <c:v>24313565</c:v>
                </c:pt>
                <c:pt idx="10">
                  <c:v>21989333</c:v>
                </c:pt>
                <c:pt idx="11">
                  <c:v>33034391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1D-49E4-9BAE-D3BD571AA864}"/>
            </c:ext>
          </c:extLst>
        </c:ser>
        <c:ser>
          <c:idx val="3"/>
          <c:order val="3"/>
          <c:tx>
            <c:strRef>
              <c:f>'整車-金額 '!$A$25</c:f>
              <c:strCache>
                <c:ptCount val="1"/>
                <c:pt idx="0">
                  <c:v> 2025年 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dash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662889518413599E-2"/>
                  <c:y val="4.68046804680468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A3-4899-9FFE-24136FEAE3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'整車-金額 '!$B$25:$M$25</c:f>
              <c:numCache>
                <c:formatCode>_(* #,##0_);_(* \(#,##0\);_(* "-"_);_(@_)</c:formatCode>
                <c:ptCount val="12"/>
                <c:pt idx="0">
                  <c:v>15318880</c:v>
                </c:pt>
                <c:pt idx="1">
                  <c:v>26513908</c:v>
                </c:pt>
                <c:pt idx="2">
                  <c:v>18670330</c:v>
                </c:pt>
                <c:pt idx="3">
                  <c:v>14496754</c:v>
                </c:pt>
                <c:pt idx="4">
                  <c:v>20845557</c:v>
                </c:pt>
                <c:pt idx="5">
                  <c:v>18694572</c:v>
                </c:pt>
                <c:pt idx="6">
                  <c:v>27718839</c:v>
                </c:pt>
                <c:pt idx="7">
                  <c:v>26266089</c:v>
                </c:pt>
                <c:pt idx="8">
                  <c:v>20331217</c:v>
                </c:pt>
                <c:pt idx="9">
                  <c:v>12892846</c:v>
                </c:pt>
                <c:pt idx="10">
                  <c:v>17550973</c:v>
                </c:pt>
                <c:pt idx="11">
                  <c:v>25687277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A3-4899-9FFE-24136FEAE31C}"/>
            </c:ext>
          </c:extLst>
        </c:ser>
        <c:ser>
          <c:idx val="4"/>
          <c:order val="4"/>
          <c:tx>
            <c:strRef>
              <c:f>'整車-金額 '!$A$26</c:f>
              <c:strCache>
                <c:ptCount val="1"/>
                <c:pt idx="0">
                  <c:v>2026年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'整車-金額 '!$B$26:$M$26</c:f>
              <c:numCache>
                <c:formatCode>_(* #,##0_);_(* \(#,##0\);_(* "-"_);_(@_)</c:formatCode>
                <c:ptCount val="12"/>
                <c:pt idx="0">
                  <c:v>21791587</c:v>
                </c:pt>
                <c:pt idx="1">
                  <c:v>18422232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47-48AC-A5EB-84E8BCE8B6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90448240"/>
        <c:axId val="890448632"/>
      </c:lineChart>
      <c:catAx>
        <c:axId val="890448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TW"/>
          </a:p>
        </c:txPr>
        <c:crossAx val="890448632"/>
        <c:crosses val="autoZero"/>
        <c:auto val="1"/>
        <c:lblAlgn val="ctr"/>
        <c:lblOffset val="100"/>
        <c:noMultiLvlLbl val="0"/>
      </c:catAx>
      <c:valAx>
        <c:axId val="89044863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(* #,##0_);_(* \(#,##0\);_(* &quot;-&quot;_);_(@_)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TW"/>
          </a:p>
        </c:txPr>
        <c:crossAx val="890448240"/>
        <c:crosses val="autoZero"/>
        <c:crossBetween val="between"/>
      </c:valAx>
      <c:spPr>
        <a:solidFill>
          <a:schemeClr val="bg2">
            <a:lumMod val="75000"/>
          </a:scheme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441093588513897"/>
          <c:y val="0.51585845198693092"/>
          <c:w val="8.0361358180661493E-2"/>
          <c:h val="0.25300071369135807"/>
        </c:manualLayout>
      </c:layout>
      <c:overlay val="0"/>
      <c:spPr>
        <a:noFill/>
        <a:ln w="6350">
          <a:solidFill>
            <a:srgbClr val="008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zh-TW" alt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台灣自行車出口歐盟平均單價</a:t>
            </a:r>
          </a:p>
        </c:rich>
      </c:tx>
      <c:layout>
        <c:manualLayout>
          <c:xMode val="edge"/>
          <c:yMode val="edge"/>
          <c:x val="0.36349423010847087"/>
          <c:y val="4.28814413789079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10539113137173645"/>
          <c:y val="0.14718748902918216"/>
          <c:w val="0.77925508460378623"/>
          <c:h val="0.72191684194422823"/>
        </c:manualLayout>
      </c:layout>
      <c:lineChart>
        <c:grouping val="standard"/>
        <c:varyColors val="0"/>
        <c:ser>
          <c:idx val="1"/>
          <c:order val="0"/>
          <c:tx>
            <c:strRef>
              <c:f>'整車-平均單價 '!$A$22</c:f>
              <c:strCache>
                <c:ptCount val="1"/>
                <c:pt idx="0">
                  <c:v> 2022年 </c:v>
                </c:pt>
              </c:strCache>
            </c:strRef>
          </c:tx>
          <c:spPr>
            <a:ln w="19050" cap="rnd">
              <a:solidFill>
                <a:srgbClr val="CC3300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CC3300"/>
              </a:solidFill>
              <a:ln w="9525">
                <a:solidFill>
                  <a:srgbClr val="CC3300"/>
                </a:solidFill>
              </a:ln>
              <a:effectLst/>
            </c:spPr>
          </c:marker>
          <c:dPt>
            <c:idx val="0"/>
            <c:marker>
              <c:symbol val="diamond"/>
              <c:size val="7"/>
              <c:spPr>
                <a:solidFill>
                  <a:srgbClr val="0066CC"/>
                </a:solidFill>
                <a:ln w="9525">
                  <a:solidFill>
                    <a:srgbClr val="0066CC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E55-49A1-A6D1-9729420AA03F}"/>
              </c:ext>
            </c:extLst>
          </c:dPt>
          <c:dPt>
            <c:idx val="1"/>
            <c:marker>
              <c:symbol val="diamond"/>
              <c:size val="7"/>
              <c:spPr>
                <a:solidFill>
                  <a:srgbClr val="CC3300"/>
                </a:solidFill>
                <a:ln w="9525" cap="rnd">
                  <a:solidFill>
                    <a:srgbClr val="CC33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A84-4CD9-89EF-096EB836D5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'整車-平均單價 '!$B$22:$M$22</c:f>
              <c:numCache>
                <c:formatCode>0.00</c:formatCode>
                <c:ptCount val="12"/>
                <c:pt idx="0">
                  <c:v>626.4</c:v>
                </c:pt>
                <c:pt idx="1">
                  <c:v>499.32</c:v>
                </c:pt>
                <c:pt idx="2">
                  <c:v>563.81796521910007</c:v>
                </c:pt>
                <c:pt idx="3">
                  <c:v>565.66442678227361</c:v>
                </c:pt>
                <c:pt idx="4">
                  <c:v>604.07000000000005</c:v>
                </c:pt>
                <c:pt idx="5">
                  <c:v>590.86</c:v>
                </c:pt>
                <c:pt idx="6">
                  <c:v>843.71</c:v>
                </c:pt>
                <c:pt idx="7">
                  <c:v>669.31</c:v>
                </c:pt>
                <c:pt idx="8">
                  <c:v>764.19</c:v>
                </c:pt>
                <c:pt idx="9">
                  <c:v>689.02</c:v>
                </c:pt>
                <c:pt idx="10">
                  <c:v>763.5</c:v>
                </c:pt>
                <c:pt idx="11">
                  <c:v>788.67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0F71-49D9-A381-CD74CAE24384}"/>
            </c:ext>
          </c:extLst>
        </c:ser>
        <c:ser>
          <c:idx val="0"/>
          <c:order val="1"/>
          <c:tx>
            <c:strRef>
              <c:f>'整車-平均單價 '!$A$23</c:f>
              <c:strCache>
                <c:ptCount val="1"/>
                <c:pt idx="0">
                  <c:v>2023年</c:v>
                </c:pt>
              </c:strCache>
            </c:strRef>
          </c:tx>
          <c:spPr>
            <a:ln w="28575" cap="rnd">
              <a:solidFill>
                <a:schemeClr val="accent6">
                  <a:tint val="54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6">
                  <a:shade val="65000"/>
                </a:schemeClr>
              </a:solidFill>
              <a:ln w="9525">
                <a:solidFill>
                  <a:schemeClr val="accent6">
                    <a:shade val="6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'整車-平均單價 '!$B$23:$M$23</c:f>
              <c:numCache>
                <c:formatCode>0.00</c:formatCode>
                <c:ptCount val="12"/>
                <c:pt idx="0">
                  <c:v>841.81764716527005</c:v>
                </c:pt>
                <c:pt idx="1">
                  <c:v>906.46</c:v>
                </c:pt>
                <c:pt idx="2">
                  <c:v>695.77</c:v>
                </c:pt>
                <c:pt idx="3">
                  <c:v>830.94</c:v>
                </c:pt>
                <c:pt idx="4">
                  <c:v>882.68133326897089</c:v>
                </c:pt>
                <c:pt idx="5">
                  <c:v>1153.5327030755498</c:v>
                </c:pt>
                <c:pt idx="6">
                  <c:v>1032.6675353175146</c:v>
                </c:pt>
                <c:pt idx="7">
                  <c:v>1208.7698002646337</c:v>
                </c:pt>
                <c:pt idx="8">
                  <c:v>1190.2688860435339</c:v>
                </c:pt>
                <c:pt idx="9">
                  <c:v>1079.8453063462784</c:v>
                </c:pt>
                <c:pt idx="10">
                  <c:v>1197.404207362885</c:v>
                </c:pt>
                <c:pt idx="11">
                  <c:v>1117.8078405092981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84-4CD9-89EF-096EB836D5BC}"/>
            </c:ext>
          </c:extLst>
        </c:ser>
        <c:ser>
          <c:idx val="2"/>
          <c:order val="2"/>
          <c:tx>
            <c:strRef>
              <c:f>'整車-平均單價 '!$A$24</c:f>
              <c:strCache>
                <c:ptCount val="1"/>
                <c:pt idx="0">
                  <c:v>2024年</c:v>
                </c:pt>
              </c:strCache>
            </c:strRef>
          </c:tx>
          <c:spPr>
            <a:ln w="28575" cap="rnd">
              <a:solidFill>
                <a:srgbClr val="A40C92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rgbClr val="A40C92"/>
              </a:solidFill>
              <a:ln w="9525">
                <a:solidFill>
                  <a:schemeClr val="accent6">
                    <a:shade val="58000"/>
                  </a:schemeClr>
                </a:solidFill>
              </a:ln>
              <a:effectLst/>
            </c:spPr>
          </c:marker>
          <c:dPt>
            <c:idx val="0"/>
            <c:marker>
              <c:symbol val="triangle"/>
              <c:size val="7"/>
              <c:spPr>
                <a:solidFill>
                  <a:srgbClr val="A40C92"/>
                </a:solidFill>
                <a:ln w="9525">
                  <a:solidFill>
                    <a:srgbClr val="A40C9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EE55-49A1-A6D1-9729420AA0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A40C92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'整車-平均單價 '!$B$24:$M$24</c:f>
              <c:numCache>
                <c:formatCode>0.00</c:formatCode>
                <c:ptCount val="12"/>
                <c:pt idx="0" formatCode="#,##0.00_ ">
                  <c:v>1191.1357702349869</c:v>
                </c:pt>
                <c:pt idx="1">
                  <c:v>1077.9827098998994</c:v>
                </c:pt>
                <c:pt idx="2">
                  <c:v>908.15651135005976</c:v>
                </c:pt>
                <c:pt idx="3">
                  <c:v>1000.6461530643359</c:v>
                </c:pt>
                <c:pt idx="4">
                  <c:v>1147.4334214271194</c:v>
                </c:pt>
                <c:pt idx="5">
                  <c:v>1258.32</c:v>
                </c:pt>
                <c:pt idx="6">
                  <c:v>1264.2989682842949</c:v>
                </c:pt>
                <c:pt idx="7">
                  <c:v>1142.9616808263122</c:v>
                </c:pt>
                <c:pt idx="8">
                  <c:v>1037.6046603216278</c:v>
                </c:pt>
                <c:pt idx="9">
                  <c:v>1214.4637862137863</c:v>
                </c:pt>
                <c:pt idx="10">
                  <c:v>1377.1737333249828</c:v>
                </c:pt>
                <c:pt idx="11">
                  <c:v>1123.8863334807606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84-4CD9-89EF-096EB836D5BC}"/>
            </c:ext>
          </c:extLst>
        </c:ser>
        <c:ser>
          <c:idx val="3"/>
          <c:order val="3"/>
          <c:tx>
            <c:strRef>
              <c:f>'整車-平均單價 '!$A$25</c:f>
              <c:strCache>
                <c:ptCount val="1"/>
                <c:pt idx="0">
                  <c:v>2025年</c:v>
                </c:pt>
              </c:strCache>
            </c:strRef>
          </c:tx>
          <c:spPr>
            <a:ln w="28575" cap="rnd">
              <a:solidFill>
                <a:srgbClr val="00B050">
                  <a:alpha val="92000"/>
                </a:srgbClr>
              </a:solidFill>
              <a:round/>
            </a:ln>
            <a:effectLst/>
          </c:spPr>
          <c:marker>
            <c:symbol val="dash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'整車-平均單價 '!$B$25:$M$25</c:f>
              <c:numCache>
                <c:formatCode>0.00</c:formatCode>
                <c:ptCount val="12"/>
                <c:pt idx="0" formatCode="#,##0.00_ ">
                  <c:v>1159.7304867893104</c:v>
                </c:pt>
                <c:pt idx="1">
                  <c:v>1069.1954189854021</c:v>
                </c:pt>
                <c:pt idx="2">
                  <c:v>970.34093862065379</c:v>
                </c:pt>
                <c:pt idx="3">
                  <c:v>1057.694002626587</c:v>
                </c:pt>
                <c:pt idx="4">
                  <c:v>1438.6167701863353</c:v>
                </c:pt>
                <c:pt idx="5">
                  <c:v>1218.3636600625653</c:v>
                </c:pt>
                <c:pt idx="6">
                  <c:v>1492.1052376594714</c:v>
                </c:pt>
                <c:pt idx="7">
                  <c:v>1548.6167678792524</c:v>
                </c:pt>
                <c:pt idx="8">
                  <c:v>1486.5260656576734</c:v>
                </c:pt>
                <c:pt idx="9">
                  <c:v>1129.4652650021901</c:v>
                </c:pt>
                <c:pt idx="10">
                  <c:v>1144.9522473742579</c:v>
                </c:pt>
                <c:pt idx="11">
                  <c:v>1447.9046840651597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5-4871-B77B-5F876250FB7F}"/>
            </c:ext>
          </c:extLst>
        </c:ser>
        <c:ser>
          <c:idx val="4"/>
          <c:order val="4"/>
          <c:tx>
            <c:strRef>
              <c:f>'整車-平均單價 '!$A$26</c:f>
              <c:strCache>
                <c:ptCount val="1"/>
                <c:pt idx="0">
                  <c:v>2026年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'整車-平均單價 '!$B$26:$M$26</c:f>
              <c:numCache>
                <c:formatCode>0.00</c:formatCode>
                <c:ptCount val="12"/>
                <c:pt idx="0" formatCode="#,##0.00_ ">
                  <c:v>1386.9390911405296</c:v>
                </c:pt>
                <c:pt idx="1">
                  <c:v>937.90001018226246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63-4B7B-B043-13FA2A4B9A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90450984"/>
        <c:axId val="890446672"/>
      </c:lineChart>
      <c:catAx>
        <c:axId val="890450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TW"/>
          </a:p>
        </c:txPr>
        <c:crossAx val="890446672"/>
        <c:crosses val="autoZero"/>
        <c:auto val="1"/>
        <c:lblAlgn val="ctr"/>
        <c:lblOffset val="100"/>
        <c:noMultiLvlLbl val="0"/>
      </c:catAx>
      <c:valAx>
        <c:axId val="89044667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TW"/>
          </a:p>
        </c:txPr>
        <c:crossAx val="890450984"/>
        <c:crosses val="autoZero"/>
        <c:crossBetween val="between"/>
      </c:valAx>
      <c:spPr>
        <a:solidFill>
          <a:schemeClr val="bg2">
            <a:lumMod val="75000"/>
          </a:schemeClr>
        </a:solidFill>
        <a:ln w="15875">
          <a:solidFill>
            <a:srgbClr val="808080">
              <a:alpha val="99000"/>
            </a:srgbClr>
          </a:solidFill>
        </a:ln>
        <a:effectLst/>
      </c:spPr>
    </c:plotArea>
    <c:legend>
      <c:legendPos val="r"/>
      <c:layout>
        <c:manualLayout>
          <c:xMode val="edge"/>
          <c:yMode val="edge"/>
          <c:x val="0.89555126620656456"/>
          <c:y val="0.5881680584154918"/>
          <c:w val="8.680927513778039E-2"/>
          <c:h val="0.19928071270753345"/>
        </c:manualLayout>
      </c:layout>
      <c:overlay val="0"/>
      <c:spPr>
        <a:solidFill>
          <a:schemeClr val="bg1"/>
        </a:solidFill>
        <a:ln w="19050">
          <a:solidFill>
            <a:srgbClr val="008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zh-TW" altLang="en-US" b="1">
                <a:solidFill>
                  <a:sysClr val="windowText" lastClr="000000"/>
                </a:solidFill>
              </a:rPr>
              <a:t>台灣電動輔助自行車出口歐盟數量</a:t>
            </a:r>
          </a:p>
        </c:rich>
      </c:tx>
      <c:layout>
        <c:manualLayout>
          <c:xMode val="edge"/>
          <c:yMode val="edge"/>
          <c:x val="0.34168039394344019"/>
          <c:y val="3.44234079173838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8.9091928822484456E-2"/>
          <c:y val="0.14782731776362348"/>
          <c:w val="0.8127701649613861"/>
          <c:h val="0.75038910985798757"/>
        </c:manualLayout>
      </c:layout>
      <c:lineChart>
        <c:grouping val="standard"/>
        <c:varyColors val="0"/>
        <c:ser>
          <c:idx val="0"/>
          <c:order val="0"/>
          <c:tx>
            <c:strRef>
              <c:f>'電輔車-數量'!$A$11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'電輔車-數量'!$B$11:$M$11</c:f>
              <c:numCache>
                <c:formatCode>_(* #,##0_);_(* \(#,##0\);_(* "-"_);_(@_)</c:formatCode>
                <c:ptCount val="12"/>
                <c:pt idx="0">
                  <c:v>34578</c:v>
                </c:pt>
                <c:pt idx="1">
                  <c:v>47181</c:v>
                </c:pt>
                <c:pt idx="2">
                  <c:v>50650</c:v>
                </c:pt>
                <c:pt idx="3">
                  <c:v>50972</c:v>
                </c:pt>
                <c:pt idx="4">
                  <c:v>53526</c:v>
                </c:pt>
                <c:pt idx="5">
                  <c:v>43012</c:v>
                </c:pt>
                <c:pt idx="6">
                  <c:v>64937</c:v>
                </c:pt>
                <c:pt idx="7">
                  <c:v>50599</c:v>
                </c:pt>
                <c:pt idx="8">
                  <c:v>60971</c:v>
                </c:pt>
                <c:pt idx="9">
                  <c:v>59002</c:v>
                </c:pt>
                <c:pt idx="10">
                  <c:v>55974</c:v>
                </c:pt>
                <c:pt idx="11">
                  <c:v>50149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E-475D-9E34-BCFF46012B69}"/>
            </c:ext>
          </c:extLst>
        </c:ser>
        <c:ser>
          <c:idx val="1"/>
          <c:order val="1"/>
          <c:tx>
            <c:strRef>
              <c:f>'電輔車-數量'!$A$12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'電輔車-數量'!$B$12:$M$12</c:f>
              <c:numCache>
                <c:formatCode>_(* #,##0_);_(* \(#,##0\);_(* "-"_);_(@_)</c:formatCode>
                <c:ptCount val="12"/>
                <c:pt idx="0">
                  <c:v>64157</c:v>
                </c:pt>
                <c:pt idx="1">
                  <c:v>43842</c:v>
                </c:pt>
                <c:pt idx="2">
                  <c:v>42031</c:v>
                </c:pt>
                <c:pt idx="3">
                  <c:v>47727</c:v>
                </c:pt>
                <c:pt idx="4">
                  <c:v>43241</c:v>
                </c:pt>
                <c:pt idx="5">
                  <c:v>40525</c:v>
                </c:pt>
                <c:pt idx="6">
                  <c:v>34646</c:v>
                </c:pt>
                <c:pt idx="7">
                  <c:v>24062</c:v>
                </c:pt>
                <c:pt idx="8">
                  <c:v>19293</c:v>
                </c:pt>
                <c:pt idx="9">
                  <c:v>10584</c:v>
                </c:pt>
                <c:pt idx="10">
                  <c:v>19855</c:v>
                </c:pt>
                <c:pt idx="11">
                  <c:v>17257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E-475D-9E34-BCFF46012B69}"/>
            </c:ext>
          </c:extLst>
        </c:ser>
        <c:ser>
          <c:idx val="2"/>
          <c:order val="2"/>
          <c:tx>
            <c:strRef>
              <c:f>'電輔車-數量'!$A$13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rgbClr val="FFC00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'電輔車-數量'!$B$13:$M$13</c:f>
              <c:numCache>
                <c:formatCode>_(* #,##0_);_(* \(#,##0\);_(* "-"_);_(@_)</c:formatCode>
                <c:ptCount val="12"/>
                <c:pt idx="0">
                  <c:v>15232</c:v>
                </c:pt>
                <c:pt idx="1">
                  <c:v>22946</c:v>
                </c:pt>
                <c:pt idx="2">
                  <c:v>19081</c:v>
                </c:pt>
                <c:pt idx="3">
                  <c:v>16516</c:v>
                </c:pt>
                <c:pt idx="4">
                  <c:v>14461</c:v>
                </c:pt>
                <c:pt idx="5">
                  <c:v>24601</c:v>
                </c:pt>
                <c:pt idx="6">
                  <c:v>9488</c:v>
                </c:pt>
                <c:pt idx="7">
                  <c:v>15034</c:v>
                </c:pt>
                <c:pt idx="8">
                  <c:v>9666</c:v>
                </c:pt>
                <c:pt idx="9">
                  <c:v>12331</c:v>
                </c:pt>
                <c:pt idx="10">
                  <c:v>13251</c:v>
                </c:pt>
                <c:pt idx="11">
                  <c:v>20929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BE-475D-9E34-BCFF46012B69}"/>
            </c:ext>
          </c:extLst>
        </c:ser>
        <c:ser>
          <c:idx val="3"/>
          <c:order val="3"/>
          <c:tx>
            <c:strRef>
              <c:f>'電輔車-數量'!$A$14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'電輔車-數量'!$B$14:$M$14</c:f>
              <c:numCache>
                <c:formatCode>_(* #,##0_);_(* \(#,##0\);_(* "-"_);_(@_)</c:formatCode>
                <c:ptCount val="12"/>
                <c:pt idx="0">
                  <c:v>9543</c:v>
                </c:pt>
                <c:pt idx="1">
                  <c:v>19452</c:v>
                </c:pt>
                <c:pt idx="2">
                  <c:v>21668</c:v>
                </c:pt>
                <c:pt idx="3">
                  <c:v>14066</c:v>
                </c:pt>
                <c:pt idx="4">
                  <c:v>14195</c:v>
                </c:pt>
                <c:pt idx="5">
                  <c:v>18517</c:v>
                </c:pt>
                <c:pt idx="6">
                  <c:v>14871</c:v>
                </c:pt>
                <c:pt idx="7">
                  <c:v>19389</c:v>
                </c:pt>
                <c:pt idx="8">
                  <c:v>19971</c:v>
                </c:pt>
                <c:pt idx="9">
                  <c:v>8492</c:v>
                </c:pt>
                <c:pt idx="10">
                  <c:v>14856</c:v>
                </c:pt>
                <c:pt idx="11">
                  <c:v>14957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BE-475D-9E34-BCFF46012B69}"/>
            </c:ext>
          </c:extLst>
        </c:ser>
        <c:ser>
          <c:idx val="4"/>
          <c:order val="4"/>
          <c:tx>
            <c:strRef>
              <c:f>'電輔車-數量'!$A$15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'電輔車-數量'!$B$15:$M$15</c:f>
              <c:numCache>
                <c:formatCode>_(* #,##0_);_(* \(#,##0\);_(* "-"_);_(@_)</c:formatCode>
                <c:ptCount val="12"/>
                <c:pt idx="0">
                  <c:v>14723</c:v>
                </c:pt>
                <c:pt idx="1">
                  <c:v>15684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1-408E-9E1C-96561D9A52A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32921055"/>
        <c:axId val="1857201775"/>
      </c:lineChart>
      <c:catAx>
        <c:axId val="16329210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>
                    <a:solidFill>
                      <a:sysClr val="windowText" lastClr="000000"/>
                    </a:solidFill>
                  </a:rPr>
                  <a:t>(</a:t>
                </a:r>
                <a:r>
                  <a:rPr lang="zh-TW" altLang="en-US">
                    <a:solidFill>
                      <a:sysClr val="windowText" lastClr="000000"/>
                    </a:solidFill>
                  </a:rPr>
                  <a:t>月份</a:t>
                </a:r>
                <a:r>
                  <a:rPr lang="en-US" altLang="zh-TW">
                    <a:solidFill>
                      <a:sysClr val="windowText" lastClr="000000"/>
                    </a:solidFill>
                  </a:rPr>
                  <a:t>)</a:t>
                </a:r>
                <a:endParaRPr lang="zh-TW" altLang="en-US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90445653936102044"/>
              <c:y val="0.909686076312831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zh-TW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857201775"/>
        <c:crosses val="autoZero"/>
        <c:auto val="1"/>
        <c:lblAlgn val="ctr"/>
        <c:lblOffset val="100"/>
        <c:noMultiLvlLbl val="0"/>
      </c:catAx>
      <c:valAx>
        <c:axId val="1857201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>
                    <a:solidFill>
                      <a:sysClr val="windowText" lastClr="000000"/>
                    </a:solidFill>
                  </a:rPr>
                  <a:t>(</a:t>
                </a:r>
                <a:r>
                  <a:rPr lang="zh-TW" altLang="en-US">
                    <a:solidFill>
                      <a:sysClr val="windowText" lastClr="000000"/>
                    </a:solidFill>
                  </a:rPr>
                  <a:t>台</a:t>
                </a:r>
                <a:r>
                  <a:rPr lang="en-US" altLang="zh-TW">
                    <a:solidFill>
                      <a:sysClr val="windowText" lastClr="000000"/>
                    </a:solidFill>
                  </a:rPr>
                  <a:t>)</a:t>
                </a:r>
                <a:endParaRPr lang="zh-TW" altLang="en-US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3.8074311554873244E-2"/>
              <c:y val="7.414948927562398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zh-TW" altLang="en-US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632921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90714378515362126"/>
          <c:y val="0.65004799379461853"/>
          <c:w val="7.9459020469693012E-2"/>
          <c:h val="0.232775808997174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zh-TW" altLang="en-US" b="1">
                <a:solidFill>
                  <a:sysClr val="windowText" lastClr="000000"/>
                </a:solidFill>
              </a:rPr>
              <a:t>台灣電動輔助自行車出口歐盟金額</a:t>
            </a:r>
          </a:p>
        </c:rich>
      </c:tx>
      <c:layout>
        <c:manualLayout>
          <c:xMode val="edge"/>
          <c:yMode val="edge"/>
          <c:x val="0.35695852548130225"/>
          <c:y val="4.43530360120218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9.1232638888888884E-2"/>
          <c:y val="0.14723689994988001"/>
          <c:w val="0.82521692708333338"/>
          <c:h val="0.74798503158429974"/>
        </c:manualLayout>
      </c:layout>
      <c:lineChart>
        <c:grouping val="standard"/>
        <c:varyColors val="0"/>
        <c:ser>
          <c:idx val="0"/>
          <c:order val="0"/>
          <c:tx>
            <c:strRef>
              <c:f>'電輔車-金額'!$A$10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'電輔車-金額'!$B$10:$M$10</c:f>
              <c:numCache>
                <c:formatCode>_(* #,##0_);_(* \(#,##0\);_(* "-"_);_(@_)</c:formatCode>
                <c:ptCount val="12"/>
                <c:pt idx="0">
                  <c:v>57163374</c:v>
                </c:pt>
                <c:pt idx="1">
                  <c:v>53986172</c:v>
                </c:pt>
                <c:pt idx="2">
                  <c:v>68394480</c:v>
                </c:pt>
                <c:pt idx="3">
                  <c:v>51904246</c:v>
                </c:pt>
                <c:pt idx="4">
                  <c:v>82411821</c:v>
                </c:pt>
                <c:pt idx="5">
                  <c:v>40245366</c:v>
                </c:pt>
                <c:pt idx="6">
                  <c:v>58683801</c:v>
                </c:pt>
                <c:pt idx="7">
                  <c:v>60574504</c:v>
                </c:pt>
                <c:pt idx="8">
                  <c:v>47198345</c:v>
                </c:pt>
                <c:pt idx="9">
                  <c:v>45420480</c:v>
                </c:pt>
                <c:pt idx="10">
                  <c:v>59414479</c:v>
                </c:pt>
                <c:pt idx="11">
                  <c:v>55652824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A-4117-9711-2A88602F040B}"/>
            </c:ext>
          </c:extLst>
        </c:ser>
        <c:ser>
          <c:idx val="1"/>
          <c:order val="1"/>
          <c:tx>
            <c:strRef>
              <c:f>'電輔車-金額'!$A$11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'電輔車-金額'!$B$11:$M$11</c:f>
              <c:numCache>
                <c:formatCode>_(* #,##0_);_(* \(#,##0\);_(* "-"_);_(@_)</c:formatCode>
                <c:ptCount val="12"/>
                <c:pt idx="0">
                  <c:v>40484230</c:v>
                </c:pt>
                <c:pt idx="1">
                  <c:v>54283352</c:v>
                </c:pt>
                <c:pt idx="2">
                  <c:v>61535960</c:v>
                </c:pt>
                <c:pt idx="3">
                  <c:v>64139259</c:v>
                </c:pt>
                <c:pt idx="4">
                  <c:v>68654301</c:v>
                </c:pt>
                <c:pt idx="5">
                  <c:v>55483756</c:v>
                </c:pt>
                <c:pt idx="6">
                  <c:v>89045907</c:v>
                </c:pt>
                <c:pt idx="7">
                  <c:v>63281271</c:v>
                </c:pt>
                <c:pt idx="8">
                  <c:v>74652119</c:v>
                </c:pt>
                <c:pt idx="9">
                  <c:v>78635378</c:v>
                </c:pt>
                <c:pt idx="10">
                  <c:v>71798749</c:v>
                </c:pt>
                <c:pt idx="11">
                  <c:v>69268879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A-4117-9711-2A88602F040B}"/>
            </c:ext>
          </c:extLst>
        </c:ser>
        <c:ser>
          <c:idx val="2"/>
          <c:order val="2"/>
          <c:tx>
            <c:strRef>
              <c:f>'電輔車-金額'!$A$12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'電輔車-金額'!$B$12:$M$12</c:f>
              <c:numCache>
                <c:formatCode>_(* #,##0_);_(* \(#,##0\);_(* "-"_);_(@_)</c:formatCode>
                <c:ptCount val="12"/>
                <c:pt idx="0">
                  <c:v>87346695</c:v>
                </c:pt>
                <c:pt idx="1">
                  <c:v>67678504</c:v>
                </c:pt>
                <c:pt idx="2">
                  <c:v>58042495</c:v>
                </c:pt>
                <c:pt idx="3">
                  <c:v>75097404</c:v>
                </c:pt>
                <c:pt idx="4">
                  <c:v>67804325</c:v>
                </c:pt>
                <c:pt idx="5">
                  <c:v>61211711</c:v>
                </c:pt>
                <c:pt idx="6">
                  <c:v>55860453</c:v>
                </c:pt>
                <c:pt idx="7">
                  <c:v>46191340</c:v>
                </c:pt>
                <c:pt idx="8">
                  <c:v>37641613</c:v>
                </c:pt>
                <c:pt idx="9">
                  <c:v>20313318</c:v>
                </c:pt>
                <c:pt idx="10">
                  <c:v>35627376</c:v>
                </c:pt>
                <c:pt idx="11">
                  <c:v>34021717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5A-4117-9711-2A88602F040B}"/>
            </c:ext>
          </c:extLst>
        </c:ser>
        <c:ser>
          <c:idx val="3"/>
          <c:order val="3"/>
          <c:tx>
            <c:strRef>
              <c:f>'電輔車-金額'!$A$13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'電輔車-金額'!$B$13:$M$13</c:f>
              <c:numCache>
                <c:formatCode>_(* #,##0_);_(* \(#,##0\);_(* "-"_);_(@_)</c:formatCode>
                <c:ptCount val="12"/>
                <c:pt idx="0">
                  <c:v>26936632</c:v>
                </c:pt>
                <c:pt idx="1">
                  <c:v>37213324</c:v>
                </c:pt>
                <c:pt idx="2">
                  <c:v>31433859</c:v>
                </c:pt>
                <c:pt idx="3">
                  <c:v>25699473</c:v>
                </c:pt>
                <c:pt idx="4">
                  <c:v>25287108</c:v>
                </c:pt>
                <c:pt idx="5">
                  <c:v>39725188</c:v>
                </c:pt>
                <c:pt idx="6">
                  <c:v>17511843</c:v>
                </c:pt>
                <c:pt idx="7">
                  <c:v>25142934</c:v>
                </c:pt>
                <c:pt idx="8">
                  <c:v>17267014</c:v>
                </c:pt>
                <c:pt idx="9">
                  <c:v>23122846</c:v>
                </c:pt>
                <c:pt idx="10">
                  <c:v>21618617</c:v>
                </c:pt>
                <c:pt idx="11">
                  <c:v>33682142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5A-4117-9711-2A88602F040B}"/>
            </c:ext>
          </c:extLst>
        </c:ser>
        <c:ser>
          <c:idx val="4"/>
          <c:order val="4"/>
          <c:tx>
            <c:strRef>
              <c:f>'電輔車-金額'!$A$14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dash"/>
            <c:size val="6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'電輔車-金額'!$B$14:$M$14</c:f>
              <c:numCache>
                <c:formatCode>_(* #,##0_);_(* \(#,##0\);_(* "-"_);_(@_)</c:formatCode>
                <c:ptCount val="12"/>
                <c:pt idx="0">
                  <c:v>17145239</c:v>
                </c:pt>
                <c:pt idx="1">
                  <c:v>36040521</c:v>
                </c:pt>
                <c:pt idx="2">
                  <c:v>41115427</c:v>
                </c:pt>
                <c:pt idx="3">
                  <c:v>24735904</c:v>
                </c:pt>
                <c:pt idx="4">
                  <c:v>25204649</c:v>
                </c:pt>
                <c:pt idx="5">
                  <c:v>30967212</c:v>
                </c:pt>
                <c:pt idx="6">
                  <c:v>24208255</c:v>
                </c:pt>
                <c:pt idx="7">
                  <c:v>32289185</c:v>
                </c:pt>
                <c:pt idx="8">
                  <c:v>33872176</c:v>
                </c:pt>
                <c:pt idx="9">
                  <c:v>16384704</c:v>
                </c:pt>
                <c:pt idx="10">
                  <c:v>25814405</c:v>
                </c:pt>
                <c:pt idx="11">
                  <c:v>25399684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D-4395-ABD2-F073FE3E4D85}"/>
            </c:ext>
          </c:extLst>
        </c:ser>
        <c:ser>
          <c:idx val="5"/>
          <c:order val="5"/>
          <c:tx>
            <c:strRef>
              <c:f>'電輔車-金額'!$A$15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A40C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A40C92"/>
              </a:solidFill>
              <a:ln w="9525">
                <a:solidFill>
                  <a:srgbClr val="A40C9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'電輔車-金額'!$B$15:$M$15</c:f>
              <c:numCache>
                <c:formatCode>_(* #,##0_);_(* \(#,##0\);_(* "-"_);_(@_)</c:formatCode>
                <c:ptCount val="12"/>
                <c:pt idx="0">
                  <c:v>22655950</c:v>
                </c:pt>
                <c:pt idx="1">
                  <c:v>26652424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C-4808-A5C0-A346BEF1B10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64328895"/>
        <c:axId val="1857211695"/>
      </c:lineChart>
      <c:catAx>
        <c:axId val="17643288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ea"/>
                    <a:ea typeface="+mn-ea"/>
                    <a:cs typeface="+mn-cs"/>
                  </a:defRPr>
                </a:pPr>
                <a:r>
                  <a:rPr lang="en-US" altLang="zh-TW" b="0">
                    <a:solidFill>
                      <a:sysClr val="windowText" lastClr="000000"/>
                    </a:solidFill>
                    <a:latin typeface="+mn-ea"/>
                    <a:ea typeface="+mn-ea"/>
                  </a:rPr>
                  <a:t>(</a:t>
                </a:r>
                <a:r>
                  <a:rPr lang="zh-TW" altLang="en-US" b="0">
                    <a:solidFill>
                      <a:sysClr val="windowText" lastClr="000000"/>
                    </a:solidFill>
                    <a:latin typeface="+mn-ea"/>
                    <a:ea typeface="+mn-ea"/>
                  </a:rPr>
                  <a:t>月份</a:t>
                </a:r>
                <a:r>
                  <a:rPr lang="en-US" altLang="zh-TW" b="0">
                    <a:solidFill>
                      <a:sysClr val="windowText" lastClr="000000"/>
                    </a:solidFill>
                    <a:latin typeface="+mn-ea"/>
                    <a:ea typeface="+mn-ea"/>
                  </a:rPr>
                  <a:t>)</a:t>
                </a:r>
                <a:endParaRPr lang="zh-TW" altLang="en-US" b="0">
                  <a:solidFill>
                    <a:sysClr val="windowText" lastClr="000000"/>
                  </a:solidFill>
                  <a:latin typeface="+mn-ea"/>
                  <a:ea typeface="+mn-ea"/>
                </a:endParaRPr>
              </a:p>
            </c:rich>
          </c:tx>
          <c:layout>
            <c:manualLayout>
              <c:xMode val="edge"/>
              <c:yMode val="edge"/>
              <c:x val="0.89598668017100258"/>
              <c:y val="0.903886453002050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ea"/>
                  <a:ea typeface="+mn-ea"/>
                  <a:cs typeface="+mn-cs"/>
                </a:defRPr>
              </a:pPr>
              <a:endParaRPr lang="zh-TW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ea"/>
                <a:ea typeface="+mn-ea"/>
                <a:cs typeface="+mn-cs"/>
              </a:defRPr>
            </a:pPr>
            <a:endParaRPr lang="zh-TW"/>
          </a:p>
        </c:txPr>
        <c:crossAx val="1857211695"/>
        <c:crosses val="autoZero"/>
        <c:auto val="1"/>
        <c:lblAlgn val="ctr"/>
        <c:lblOffset val="100"/>
        <c:noMultiLvlLbl val="0"/>
      </c:catAx>
      <c:valAx>
        <c:axId val="1857211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b="0">
                    <a:solidFill>
                      <a:sysClr val="windowText" lastClr="000000"/>
                    </a:solidFill>
                    <a:latin typeface="+mn-lt"/>
                    <a:ea typeface="+mn-ea"/>
                  </a:rPr>
                  <a:t>(US$)</a:t>
                </a:r>
                <a:endParaRPr lang="zh-TW" altLang="en-US" b="0">
                  <a:solidFill>
                    <a:sysClr val="windowText" lastClr="000000"/>
                  </a:solidFill>
                  <a:latin typeface="+mn-lt"/>
                  <a:ea typeface="+mn-ea"/>
                </a:endParaRPr>
              </a:p>
            </c:rich>
          </c:tx>
          <c:layout>
            <c:manualLayout>
              <c:xMode val="edge"/>
              <c:yMode val="edge"/>
              <c:x val="6.0421093749999988E-2"/>
              <c:y val="6.96853703703703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zh-TW" altLang="en-US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764328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9177886284722222"/>
          <c:y val="0.6330431481481481"/>
          <c:w val="7.8982597054886208E-2"/>
          <c:h val="0.267606581228019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zh-TW" altLang="en-US" b="1">
                <a:solidFill>
                  <a:sysClr val="windowText" lastClr="000000"/>
                </a:solidFill>
              </a:rPr>
              <a:t>台灣電動輔助自行車出口歐盟平均單價</a:t>
            </a:r>
          </a:p>
        </c:rich>
      </c:tx>
      <c:layout>
        <c:manualLayout>
          <c:xMode val="edge"/>
          <c:yMode val="edge"/>
          <c:x val="0.33841840077679713"/>
          <c:y val="8.29059733626213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8.7332606594714091E-2"/>
          <c:y val="0.2111362960421537"/>
          <c:w val="0.81246921230876112"/>
          <c:h val="0.6644108502502647"/>
        </c:manualLayout>
      </c:layout>
      <c:lineChart>
        <c:grouping val="standard"/>
        <c:varyColors val="0"/>
        <c:ser>
          <c:idx val="0"/>
          <c:order val="0"/>
          <c:tx>
            <c:strRef>
              <c:f>'電輔車-平均單價 '!$A$22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'電輔車-平均單價 '!$B$22:$M$22</c:f>
              <c:numCache>
                <c:formatCode>#,##0.00</c:formatCode>
                <c:ptCount val="12"/>
                <c:pt idx="0">
                  <c:v>1170.81</c:v>
                </c:pt>
                <c:pt idx="1">
                  <c:v>1150.5341556982685</c:v>
                </c:pt>
                <c:pt idx="2">
                  <c:v>1214.9251727541955</c:v>
                </c:pt>
                <c:pt idx="3">
                  <c:v>1258.3233736168877</c:v>
                </c:pt>
                <c:pt idx="4">
                  <c:v>1282.6346261629863</c:v>
                </c:pt>
                <c:pt idx="5">
                  <c:v>1289.9599181623732</c:v>
                </c:pt>
                <c:pt idx="6">
                  <c:v>1371.2661040700987</c:v>
                </c:pt>
                <c:pt idx="7">
                  <c:v>1250.6400000000001</c:v>
                </c:pt>
                <c:pt idx="8">
                  <c:v>1224.3900000000001</c:v>
                </c:pt>
                <c:pt idx="9">
                  <c:v>1332.76</c:v>
                </c:pt>
                <c:pt idx="10">
                  <c:v>1282.72</c:v>
                </c:pt>
                <c:pt idx="11">
                  <c:v>1381.2614209655228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3-44B0-B031-E5D604FA8D6B}"/>
            </c:ext>
          </c:extLst>
        </c:ser>
        <c:ser>
          <c:idx val="1"/>
          <c:order val="1"/>
          <c:tx>
            <c:strRef>
              <c:f>'電輔車-平均單價 '!$A$23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'電輔車-平均單價 '!$B$23:$M$23</c:f>
              <c:numCache>
                <c:formatCode>#,##0.00</c:formatCode>
                <c:ptCount val="12"/>
                <c:pt idx="0">
                  <c:v>1361.4522967096341</c:v>
                </c:pt>
                <c:pt idx="1">
                  <c:v>1543.69</c:v>
                </c:pt>
                <c:pt idx="2">
                  <c:v>1380.9448978135185</c:v>
                </c:pt>
                <c:pt idx="3">
                  <c:v>1573.4784084480482</c:v>
                </c:pt>
                <c:pt idx="4">
                  <c:v>1568.0563585485997</c:v>
                </c:pt>
                <c:pt idx="5">
                  <c:v>1510.4678840222084</c:v>
                </c:pt>
                <c:pt idx="6">
                  <c:v>1612.3204121687929</c:v>
                </c:pt>
                <c:pt idx="7">
                  <c:v>1919.6799933505113</c:v>
                </c:pt>
                <c:pt idx="8">
                  <c:v>1951.0502773026487</c:v>
                </c:pt>
                <c:pt idx="9">
                  <c:v>1919.2477324263039</c:v>
                </c:pt>
                <c:pt idx="10">
                  <c:v>1794.3780407957693</c:v>
                </c:pt>
                <c:pt idx="11">
                  <c:v>1971.4734310714493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3-44B0-B031-E5D604FA8D6B}"/>
            </c:ext>
          </c:extLst>
        </c:ser>
        <c:ser>
          <c:idx val="2"/>
          <c:order val="2"/>
          <c:tx>
            <c:strRef>
              <c:f>'電輔車-平均單價 '!$A$24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'電輔車-平均單價 '!$B$24:$M$24</c:f>
              <c:numCache>
                <c:formatCode>#,##0.00</c:formatCode>
                <c:ptCount val="12"/>
                <c:pt idx="0">
                  <c:v>1768.4238445378201</c:v>
                </c:pt>
                <c:pt idx="1">
                  <c:v>1621.7782620064499</c:v>
                </c:pt>
                <c:pt idx="2">
                  <c:v>1647.3905455688905</c:v>
                </c:pt>
                <c:pt idx="3">
                  <c:v>1556.0349358198112</c:v>
                </c:pt>
                <c:pt idx="4">
                  <c:v>1748.6417260217136</c:v>
                </c:pt>
                <c:pt idx="5">
                  <c:v>1614.78</c:v>
                </c:pt>
                <c:pt idx="6">
                  <c:v>1845.6832841483979</c:v>
                </c:pt>
                <c:pt idx="7">
                  <c:v>1672.4048157509644</c:v>
                </c:pt>
                <c:pt idx="8">
                  <c:v>1786.3660252431202</c:v>
                </c:pt>
                <c:pt idx="9">
                  <c:v>1875.1801151569216</c:v>
                </c:pt>
                <c:pt idx="10">
                  <c:v>1631.4706059920006</c:v>
                </c:pt>
                <c:pt idx="11">
                  <c:v>1609.3526685460365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93-44B0-B031-E5D604FA8D6B}"/>
            </c:ext>
          </c:extLst>
        </c:ser>
        <c:ser>
          <c:idx val="3"/>
          <c:order val="3"/>
          <c:tx>
            <c:strRef>
              <c:f>'電輔車-平均單價 '!$A$25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dash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'電輔車-平均單價 '!$B$25:$M$25</c:f>
              <c:numCache>
                <c:formatCode>#,##0.00_);[Red]\(#,##0.00\)</c:formatCode>
                <c:ptCount val="12"/>
                <c:pt idx="0">
                  <c:v>1796.629885780153</c:v>
                </c:pt>
                <c:pt idx="1">
                  <c:v>1852.7925663170881</c:v>
                </c:pt>
                <c:pt idx="2">
                  <c:v>1897.5183219494186</c:v>
                </c:pt>
                <c:pt idx="3">
                  <c:v>1758.5599317503199</c:v>
                </c:pt>
                <c:pt idx="4">
                  <c:v>1775.6004931313844</c:v>
                </c:pt>
                <c:pt idx="5">
                  <c:v>1672.3665820597289</c:v>
                </c:pt>
                <c:pt idx="6">
                  <c:v>1627.8834644610315</c:v>
                </c:pt>
                <c:pt idx="7">
                  <c:v>1665.335241631853</c:v>
                </c:pt>
                <c:pt idx="8">
                  <c:v>1696.0680987431776</c:v>
                </c:pt>
                <c:pt idx="9">
                  <c:v>1929.4281676872351</c:v>
                </c:pt>
                <c:pt idx="10">
                  <c:v>1737.6416935918148</c:v>
                </c:pt>
                <c:pt idx="11">
                  <c:v>1698.1803837667981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93-44B0-B031-E5D604FA8D6B}"/>
            </c:ext>
          </c:extLst>
        </c:ser>
        <c:ser>
          <c:idx val="4"/>
          <c:order val="4"/>
          <c:tx>
            <c:strRef>
              <c:f>'電輔車-平均單價 '!$A$26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A40C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A40C92"/>
              </a:solidFill>
              <a:ln w="9525">
                <a:solidFill>
                  <a:srgbClr val="A40C9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'電輔車-平均單價 '!$B$26:$M$26</c:f>
              <c:numCache>
                <c:formatCode>#,##0.00_);[Red]\(#,##0.00\)</c:formatCode>
                <c:ptCount val="12"/>
                <c:pt idx="0">
                  <c:v>1538.8134211777492</c:v>
                </c:pt>
                <c:pt idx="1">
                  <c:v>1699.3384340729406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B-4420-BBAE-0756A355FCB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32931135"/>
        <c:axId val="1755315151"/>
      </c:lineChart>
      <c:catAx>
        <c:axId val="16329311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>
                    <a:solidFill>
                      <a:sysClr val="windowText" lastClr="000000"/>
                    </a:solidFill>
                  </a:rPr>
                  <a:t>(</a:t>
                </a:r>
                <a:r>
                  <a:rPr lang="zh-TW" altLang="en-US">
                    <a:solidFill>
                      <a:sysClr val="windowText" lastClr="000000"/>
                    </a:solidFill>
                  </a:rPr>
                  <a:t>月份</a:t>
                </a:r>
                <a:r>
                  <a:rPr lang="en-US" altLang="zh-TW">
                    <a:solidFill>
                      <a:sysClr val="windowText" lastClr="000000"/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90310827399466342"/>
              <c:y val="0.88566857871384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755315151"/>
        <c:crosses val="autoZero"/>
        <c:auto val="1"/>
        <c:lblAlgn val="ctr"/>
        <c:lblOffset val="100"/>
        <c:noMultiLvlLbl val="0"/>
      </c:catAx>
      <c:valAx>
        <c:axId val="1755315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b="1">
                    <a:solidFill>
                      <a:sysClr val="windowText" lastClr="000000"/>
                    </a:solidFill>
                  </a:rPr>
                  <a:t>US($)</a:t>
                </a:r>
                <a:endParaRPr lang="zh-TW" altLang="en-US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3.6660542021251401E-2"/>
              <c:y val="0.124867812947580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zh-TW" alt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632931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91231832096722787"/>
          <c:y val="0.60162600368150321"/>
          <c:w val="6.8857583196423225E-2"/>
          <c:h val="0.269868726059882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157843</xdr:colOff>
      <xdr:row>35</xdr:row>
      <xdr:rowOff>105420</xdr:rowOff>
    </xdr:from>
    <xdr:to>
      <xdr:col>11</xdr:col>
      <xdr:colOff>160933</xdr:colOff>
      <xdr:row>53</xdr:row>
      <xdr:rowOff>183696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0.0261</cdr:x>
      <cdr:y>0.04052</cdr:y>
    </cdr:from>
    <cdr:to>
      <cdr:x>0.09316</cdr:x>
      <cdr:y>0.10885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236232" y="136751"/>
          <a:ext cx="607017" cy="230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zh-TW" sz="800">
              <a:latin typeface="Arial" panose="020B0604020202020204" pitchFamily="34" charset="0"/>
              <a:cs typeface="Arial" panose="020B0604020202020204" pitchFamily="34" charset="0"/>
            </a:rPr>
            <a:t>(</a:t>
          </a:r>
          <a:r>
            <a:rPr lang="zh-TW" altLang="en-US" sz="800">
              <a:latin typeface="Arial" panose="020B0604020202020204" pitchFamily="34" charset="0"/>
              <a:cs typeface="Arial" panose="020B0604020202020204" pitchFamily="34" charset="0"/>
            </a:rPr>
            <a:t>台</a:t>
          </a:r>
          <a:r>
            <a:rPr lang="en-US" altLang="zh-TW" sz="800">
              <a:latin typeface="Arial" panose="020B0604020202020204" pitchFamily="34" charset="0"/>
              <a:cs typeface="Arial" panose="020B0604020202020204" pitchFamily="34" charset="0"/>
            </a:rPr>
            <a:t>)</a:t>
          </a:r>
          <a:endParaRPr lang="zh-TW" alt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0.8402</cdr:x>
      <cdr:y>0.90402</cdr:y>
    </cdr:from>
    <cdr:to>
      <cdr:x>0.91767</cdr:x>
      <cdr:y>0.97101</cdr:y>
    </cdr:to>
    <cdr:sp macro="" textlink="">
      <cdr:nvSpPr>
        <cdr:cNvPr id="3" name="文字方塊 2"/>
        <cdr:cNvSpPr txBox="1"/>
      </cdr:nvSpPr>
      <cdr:spPr>
        <a:xfrm xmlns:a="http://schemas.openxmlformats.org/drawingml/2006/main">
          <a:off x="7605335" y="3050665"/>
          <a:ext cx="701247" cy="2260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TW" altLang="en-US" sz="1100"/>
            <a:t>月份</a:t>
          </a:r>
          <a:endParaRPr lang="en-US" altLang="zh-TW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35</xdr:row>
      <xdr:rowOff>74930</xdr:rowOff>
    </xdr:from>
    <xdr:to>
      <xdr:col>9</xdr:col>
      <xdr:colOff>990600</xdr:colOff>
      <xdr:row>54</xdr:row>
      <xdr:rowOff>200025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0.05678</cdr:x>
      <cdr:y>0.01109</cdr:y>
    </cdr:from>
    <cdr:to>
      <cdr:x>0.13062</cdr:x>
      <cdr:y>0.06536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572782" y="39112"/>
          <a:ext cx="744822" cy="1914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zh-TW" sz="800">
              <a:latin typeface="Arial" panose="020B0604020202020204" pitchFamily="34" charset="0"/>
              <a:cs typeface="Arial" panose="020B0604020202020204" pitchFamily="34" charset="0"/>
            </a:rPr>
            <a:t>(US$)</a:t>
          </a:r>
          <a:endParaRPr lang="zh-TW" alt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0.84733</cdr:x>
      <cdr:y>0.89168</cdr:y>
    </cdr:from>
    <cdr:to>
      <cdr:x>0.91691</cdr:x>
      <cdr:y>0.95466</cdr:y>
    </cdr:to>
    <cdr:sp macro="" textlink="">
      <cdr:nvSpPr>
        <cdr:cNvPr id="3" name="文字方塊 2"/>
        <cdr:cNvSpPr txBox="1"/>
      </cdr:nvSpPr>
      <cdr:spPr>
        <a:xfrm xmlns:a="http://schemas.openxmlformats.org/drawingml/2006/main">
          <a:off x="8547040" y="3145337"/>
          <a:ext cx="701851" cy="2221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TW" altLang="en-US" sz="1100">
              <a:latin typeface="Arial" panose="020B0604020202020204" pitchFamily="34" charset="0"/>
              <a:cs typeface="Arial" panose="020B0604020202020204" pitchFamily="34" charset="0"/>
            </a:rPr>
            <a:t>月份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35</xdr:row>
      <xdr:rowOff>168403</xdr:rowOff>
    </xdr:from>
    <xdr:to>
      <xdr:col>10</xdr:col>
      <xdr:colOff>841844</xdr:colOff>
      <xdr:row>59</xdr:row>
      <xdr:rowOff>107156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0.88273</cdr:x>
      <cdr:y>0.87802</cdr:y>
    </cdr:from>
    <cdr:to>
      <cdr:x>0.95738</cdr:x>
      <cdr:y>0.9552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8200253" y="4660322"/>
          <a:ext cx="693474" cy="409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TW" altLang="en-US" sz="1000">
              <a:latin typeface="Arial" panose="020B0604020202020204" pitchFamily="34" charset="0"/>
              <a:cs typeface="Arial" panose="020B0604020202020204" pitchFamily="34" charset="0"/>
            </a:rPr>
            <a:t>月份</a:t>
          </a:r>
        </a:p>
      </cdr:txBody>
    </cdr:sp>
  </cdr:relSizeAnchor>
  <cdr:relSizeAnchor xmlns:cdr="http://schemas.openxmlformats.org/drawingml/2006/chartDrawing">
    <cdr:from>
      <cdr:x>0.0529</cdr:x>
      <cdr:y>0.05068</cdr:y>
    </cdr:from>
    <cdr:to>
      <cdr:x>0.12535</cdr:x>
      <cdr:y>0.1128</cdr:y>
    </cdr:to>
    <cdr:sp macro="" textlink="">
      <cdr:nvSpPr>
        <cdr:cNvPr id="3" name="文字方塊 2"/>
        <cdr:cNvSpPr txBox="1"/>
      </cdr:nvSpPr>
      <cdr:spPr>
        <a:xfrm xmlns:a="http://schemas.openxmlformats.org/drawingml/2006/main">
          <a:off x="500241" y="237147"/>
          <a:ext cx="685080" cy="290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zh-TW" sz="800">
              <a:latin typeface="Arial" panose="020B0604020202020204" pitchFamily="34" charset="0"/>
              <a:cs typeface="Arial" panose="020B0604020202020204" pitchFamily="34" charset="0"/>
            </a:rPr>
            <a:t>(US$)</a:t>
          </a:r>
          <a:endParaRPr lang="zh-TW" alt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52385</xdr:colOff>
      <xdr:row>24</xdr:row>
      <xdr:rowOff>149678</xdr:rowOff>
    </xdr:from>
    <xdr:to>
      <xdr:col>15</xdr:col>
      <xdr:colOff>225729</xdr:colOff>
      <xdr:row>50</xdr:row>
      <xdr:rowOff>92529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B6BAEF07-8782-8CC2-8587-F8AF9E809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24</xdr:row>
      <xdr:rowOff>97971</xdr:rowOff>
    </xdr:from>
    <xdr:to>
      <xdr:col>10</xdr:col>
      <xdr:colOff>585300</xdr:colOff>
      <xdr:row>50</xdr:row>
      <xdr:rowOff>49671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474DF842-39D4-3C96-C470-332533680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102733</xdr:colOff>
      <xdr:row>35</xdr:row>
      <xdr:rowOff>81643</xdr:rowOff>
    </xdr:from>
    <xdr:to>
      <xdr:col>13</xdr:col>
      <xdr:colOff>412296</xdr:colOff>
      <xdr:row>59</xdr:row>
      <xdr:rowOff>108857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5DC7F2F7-9605-93FB-4C6E-EBD03C60E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2%20&#25972;&#36554;&#20986;&#21475;.xlsx" TargetMode="External"/><Relationship Id="rId1" Type="http://schemas.openxmlformats.org/officeDocument/2006/relationships/externalLinkPath" Target="file:///D:\DATA%20Files\Downloads\&#36914;&#20986;&#21475;&#20540;&#34920;%20-%20202602%20&#25972;&#36554;&#20986;&#21475;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2%20&#38651;&#36628;&#36554;&#20986;&#21475;.xlsx" TargetMode="External"/><Relationship Id="rId1" Type="http://schemas.openxmlformats.org/officeDocument/2006/relationships/externalLinkPath" Target="file:///D:\DATA%20Files\Downloads\&#36914;&#20986;&#21475;&#20540;&#34920;%20-%20202602%20&#38651;&#36628;&#36554;&#20986;&#21475;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1-02%20&#38651;&#36628;&#36554;&#20986;&#21475;.xlsx" TargetMode="External"/><Relationship Id="rId1" Type="http://schemas.openxmlformats.org/officeDocument/2006/relationships/externalLinkPath" Target="file:///D:\DATA%20Files\Downloads\&#36914;&#20986;&#21475;&#20540;&#34920;%20-%20202601-02%20&#38651;&#36628;&#36554;&#20986;&#21475;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01-02&#38651;&#36628;&#36554;&#20986;&#21475;.xlsx" TargetMode="External"/><Relationship Id="rId1" Type="http://schemas.openxmlformats.org/officeDocument/2006/relationships/externalLinkPath" Target="file:///D:\DATA%20Files\Downloads\&#36914;&#20986;&#21475;&#20540;&#34920;%20-%2011401-02&#38651;&#36628;&#36554;&#20986;&#21475;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01-02&#25722;&#30090;&#36554;&#20986;&#21475;.xlsx" TargetMode="External"/><Relationship Id="rId1" Type="http://schemas.openxmlformats.org/officeDocument/2006/relationships/externalLinkPath" Target="file:///D:\DATA%20Files\Downloads\&#36914;&#20986;&#21475;&#20540;&#34920;%20-%2011401-02&#25722;&#30090;&#36554;&#20986;&#2147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301&#33609;\&#25240;1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2&#20013;&#22283;&#38646;&#20214;&#20986;&#21475;.xlsx" TargetMode="External"/><Relationship Id="rId1" Type="http://schemas.openxmlformats.org/officeDocument/2006/relationships/externalLinkPath" Target="file:///D:\DATA%20Files\Downloads\&#36914;&#20986;&#21475;&#20540;&#34920;%20-%20202602&#20013;&#22283;&#38646;&#20214;&#20986;&#21475;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2&#20013;&#22283;&#38646;&#20214;&#36914;&#21475;.xlsx" TargetMode="External"/><Relationship Id="rId1" Type="http://schemas.openxmlformats.org/officeDocument/2006/relationships/externalLinkPath" Target="file:///D:\DATA%20Files\Downloads\&#36914;&#20986;&#21475;&#20540;&#34920;%20-%20202602&#20013;&#22283;&#38646;&#20214;&#36914;&#21475;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1-02&#20013;&#22283;&#38646;&#20214;&#20986;&#21475;.xlsx" TargetMode="External"/><Relationship Id="rId1" Type="http://schemas.openxmlformats.org/officeDocument/2006/relationships/externalLinkPath" Target="file:///D:\DATA%20Files\Downloads\&#36914;&#20986;&#21475;&#20540;&#34920;%20-%20202601-02&#20013;&#22283;&#38646;&#20214;&#20986;&#21475;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01-02&#20013;&#22283;&#38646;&#20214;&#20986;&#21475;.xlsx" TargetMode="External"/><Relationship Id="rId1" Type="http://schemas.openxmlformats.org/officeDocument/2006/relationships/externalLinkPath" Target="file:///D:\DATA%20Files\Downloads\&#36914;&#20986;&#21475;&#20540;&#34920;%20-%20202501-02&#20013;&#22283;&#38646;&#20214;&#20986;&#2147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4&#24180;\2014&#24180;2&#26376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1-02%20&#25972;&#36554;&#20986;&#21475;.xlsx" TargetMode="External"/><Relationship Id="rId1" Type="http://schemas.openxmlformats.org/officeDocument/2006/relationships/externalLinkPath" Target="file:///D:\DATA%20Files\Downloads\&#36914;&#20986;&#21475;&#20540;&#34920;%20-%20202601-02%20&#25972;&#36554;&#20986;&#2147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A\Joanne\&#32113;&#35336;\2019&#32113;&#35336;\2019&#32113;&#35336;&#33609;&#26412;\2018&#24180;&#33609;&#26412;\2018&#24180;1&#26376;&#33609;&#26412;.xls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1-02&#20013;&#22283;&#38646;&#20214;&#36914;&#21475;.xlsx" TargetMode="External"/><Relationship Id="rId1" Type="http://schemas.openxmlformats.org/officeDocument/2006/relationships/externalLinkPath" Target="file:///D:\DATA%20Files\Downloads\&#36914;&#20986;&#21475;&#20540;&#34920;%20-%20202601-02&#20013;&#22283;&#38646;&#20214;&#36914;&#21475;.xlsx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01-02&#20013;&#22283;&#38646;&#20214;&#36914;&#21475;.xlsx" TargetMode="External"/><Relationship Id="rId1" Type="http://schemas.openxmlformats.org/officeDocument/2006/relationships/externalLinkPath" Target="file:///D:\DATA%20Files\Downloads\&#36914;&#20986;&#21475;&#20540;&#34920;%20-%2011401-02&#20013;&#22283;&#38646;&#20214;&#36914;&#21475;.xlsx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2&#38646;&#20214;&#20986;&#21475;.xlsx" TargetMode="External"/><Relationship Id="rId1" Type="http://schemas.openxmlformats.org/officeDocument/2006/relationships/externalLinkPath" Target="file:///D:\DATA%20Files\Downloads\&#36914;&#20986;&#21475;&#20540;&#34920;%20-%20202602&#38646;&#20214;&#20986;&#21475;.xlsx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1-02&#38646;&#20214;&#20986;&#21475;.xlsx" TargetMode="External"/><Relationship Id="rId1" Type="http://schemas.openxmlformats.org/officeDocument/2006/relationships/externalLinkPath" Target="file:///D:\DATA%20Files\Downloads\&#36914;&#20986;&#21475;&#20540;&#34920;%20-%20202601-02&#38646;&#20214;&#20986;&#21475;.xlsx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2&#38646;&#20214;&#36914;&#21475;.xlsx" TargetMode="External"/><Relationship Id="rId1" Type="http://schemas.openxmlformats.org/officeDocument/2006/relationships/externalLinkPath" Target="file:///D:\DATA%20Files\Downloads\&#36914;&#20986;&#21475;&#20540;&#34920;%20-%20202602&#38646;&#20214;&#36914;&#21475;.xlsx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1-02&#38646;&#20214;&#36914;&#21475;.xlsx" TargetMode="External"/><Relationship Id="rId1" Type="http://schemas.openxmlformats.org/officeDocument/2006/relationships/externalLinkPath" Target="file:///D:\DATA%20Files\Downloads\&#36914;&#20986;&#21475;&#20540;&#34920;%20-%20202601-02&#38646;&#20214;&#36914;&#21475;.xlsx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1-2&#38646;&#20214;&#20986;&#21475;.xlsx" TargetMode="External"/><Relationship Id="rId1" Type="http://schemas.openxmlformats.org/officeDocument/2006/relationships/externalLinkPath" Target="file:///D:\DATA%20Files\Downloads\&#36914;&#20986;&#21475;&#20540;&#34920;%20-%201141-2&#38646;&#20214;&#20986;&#21475;.xlsx" TargetMode="External"/></Relationships>
</file>

<file path=xl/externalLinks/_rels/externalLink2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1-2&#38646;&#20214;&#36914;&#21475;.xlsx" TargetMode="External"/><Relationship Id="rId1" Type="http://schemas.openxmlformats.org/officeDocument/2006/relationships/externalLinkPath" Target="file:///D:\DATA%20Files\Downloads\&#36914;&#20986;&#21475;&#20540;&#34920;%20-%201141-2&#38646;&#20214;&#36914;&#21475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1-2&#25972;&#36554;&#20986;&#21475;.xlsx" TargetMode="External"/><Relationship Id="rId1" Type="http://schemas.openxmlformats.org/officeDocument/2006/relationships/externalLinkPath" Target="file:///D:\DATA%20Files\Downloads\&#36914;&#20986;&#21475;&#20540;&#34920;%20-%201141-2&#25972;&#36554;&#20986;&#2147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301&#33609;\&#21516;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A\Joanne\&#32113;&#35336;\2020&#32113;&#35336;\2020&#32113;&#35336;&#33609;&#26412;\2020&#24180;4&#26376;&#33609;&#26412;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2&#25972;&#36554;&#36914;&#21475;.xlsx" TargetMode="External"/><Relationship Id="rId1" Type="http://schemas.openxmlformats.org/officeDocument/2006/relationships/externalLinkPath" Target="file:///D:\DATA%20Files\Downloads\&#36914;&#20986;&#21475;&#20540;&#34920;%20-%20202602&#25972;&#36554;&#36914;&#21475;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601-02&#25972;&#36554;&#36914;&#21475;.xlsx" TargetMode="External"/><Relationship Id="rId1" Type="http://schemas.openxmlformats.org/officeDocument/2006/relationships/externalLinkPath" Target="file:///D:\DATA%20Files\Downloads\&#36914;&#20986;&#21475;&#20540;&#34920;%20-%20202601-02&#25972;&#36554;&#36914;&#21475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501-02&#25972;&#36554;&#36914;&#21475;.xlsx" TargetMode="External"/><Relationship Id="rId1" Type="http://schemas.openxmlformats.org/officeDocument/2006/relationships/externalLinkPath" Target="file:///D:\DATA%20Files\Downloads\&#36914;&#20986;&#21475;&#20540;&#34920;%20-%2011501-02&#25972;&#36554;&#36914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 t="str">
            <v>總計</v>
          </cell>
          <cell r="C10">
            <v>56279023</v>
          </cell>
          <cell r="D10">
            <v>59471</v>
          </cell>
        </row>
        <row r="11">
          <cell r="B11" t="str">
            <v>美國</v>
          </cell>
          <cell r="C11">
            <v>17222713</v>
          </cell>
          <cell r="D11">
            <v>22414</v>
          </cell>
        </row>
        <row r="12">
          <cell r="B12" t="str">
            <v>荷蘭</v>
          </cell>
          <cell r="C12">
            <v>8858915</v>
          </cell>
          <cell r="D12">
            <v>5346</v>
          </cell>
        </row>
        <row r="13">
          <cell r="B13" t="str">
            <v>英國</v>
          </cell>
          <cell r="C13">
            <v>5281088</v>
          </cell>
          <cell r="D13">
            <v>4226</v>
          </cell>
        </row>
        <row r="14">
          <cell r="B14" t="str">
            <v>澳大利亞</v>
          </cell>
          <cell r="C14">
            <v>3504783</v>
          </cell>
          <cell r="D14">
            <v>3324</v>
          </cell>
        </row>
        <row r="15">
          <cell r="B15" t="str">
            <v>加拿大</v>
          </cell>
          <cell r="C15">
            <v>2965792</v>
          </cell>
          <cell r="D15">
            <v>2097</v>
          </cell>
        </row>
        <row r="16">
          <cell r="B16" t="str">
            <v>德國</v>
          </cell>
          <cell r="C16">
            <v>2758819</v>
          </cell>
          <cell r="D16">
            <v>3537</v>
          </cell>
        </row>
        <row r="17">
          <cell r="B17" t="str">
            <v>法國</v>
          </cell>
          <cell r="C17">
            <v>2345200</v>
          </cell>
          <cell r="D17">
            <v>1237</v>
          </cell>
        </row>
        <row r="18">
          <cell r="B18" t="str">
            <v>日本</v>
          </cell>
          <cell r="C18">
            <v>1677575</v>
          </cell>
          <cell r="D18">
            <v>1641</v>
          </cell>
        </row>
        <row r="19">
          <cell r="B19" t="str">
            <v>義大利</v>
          </cell>
          <cell r="C19">
            <v>1418689</v>
          </cell>
          <cell r="D19">
            <v>887</v>
          </cell>
        </row>
        <row r="20">
          <cell r="B20" t="str">
            <v>韓國</v>
          </cell>
          <cell r="C20">
            <v>989864</v>
          </cell>
          <cell r="D20">
            <v>426</v>
          </cell>
        </row>
        <row r="21">
          <cell r="B21" t="str">
            <v>俄羅斯</v>
          </cell>
          <cell r="C21">
            <v>894805</v>
          </cell>
          <cell r="D21">
            <v>669</v>
          </cell>
        </row>
        <row r="22">
          <cell r="B22" t="str">
            <v>中國大陸</v>
          </cell>
          <cell r="C22">
            <v>835413</v>
          </cell>
          <cell r="D22">
            <v>377</v>
          </cell>
        </row>
        <row r="23">
          <cell r="B23" t="str">
            <v>波蘭</v>
          </cell>
          <cell r="C23">
            <v>777478</v>
          </cell>
          <cell r="D23">
            <v>820</v>
          </cell>
        </row>
        <row r="24">
          <cell r="B24" t="str">
            <v>紐西蘭</v>
          </cell>
          <cell r="C24">
            <v>756160</v>
          </cell>
          <cell r="D24">
            <v>871</v>
          </cell>
        </row>
        <row r="25">
          <cell r="B25" t="str">
            <v>西班牙</v>
          </cell>
          <cell r="C25">
            <v>625975</v>
          </cell>
          <cell r="D25">
            <v>389</v>
          </cell>
        </row>
        <row r="26">
          <cell r="B26" t="str">
            <v>挪威</v>
          </cell>
          <cell r="C26">
            <v>539024</v>
          </cell>
          <cell r="D26">
            <v>1025</v>
          </cell>
        </row>
        <row r="27">
          <cell r="B27" t="str">
            <v>丹麥</v>
          </cell>
          <cell r="C27">
            <v>451314</v>
          </cell>
          <cell r="D27">
            <v>4251</v>
          </cell>
        </row>
        <row r="28">
          <cell r="B28" t="str">
            <v>南非</v>
          </cell>
          <cell r="C28">
            <v>391732</v>
          </cell>
          <cell r="D28">
            <v>193</v>
          </cell>
        </row>
        <row r="29">
          <cell r="B29" t="str">
            <v>智利</v>
          </cell>
          <cell r="C29">
            <v>363985</v>
          </cell>
          <cell r="D29">
            <v>215</v>
          </cell>
        </row>
        <row r="30">
          <cell r="B30" t="str">
            <v>瑞士</v>
          </cell>
          <cell r="C30">
            <v>360658</v>
          </cell>
          <cell r="D30">
            <v>387</v>
          </cell>
        </row>
        <row r="31">
          <cell r="B31" t="str">
            <v>香港</v>
          </cell>
          <cell r="C31">
            <v>316408</v>
          </cell>
          <cell r="D31">
            <v>131</v>
          </cell>
        </row>
        <row r="32">
          <cell r="B32" t="str">
            <v>比利時</v>
          </cell>
          <cell r="C32">
            <v>269909</v>
          </cell>
          <cell r="D32">
            <v>239</v>
          </cell>
        </row>
        <row r="33">
          <cell r="B33" t="str">
            <v>以色列</v>
          </cell>
          <cell r="C33">
            <v>266075</v>
          </cell>
          <cell r="D33">
            <v>530</v>
          </cell>
        </row>
        <row r="34">
          <cell r="B34" t="str">
            <v>捷克</v>
          </cell>
          <cell r="C34">
            <v>243460</v>
          </cell>
          <cell r="D34">
            <v>807</v>
          </cell>
        </row>
        <row r="35">
          <cell r="B35" t="str">
            <v>印度</v>
          </cell>
          <cell r="C35">
            <v>218246</v>
          </cell>
          <cell r="D35">
            <v>229</v>
          </cell>
        </row>
        <row r="36">
          <cell r="B36" t="str">
            <v>哥倫比亞</v>
          </cell>
          <cell r="C36">
            <v>212575</v>
          </cell>
          <cell r="D36">
            <v>143</v>
          </cell>
        </row>
        <row r="37">
          <cell r="B37" t="str">
            <v>菲律賓</v>
          </cell>
          <cell r="C37">
            <v>193537</v>
          </cell>
          <cell r="D37">
            <v>129</v>
          </cell>
        </row>
        <row r="38">
          <cell r="B38" t="str">
            <v>烏拉圭</v>
          </cell>
          <cell r="C38">
            <v>188470</v>
          </cell>
          <cell r="D38">
            <v>128</v>
          </cell>
        </row>
        <row r="39">
          <cell r="B39" t="str">
            <v>愛沙尼亞</v>
          </cell>
          <cell r="C39">
            <v>171143</v>
          </cell>
          <cell r="D39">
            <v>440</v>
          </cell>
        </row>
        <row r="40">
          <cell r="B40" t="str">
            <v>瑞典</v>
          </cell>
          <cell r="C40">
            <v>156129</v>
          </cell>
          <cell r="D40">
            <v>830</v>
          </cell>
        </row>
        <row r="41">
          <cell r="B41" t="str">
            <v>泰國</v>
          </cell>
          <cell r="C41">
            <v>139530</v>
          </cell>
          <cell r="D41">
            <v>51</v>
          </cell>
        </row>
        <row r="42">
          <cell r="B42" t="str">
            <v>拉脫維亞</v>
          </cell>
          <cell r="C42">
            <v>128540</v>
          </cell>
          <cell r="D42">
            <v>242</v>
          </cell>
        </row>
        <row r="43">
          <cell r="B43" t="str">
            <v>阿拉伯聯合大公國</v>
          </cell>
          <cell r="C43">
            <v>113715</v>
          </cell>
          <cell r="D43">
            <v>65</v>
          </cell>
        </row>
        <row r="44">
          <cell r="B44" t="str">
            <v>阿根廷</v>
          </cell>
          <cell r="C44">
            <v>86474</v>
          </cell>
          <cell r="D44">
            <v>269</v>
          </cell>
        </row>
        <row r="45">
          <cell r="B45" t="str">
            <v>新加坡</v>
          </cell>
          <cell r="C45">
            <v>83971</v>
          </cell>
          <cell r="D45">
            <v>31</v>
          </cell>
        </row>
        <row r="46">
          <cell r="B46" t="str">
            <v>墨西哥</v>
          </cell>
          <cell r="C46">
            <v>72442</v>
          </cell>
          <cell r="D46">
            <v>22</v>
          </cell>
        </row>
        <row r="47">
          <cell r="B47" t="str">
            <v>克羅埃西亞</v>
          </cell>
          <cell r="C47">
            <v>70035</v>
          </cell>
          <cell r="D47">
            <v>250</v>
          </cell>
        </row>
        <row r="48">
          <cell r="B48" t="str">
            <v>芬蘭</v>
          </cell>
          <cell r="C48">
            <v>69781</v>
          </cell>
          <cell r="D48">
            <v>97</v>
          </cell>
        </row>
        <row r="49">
          <cell r="B49" t="str">
            <v>匈牙利</v>
          </cell>
          <cell r="C49">
            <v>69117</v>
          </cell>
          <cell r="D49">
            <v>265</v>
          </cell>
        </row>
        <row r="50">
          <cell r="B50" t="str">
            <v>馬來西亞</v>
          </cell>
          <cell r="C50">
            <v>57016</v>
          </cell>
          <cell r="D50">
            <v>48</v>
          </cell>
        </row>
        <row r="51">
          <cell r="B51" t="str">
            <v>越南</v>
          </cell>
          <cell r="C51">
            <v>41622</v>
          </cell>
          <cell r="D51">
            <v>27</v>
          </cell>
        </row>
        <row r="52">
          <cell r="B52" t="str">
            <v>哥斯大黎加</v>
          </cell>
          <cell r="C52">
            <v>23345</v>
          </cell>
          <cell r="D52">
            <v>11</v>
          </cell>
        </row>
        <row r="53">
          <cell r="B53" t="str">
            <v>薩爾瓦多</v>
          </cell>
          <cell r="C53">
            <v>14666</v>
          </cell>
          <cell r="D53">
            <v>4</v>
          </cell>
        </row>
        <row r="54">
          <cell r="B54" t="str">
            <v>哈薩克</v>
          </cell>
          <cell r="C54">
            <v>13684</v>
          </cell>
          <cell r="D54">
            <v>40</v>
          </cell>
        </row>
        <row r="55">
          <cell r="B55" t="str">
            <v>巴西</v>
          </cell>
          <cell r="C55">
            <v>13114</v>
          </cell>
          <cell r="D55">
            <v>11</v>
          </cell>
        </row>
        <row r="56">
          <cell r="B56" t="str">
            <v>巴拉圭</v>
          </cell>
          <cell r="C56">
            <v>12924</v>
          </cell>
          <cell r="D56">
            <v>12</v>
          </cell>
        </row>
        <row r="57">
          <cell r="B57" t="str">
            <v>希臘</v>
          </cell>
          <cell r="C57">
            <v>7728</v>
          </cell>
          <cell r="D57">
            <v>5</v>
          </cell>
        </row>
        <row r="58">
          <cell r="B58" t="str">
            <v>孟加拉</v>
          </cell>
          <cell r="C58">
            <v>5226</v>
          </cell>
          <cell r="D58">
            <v>60</v>
          </cell>
        </row>
        <row r="59">
          <cell r="B59" t="str">
            <v>迦納</v>
          </cell>
          <cell r="C59">
            <v>127</v>
          </cell>
          <cell r="D59">
            <v>14</v>
          </cell>
        </row>
        <row r="60">
          <cell r="B60" t="str">
            <v>奈及利亞</v>
          </cell>
          <cell r="C60">
            <v>32</v>
          </cell>
          <cell r="D60">
            <v>9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 t="str">
            <v>總計</v>
          </cell>
          <cell r="C10">
            <v>48690400</v>
          </cell>
          <cell r="D10">
            <v>25178</v>
          </cell>
        </row>
        <row r="11">
          <cell r="B11" t="str">
            <v>荷蘭</v>
          </cell>
          <cell r="C11">
            <v>19957304</v>
          </cell>
          <cell r="D11">
            <v>12055</v>
          </cell>
        </row>
        <row r="12">
          <cell r="B12" t="str">
            <v>美國</v>
          </cell>
          <cell r="C12">
            <v>13172886</v>
          </cell>
          <cell r="D12">
            <v>5417</v>
          </cell>
        </row>
        <row r="13">
          <cell r="B13" t="str">
            <v>德國</v>
          </cell>
          <cell r="C13">
            <v>2782862</v>
          </cell>
          <cell r="D13">
            <v>1241</v>
          </cell>
        </row>
        <row r="14">
          <cell r="B14" t="str">
            <v>加拿大</v>
          </cell>
          <cell r="C14">
            <v>2013935</v>
          </cell>
          <cell r="D14">
            <v>843</v>
          </cell>
        </row>
        <row r="15">
          <cell r="B15" t="str">
            <v>澳大利亞</v>
          </cell>
          <cell r="C15">
            <v>1473995</v>
          </cell>
          <cell r="D15">
            <v>833</v>
          </cell>
        </row>
        <row r="16">
          <cell r="B16" t="str">
            <v>瑞士</v>
          </cell>
          <cell r="C16">
            <v>1432816</v>
          </cell>
          <cell r="D16">
            <v>522</v>
          </cell>
        </row>
        <row r="17">
          <cell r="B17" t="str">
            <v>法國</v>
          </cell>
          <cell r="C17">
            <v>913241</v>
          </cell>
          <cell r="D17">
            <v>309</v>
          </cell>
        </row>
        <row r="18">
          <cell r="B18" t="str">
            <v>英國</v>
          </cell>
          <cell r="C18">
            <v>898005</v>
          </cell>
          <cell r="D18">
            <v>634</v>
          </cell>
        </row>
        <row r="19">
          <cell r="B19" t="str">
            <v>義大利</v>
          </cell>
          <cell r="C19">
            <v>781343</v>
          </cell>
          <cell r="D19">
            <v>307</v>
          </cell>
        </row>
        <row r="20">
          <cell r="B20" t="str">
            <v>西班牙</v>
          </cell>
          <cell r="C20">
            <v>733925</v>
          </cell>
          <cell r="D20">
            <v>359</v>
          </cell>
        </row>
        <row r="21">
          <cell r="B21" t="str">
            <v>波蘭</v>
          </cell>
          <cell r="C21">
            <v>733480</v>
          </cell>
          <cell r="D21">
            <v>419</v>
          </cell>
        </row>
        <row r="22">
          <cell r="B22" t="str">
            <v>紐西蘭</v>
          </cell>
          <cell r="C22">
            <v>407381</v>
          </cell>
          <cell r="D22">
            <v>199</v>
          </cell>
        </row>
        <row r="23">
          <cell r="B23" t="str">
            <v>智利</v>
          </cell>
          <cell r="C23">
            <v>368989</v>
          </cell>
          <cell r="D23">
            <v>105</v>
          </cell>
        </row>
        <row r="24">
          <cell r="B24" t="str">
            <v>南非</v>
          </cell>
          <cell r="C24">
            <v>338740</v>
          </cell>
          <cell r="D24">
            <v>140</v>
          </cell>
        </row>
        <row r="25">
          <cell r="B25" t="str">
            <v>丹麥</v>
          </cell>
          <cell r="C25">
            <v>338708</v>
          </cell>
          <cell r="D25">
            <v>165</v>
          </cell>
        </row>
        <row r="26">
          <cell r="B26" t="str">
            <v>烏拉圭</v>
          </cell>
          <cell r="C26">
            <v>337092</v>
          </cell>
          <cell r="D26">
            <v>94</v>
          </cell>
        </row>
        <row r="27">
          <cell r="B27" t="str">
            <v>瑞典</v>
          </cell>
          <cell r="C27">
            <v>281818</v>
          </cell>
          <cell r="D27">
            <v>790</v>
          </cell>
        </row>
        <row r="28">
          <cell r="B28" t="str">
            <v>阿拉伯聯合大公國</v>
          </cell>
          <cell r="C28">
            <v>250459</v>
          </cell>
          <cell r="D28">
            <v>169</v>
          </cell>
        </row>
        <row r="29">
          <cell r="B29" t="str">
            <v>日本</v>
          </cell>
          <cell r="C29">
            <v>228129</v>
          </cell>
          <cell r="D29">
            <v>215</v>
          </cell>
        </row>
        <row r="30">
          <cell r="B30" t="str">
            <v>秘魯</v>
          </cell>
          <cell r="C30">
            <v>203167</v>
          </cell>
          <cell r="D30">
            <v>52</v>
          </cell>
        </row>
        <row r="31">
          <cell r="B31" t="str">
            <v>哥斯大黎加</v>
          </cell>
          <cell r="C31">
            <v>188343</v>
          </cell>
          <cell r="D31">
            <v>42</v>
          </cell>
        </row>
        <row r="32">
          <cell r="B32" t="str">
            <v>哥倫比亞</v>
          </cell>
          <cell r="C32">
            <v>158283</v>
          </cell>
          <cell r="D32">
            <v>43</v>
          </cell>
        </row>
        <row r="33">
          <cell r="B33" t="str">
            <v>墨西哥</v>
          </cell>
          <cell r="C33">
            <v>141273</v>
          </cell>
          <cell r="D33">
            <v>31</v>
          </cell>
        </row>
        <row r="34">
          <cell r="B34" t="str">
            <v>巴西</v>
          </cell>
          <cell r="C34">
            <v>131232</v>
          </cell>
          <cell r="D34">
            <v>43</v>
          </cell>
        </row>
        <row r="35">
          <cell r="B35" t="str">
            <v>比利時</v>
          </cell>
          <cell r="C35">
            <v>128096</v>
          </cell>
          <cell r="D35">
            <v>37</v>
          </cell>
        </row>
        <row r="36">
          <cell r="B36" t="str">
            <v>巴拉圭</v>
          </cell>
          <cell r="C36">
            <v>100000</v>
          </cell>
          <cell r="D36">
            <v>35</v>
          </cell>
        </row>
        <row r="37">
          <cell r="B37" t="str">
            <v>以色列</v>
          </cell>
          <cell r="C37">
            <v>72189</v>
          </cell>
          <cell r="D37">
            <v>28</v>
          </cell>
        </row>
        <row r="38">
          <cell r="B38" t="str">
            <v>阿根廷</v>
          </cell>
          <cell r="C38">
            <v>35128</v>
          </cell>
          <cell r="D38">
            <v>13</v>
          </cell>
        </row>
        <row r="39">
          <cell r="B39" t="str">
            <v>馬來西亞</v>
          </cell>
          <cell r="C39">
            <v>28255</v>
          </cell>
          <cell r="D39">
            <v>9</v>
          </cell>
        </row>
        <row r="40">
          <cell r="B40" t="str">
            <v>菲律賓</v>
          </cell>
          <cell r="C40">
            <v>19923</v>
          </cell>
          <cell r="D40">
            <v>7</v>
          </cell>
        </row>
        <row r="41">
          <cell r="B41" t="str">
            <v>韓國</v>
          </cell>
          <cell r="C41">
            <v>16756</v>
          </cell>
          <cell r="D41">
            <v>8</v>
          </cell>
        </row>
        <row r="42">
          <cell r="B42" t="str">
            <v>香港</v>
          </cell>
          <cell r="C42">
            <v>13620</v>
          </cell>
          <cell r="D42">
            <v>7</v>
          </cell>
        </row>
        <row r="43">
          <cell r="B43" t="str">
            <v>中國大陸</v>
          </cell>
          <cell r="C43">
            <v>7380</v>
          </cell>
          <cell r="D43">
            <v>5</v>
          </cell>
        </row>
        <row r="44">
          <cell r="B44" t="str">
            <v>匈牙利</v>
          </cell>
          <cell r="C44">
            <v>1647</v>
          </cell>
          <cell r="D44">
            <v>2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 t="str">
            <v>總計</v>
          </cell>
          <cell r="C10">
            <v>89287930</v>
          </cell>
          <cell r="D10">
            <v>47658</v>
          </cell>
        </row>
        <row r="11">
          <cell r="B11" t="str">
            <v>荷蘭</v>
          </cell>
          <cell r="C11">
            <v>34112745</v>
          </cell>
          <cell r="D11">
            <v>19784</v>
          </cell>
        </row>
        <row r="12">
          <cell r="B12" t="str">
            <v>美國</v>
          </cell>
          <cell r="C12">
            <v>21327787</v>
          </cell>
          <cell r="D12">
            <v>8665</v>
          </cell>
        </row>
        <row r="13">
          <cell r="B13" t="str">
            <v>德國</v>
          </cell>
          <cell r="C13">
            <v>8631769</v>
          </cell>
          <cell r="D13">
            <v>6685</v>
          </cell>
        </row>
        <row r="14">
          <cell r="B14" t="str">
            <v>英國</v>
          </cell>
          <cell r="C14">
            <v>4296452</v>
          </cell>
          <cell r="D14">
            <v>2104</v>
          </cell>
        </row>
        <row r="15">
          <cell r="B15" t="str">
            <v>加拿大</v>
          </cell>
          <cell r="C15">
            <v>2950279</v>
          </cell>
          <cell r="D15">
            <v>1285</v>
          </cell>
        </row>
        <row r="16">
          <cell r="B16" t="str">
            <v>澳大利亞</v>
          </cell>
          <cell r="C16">
            <v>2729180</v>
          </cell>
          <cell r="D16">
            <v>1359</v>
          </cell>
        </row>
        <row r="17">
          <cell r="B17" t="str">
            <v>瑞士</v>
          </cell>
          <cell r="C17">
            <v>2092030</v>
          </cell>
          <cell r="D17">
            <v>839</v>
          </cell>
        </row>
        <row r="18">
          <cell r="B18" t="str">
            <v>義大利</v>
          </cell>
          <cell r="C18">
            <v>1634530</v>
          </cell>
          <cell r="D18">
            <v>646</v>
          </cell>
        </row>
        <row r="19">
          <cell r="B19" t="str">
            <v>紐西蘭</v>
          </cell>
          <cell r="C19">
            <v>1433198</v>
          </cell>
          <cell r="D19">
            <v>648</v>
          </cell>
        </row>
        <row r="20">
          <cell r="B20" t="str">
            <v>波蘭</v>
          </cell>
          <cell r="C20">
            <v>1393677</v>
          </cell>
          <cell r="D20">
            <v>803</v>
          </cell>
        </row>
        <row r="21">
          <cell r="B21" t="str">
            <v>法國</v>
          </cell>
          <cell r="C21">
            <v>1215683</v>
          </cell>
          <cell r="D21">
            <v>405</v>
          </cell>
        </row>
        <row r="22">
          <cell r="B22" t="str">
            <v>西班牙</v>
          </cell>
          <cell r="C22">
            <v>1021873</v>
          </cell>
          <cell r="D22">
            <v>468</v>
          </cell>
        </row>
        <row r="23">
          <cell r="B23" t="str">
            <v>烏拉圭</v>
          </cell>
          <cell r="C23">
            <v>818475</v>
          </cell>
          <cell r="D23">
            <v>252</v>
          </cell>
        </row>
        <row r="24">
          <cell r="B24" t="str">
            <v>丹麥</v>
          </cell>
          <cell r="C24">
            <v>742768</v>
          </cell>
          <cell r="D24">
            <v>709</v>
          </cell>
        </row>
        <row r="25">
          <cell r="B25" t="str">
            <v>智利</v>
          </cell>
          <cell r="C25">
            <v>724904</v>
          </cell>
          <cell r="D25">
            <v>227</v>
          </cell>
        </row>
        <row r="26">
          <cell r="B26" t="str">
            <v>日本</v>
          </cell>
          <cell r="C26">
            <v>657752</v>
          </cell>
          <cell r="D26">
            <v>693</v>
          </cell>
        </row>
        <row r="27">
          <cell r="B27" t="str">
            <v>挪威</v>
          </cell>
          <cell r="C27">
            <v>486204</v>
          </cell>
          <cell r="D27">
            <v>291</v>
          </cell>
        </row>
        <row r="28">
          <cell r="B28" t="str">
            <v>南非</v>
          </cell>
          <cell r="C28">
            <v>396114</v>
          </cell>
          <cell r="D28">
            <v>166</v>
          </cell>
        </row>
        <row r="29">
          <cell r="B29" t="str">
            <v>哥倫比亞</v>
          </cell>
          <cell r="C29">
            <v>356253</v>
          </cell>
          <cell r="D29">
            <v>110</v>
          </cell>
        </row>
        <row r="30">
          <cell r="B30" t="str">
            <v>墨西哥</v>
          </cell>
          <cell r="C30">
            <v>334962</v>
          </cell>
          <cell r="D30">
            <v>79</v>
          </cell>
        </row>
        <row r="31">
          <cell r="B31" t="str">
            <v>瑞典</v>
          </cell>
          <cell r="C31">
            <v>281818</v>
          </cell>
          <cell r="D31">
            <v>790</v>
          </cell>
        </row>
        <row r="32">
          <cell r="B32" t="str">
            <v>阿拉伯聯合大公國</v>
          </cell>
          <cell r="C32">
            <v>253884</v>
          </cell>
          <cell r="D32">
            <v>172</v>
          </cell>
        </row>
        <row r="33">
          <cell r="B33" t="str">
            <v>秘魯</v>
          </cell>
          <cell r="C33">
            <v>203167</v>
          </cell>
          <cell r="D33">
            <v>52</v>
          </cell>
        </row>
        <row r="34">
          <cell r="B34" t="str">
            <v>哥斯大黎加</v>
          </cell>
          <cell r="C34">
            <v>188343</v>
          </cell>
          <cell r="D34">
            <v>42</v>
          </cell>
        </row>
        <row r="35">
          <cell r="B35" t="str">
            <v>以色列</v>
          </cell>
          <cell r="C35">
            <v>143676</v>
          </cell>
          <cell r="D35">
            <v>63</v>
          </cell>
        </row>
        <row r="36">
          <cell r="B36" t="str">
            <v>厄瓜多</v>
          </cell>
          <cell r="C36">
            <v>135617</v>
          </cell>
          <cell r="D36">
            <v>38</v>
          </cell>
        </row>
        <row r="37">
          <cell r="B37" t="str">
            <v>巴西</v>
          </cell>
          <cell r="C37">
            <v>131232</v>
          </cell>
          <cell r="D37">
            <v>43</v>
          </cell>
        </row>
        <row r="38">
          <cell r="B38" t="str">
            <v>比利時</v>
          </cell>
          <cell r="C38">
            <v>128096</v>
          </cell>
          <cell r="D38">
            <v>37</v>
          </cell>
        </row>
        <row r="39">
          <cell r="B39" t="str">
            <v>匈牙利</v>
          </cell>
          <cell r="C39">
            <v>125529</v>
          </cell>
          <cell r="D39">
            <v>71</v>
          </cell>
        </row>
        <row r="40">
          <cell r="B40" t="str">
            <v>巴拉圭</v>
          </cell>
          <cell r="C40">
            <v>100000</v>
          </cell>
          <cell r="D40">
            <v>35</v>
          </cell>
        </row>
        <row r="41">
          <cell r="B41" t="str">
            <v>阿根廷</v>
          </cell>
          <cell r="C41">
            <v>76105</v>
          </cell>
          <cell r="D41">
            <v>25</v>
          </cell>
        </row>
        <row r="42">
          <cell r="B42" t="str">
            <v>韓國</v>
          </cell>
          <cell r="C42">
            <v>60048</v>
          </cell>
          <cell r="D42">
            <v>29</v>
          </cell>
        </row>
        <row r="43">
          <cell r="B43" t="str">
            <v>香港</v>
          </cell>
          <cell r="C43">
            <v>28336</v>
          </cell>
          <cell r="D43">
            <v>13</v>
          </cell>
        </row>
        <row r="44">
          <cell r="B44" t="str">
            <v>馬來西亞</v>
          </cell>
          <cell r="C44">
            <v>28255</v>
          </cell>
          <cell r="D44">
            <v>9</v>
          </cell>
        </row>
        <row r="45">
          <cell r="B45" t="str">
            <v>菲律賓</v>
          </cell>
          <cell r="C45">
            <v>19923</v>
          </cell>
          <cell r="D45">
            <v>7</v>
          </cell>
        </row>
        <row r="46">
          <cell r="B46" t="str">
            <v>立陶宛</v>
          </cell>
          <cell r="C46">
            <v>19886</v>
          </cell>
          <cell r="D46">
            <v>9</v>
          </cell>
        </row>
        <row r="47">
          <cell r="B47" t="str">
            <v>中國大陸</v>
          </cell>
          <cell r="C47">
            <v>7380</v>
          </cell>
          <cell r="D47">
            <v>5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 t="str">
            <v>總計</v>
          </cell>
          <cell r="C10">
            <v>112718368</v>
          </cell>
          <cell r="D10">
            <v>53457</v>
          </cell>
        </row>
        <row r="11">
          <cell r="B11" t="str">
            <v>美國</v>
          </cell>
          <cell r="C11">
            <v>40271185</v>
          </cell>
          <cell r="D11">
            <v>16571</v>
          </cell>
        </row>
        <row r="12">
          <cell r="B12" t="str">
            <v>荷蘭</v>
          </cell>
          <cell r="C12">
            <v>33779255</v>
          </cell>
          <cell r="D12">
            <v>16570</v>
          </cell>
        </row>
        <row r="13">
          <cell r="B13" t="str">
            <v>德國</v>
          </cell>
          <cell r="C13">
            <v>10608538</v>
          </cell>
          <cell r="D13">
            <v>7938</v>
          </cell>
        </row>
        <row r="14">
          <cell r="B14" t="str">
            <v>英國</v>
          </cell>
          <cell r="C14">
            <v>5526016</v>
          </cell>
          <cell r="D14">
            <v>2325</v>
          </cell>
        </row>
        <row r="15">
          <cell r="B15" t="str">
            <v>義大利</v>
          </cell>
          <cell r="C15">
            <v>4287755</v>
          </cell>
          <cell r="D15">
            <v>1462</v>
          </cell>
        </row>
        <row r="16">
          <cell r="B16" t="str">
            <v>澳大利亞</v>
          </cell>
          <cell r="C16">
            <v>3121227</v>
          </cell>
          <cell r="D16">
            <v>1320</v>
          </cell>
        </row>
        <row r="17">
          <cell r="B17" t="str">
            <v>西班牙</v>
          </cell>
          <cell r="C17">
            <v>2538351</v>
          </cell>
          <cell r="D17">
            <v>932</v>
          </cell>
        </row>
        <row r="18">
          <cell r="B18" t="str">
            <v>紐西蘭</v>
          </cell>
          <cell r="C18">
            <v>1795797</v>
          </cell>
          <cell r="D18">
            <v>712</v>
          </cell>
        </row>
        <row r="19">
          <cell r="B19" t="str">
            <v>南非</v>
          </cell>
          <cell r="C19">
            <v>1464226</v>
          </cell>
          <cell r="D19">
            <v>456</v>
          </cell>
        </row>
        <row r="20">
          <cell r="B20" t="str">
            <v>加拿大</v>
          </cell>
          <cell r="C20">
            <v>1392062</v>
          </cell>
          <cell r="D20">
            <v>561</v>
          </cell>
        </row>
        <row r="21">
          <cell r="B21" t="str">
            <v>瑞士</v>
          </cell>
          <cell r="C21">
            <v>1205241</v>
          </cell>
          <cell r="D21">
            <v>524</v>
          </cell>
        </row>
        <row r="22">
          <cell r="B22" t="str">
            <v>法國</v>
          </cell>
          <cell r="C22">
            <v>909886</v>
          </cell>
          <cell r="D22">
            <v>691</v>
          </cell>
        </row>
        <row r="23">
          <cell r="B23" t="str">
            <v>墨西哥</v>
          </cell>
          <cell r="C23">
            <v>763527</v>
          </cell>
          <cell r="D23">
            <v>183</v>
          </cell>
        </row>
        <row r="24">
          <cell r="B24" t="str">
            <v>挪威</v>
          </cell>
          <cell r="C24">
            <v>574155</v>
          </cell>
          <cell r="D24">
            <v>320</v>
          </cell>
        </row>
        <row r="25">
          <cell r="B25" t="str">
            <v>智利</v>
          </cell>
          <cell r="C25">
            <v>564869</v>
          </cell>
          <cell r="D25">
            <v>137</v>
          </cell>
        </row>
        <row r="26">
          <cell r="B26" t="str">
            <v>巴拿馬</v>
          </cell>
          <cell r="C26">
            <v>554318</v>
          </cell>
          <cell r="D26">
            <v>147</v>
          </cell>
        </row>
        <row r="27">
          <cell r="B27" t="str">
            <v>日本</v>
          </cell>
          <cell r="C27">
            <v>528610</v>
          </cell>
          <cell r="D27">
            <v>638</v>
          </cell>
        </row>
        <row r="28">
          <cell r="B28" t="str">
            <v>哥倫比亞</v>
          </cell>
          <cell r="C28">
            <v>438724</v>
          </cell>
          <cell r="D28">
            <v>124</v>
          </cell>
        </row>
        <row r="29">
          <cell r="B29" t="str">
            <v>瑞典</v>
          </cell>
          <cell r="C29">
            <v>382595</v>
          </cell>
          <cell r="D29">
            <v>1031</v>
          </cell>
        </row>
        <row r="30">
          <cell r="B30" t="str">
            <v>中國大陸</v>
          </cell>
          <cell r="C30">
            <v>327830</v>
          </cell>
          <cell r="D30">
            <v>99</v>
          </cell>
        </row>
        <row r="31">
          <cell r="B31" t="str">
            <v>波蘭</v>
          </cell>
          <cell r="C31">
            <v>247727</v>
          </cell>
          <cell r="D31">
            <v>115</v>
          </cell>
        </row>
        <row r="32">
          <cell r="B32" t="str">
            <v>哥斯大黎加</v>
          </cell>
          <cell r="C32">
            <v>232164</v>
          </cell>
          <cell r="D32">
            <v>47</v>
          </cell>
        </row>
        <row r="33">
          <cell r="B33" t="str">
            <v>丹麥</v>
          </cell>
          <cell r="C33">
            <v>226744</v>
          </cell>
          <cell r="D33">
            <v>134</v>
          </cell>
        </row>
        <row r="34">
          <cell r="B34" t="str">
            <v>阿根廷</v>
          </cell>
          <cell r="C34">
            <v>182704</v>
          </cell>
          <cell r="D34">
            <v>62</v>
          </cell>
        </row>
        <row r="35">
          <cell r="B35" t="str">
            <v>韓國</v>
          </cell>
          <cell r="C35">
            <v>182240</v>
          </cell>
          <cell r="D35">
            <v>50</v>
          </cell>
        </row>
        <row r="36">
          <cell r="B36" t="str">
            <v>匈牙利</v>
          </cell>
          <cell r="C36">
            <v>162191</v>
          </cell>
          <cell r="D36">
            <v>95</v>
          </cell>
        </row>
        <row r="37">
          <cell r="B37" t="str">
            <v>秘魯</v>
          </cell>
          <cell r="C37">
            <v>137428</v>
          </cell>
          <cell r="D37">
            <v>44</v>
          </cell>
        </row>
        <row r="38">
          <cell r="B38" t="str">
            <v>以色列</v>
          </cell>
          <cell r="C38">
            <v>76699</v>
          </cell>
          <cell r="D38">
            <v>72</v>
          </cell>
        </row>
        <row r="39">
          <cell r="B39" t="str">
            <v>巴西</v>
          </cell>
          <cell r="C39">
            <v>70538</v>
          </cell>
          <cell r="D39">
            <v>24</v>
          </cell>
        </row>
        <row r="40">
          <cell r="B40" t="str">
            <v>尼泊爾</v>
          </cell>
          <cell r="C40">
            <v>42203</v>
          </cell>
          <cell r="D40">
            <v>16</v>
          </cell>
        </row>
        <row r="41">
          <cell r="B41" t="str">
            <v>阿拉伯聯合大公國</v>
          </cell>
          <cell r="C41">
            <v>38326</v>
          </cell>
          <cell r="D41">
            <v>10</v>
          </cell>
        </row>
        <row r="42">
          <cell r="B42" t="str">
            <v>捷克</v>
          </cell>
          <cell r="C42">
            <v>37778</v>
          </cell>
          <cell r="D42">
            <v>10</v>
          </cell>
        </row>
        <row r="43">
          <cell r="B43" t="str">
            <v>馬來西亞</v>
          </cell>
          <cell r="C43">
            <v>10375</v>
          </cell>
          <cell r="D43">
            <v>9</v>
          </cell>
        </row>
        <row r="44">
          <cell r="B44" t="str">
            <v>巴林</v>
          </cell>
          <cell r="C44">
            <v>9460</v>
          </cell>
          <cell r="D44">
            <v>2</v>
          </cell>
        </row>
        <row r="45">
          <cell r="B45" t="str">
            <v>奧地利</v>
          </cell>
          <cell r="C45">
            <v>9395</v>
          </cell>
          <cell r="D45">
            <v>2</v>
          </cell>
        </row>
        <row r="46">
          <cell r="B46" t="str">
            <v>香港</v>
          </cell>
          <cell r="C46">
            <v>8486</v>
          </cell>
          <cell r="D46">
            <v>16</v>
          </cell>
        </row>
        <row r="47">
          <cell r="B47" t="str">
            <v>摩洛哥</v>
          </cell>
          <cell r="C47">
            <v>4834</v>
          </cell>
          <cell r="D47">
            <v>1</v>
          </cell>
        </row>
        <row r="48">
          <cell r="B48" t="str">
            <v>菲律賓</v>
          </cell>
          <cell r="C48">
            <v>2834</v>
          </cell>
          <cell r="D48">
            <v>6</v>
          </cell>
        </row>
        <row r="49">
          <cell r="B49" t="str">
            <v>比利時</v>
          </cell>
          <cell r="C49">
            <v>2075</v>
          </cell>
          <cell r="D49">
            <v>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 t="str">
            <v>總計</v>
          </cell>
          <cell r="C10">
            <v>329513</v>
          </cell>
          <cell r="D10">
            <v>398</v>
          </cell>
        </row>
        <row r="11">
          <cell r="B11" t="str">
            <v>韓國</v>
          </cell>
          <cell r="C11">
            <v>148018</v>
          </cell>
          <cell r="D11">
            <v>140</v>
          </cell>
        </row>
        <row r="12">
          <cell r="B12" t="str">
            <v>荷蘭</v>
          </cell>
          <cell r="C12">
            <v>61387</v>
          </cell>
          <cell r="D12">
            <v>115</v>
          </cell>
        </row>
        <row r="13">
          <cell r="B13" t="str">
            <v>香港</v>
          </cell>
          <cell r="C13">
            <v>47979</v>
          </cell>
          <cell r="D13">
            <v>40</v>
          </cell>
        </row>
        <row r="14">
          <cell r="B14" t="str">
            <v>中國大陸</v>
          </cell>
          <cell r="C14">
            <v>31938</v>
          </cell>
          <cell r="D14">
            <v>29</v>
          </cell>
        </row>
        <row r="15">
          <cell r="B15" t="str">
            <v>日本</v>
          </cell>
          <cell r="C15">
            <v>19544</v>
          </cell>
          <cell r="D15">
            <v>55</v>
          </cell>
        </row>
        <row r="16">
          <cell r="B16" t="str">
            <v>新加坡</v>
          </cell>
          <cell r="C16">
            <v>18776</v>
          </cell>
          <cell r="D16">
            <v>15</v>
          </cell>
        </row>
        <row r="17">
          <cell r="B17" t="str">
            <v>沙烏地阿拉伯</v>
          </cell>
          <cell r="C17">
            <v>1744</v>
          </cell>
          <cell r="D17">
            <v>1</v>
          </cell>
        </row>
        <row r="18">
          <cell r="B18" t="str">
            <v>美國</v>
          </cell>
          <cell r="C18">
            <v>95</v>
          </cell>
          <cell r="D18">
            <v>2</v>
          </cell>
        </row>
        <row r="19">
          <cell r="B19" t="str">
            <v>柬埔寨</v>
          </cell>
          <cell r="C19">
            <v>32</v>
          </cell>
          <cell r="D19">
            <v>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折1"/>
    </sheetNames>
    <sheetDataSet>
      <sheetData sheetId="0">
        <row r="10">
          <cell r="B10" t="str">
            <v>總計</v>
          </cell>
        </row>
        <row r="11">
          <cell r="C11" t="str">
            <v>日本</v>
          </cell>
          <cell r="D11" t="str">
            <v>Japan</v>
          </cell>
          <cell r="E11">
            <v>226275</v>
          </cell>
          <cell r="F11">
            <v>3402</v>
          </cell>
          <cell r="G11">
            <v>259</v>
          </cell>
        </row>
        <row r="12">
          <cell r="C12" t="str">
            <v>韓國</v>
          </cell>
          <cell r="D12" t="str">
            <v>Republic of Korea</v>
          </cell>
          <cell r="E12">
            <v>112941</v>
          </cell>
          <cell r="F12">
            <v>3183</v>
          </cell>
          <cell r="G12">
            <v>300</v>
          </cell>
        </row>
        <row r="13">
          <cell r="C13" t="str">
            <v>中國大陸</v>
          </cell>
          <cell r="D13" t="str">
            <v>China</v>
          </cell>
          <cell r="E13">
            <v>52320</v>
          </cell>
          <cell r="F13">
            <v>425</v>
          </cell>
          <cell r="G13">
            <v>28</v>
          </cell>
        </row>
        <row r="14">
          <cell r="C14" t="str">
            <v>西班牙</v>
          </cell>
          <cell r="D14" t="str">
            <v>Spain</v>
          </cell>
          <cell r="E14">
            <v>40131</v>
          </cell>
          <cell r="F14">
            <v>638</v>
          </cell>
          <cell r="G14">
            <v>48</v>
          </cell>
        </row>
        <row r="15">
          <cell r="C15" t="str">
            <v>俄羅斯</v>
          </cell>
          <cell r="D15" t="str">
            <v>Russian Federation</v>
          </cell>
          <cell r="E15">
            <v>24967</v>
          </cell>
          <cell r="F15">
            <v>240</v>
          </cell>
          <cell r="G15">
            <v>20</v>
          </cell>
        </row>
        <row r="16">
          <cell r="C16" t="str">
            <v>智利</v>
          </cell>
          <cell r="D16" t="str">
            <v>Chile</v>
          </cell>
          <cell r="E16">
            <v>5882</v>
          </cell>
          <cell r="F16">
            <v>241</v>
          </cell>
          <cell r="G16">
            <v>1000</v>
          </cell>
        </row>
        <row r="17">
          <cell r="C17" t="str">
            <v>菲律賓</v>
          </cell>
          <cell r="D17" t="str">
            <v>Philippines</v>
          </cell>
          <cell r="E17">
            <v>327</v>
          </cell>
          <cell r="F17">
            <v>17</v>
          </cell>
          <cell r="G17">
            <v>1</v>
          </cell>
        </row>
        <row r="18">
          <cell r="C18" t="str">
            <v>泰國</v>
          </cell>
          <cell r="D18" t="str">
            <v>Thailand</v>
          </cell>
          <cell r="E18">
            <v>261</v>
          </cell>
          <cell r="F18">
            <v>72</v>
          </cell>
          <cell r="G18">
            <v>5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>
            <v>87149120007</v>
          </cell>
          <cell r="C10" t="str">
            <v>其他車架及叉及其零件</v>
          </cell>
          <cell r="D10">
            <v>2265031</v>
          </cell>
          <cell r="E10">
            <v>25607</v>
          </cell>
        </row>
        <row r="11">
          <cell r="B11">
            <v>87149490009</v>
          </cell>
          <cell r="C11" t="str">
            <v>其他煞車器及其零件</v>
          </cell>
          <cell r="D11">
            <v>1605101</v>
          </cell>
          <cell r="E11">
            <v>33484</v>
          </cell>
        </row>
        <row r="12">
          <cell r="B12">
            <v>87149320906</v>
          </cell>
          <cell r="C12" t="str">
            <v>其他飛輪之鏈輪</v>
          </cell>
          <cell r="D12">
            <v>717169</v>
          </cell>
          <cell r="E12">
            <v>25318</v>
          </cell>
        </row>
        <row r="13">
          <cell r="B13">
            <v>87149990111</v>
          </cell>
          <cell r="C13" t="str">
            <v>腳踏車用變速器</v>
          </cell>
          <cell r="D13">
            <v>710358</v>
          </cell>
          <cell r="E13">
            <v>4302</v>
          </cell>
        </row>
        <row r="14">
          <cell r="B14">
            <v>87149310007</v>
          </cell>
          <cell r="C14" t="str">
            <v>輪轂，但倒煞車輪轂及輪轂煞車除外</v>
          </cell>
          <cell r="D14">
            <v>600412</v>
          </cell>
          <cell r="E14">
            <v>4442</v>
          </cell>
        </row>
        <row r="15">
          <cell r="B15">
            <v>87149620002</v>
          </cell>
          <cell r="C15" t="str">
            <v>曲柄齒輪及其零件</v>
          </cell>
          <cell r="D15">
            <v>302217</v>
          </cell>
          <cell r="E15">
            <v>4346</v>
          </cell>
        </row>
        <row r="16">
          <cell r="B16">
            <v>87149200304</v>
          </cell>
          <cell r="C16" t="str">
            <v>輪圈及輪幅</v>
          </cell>
          <cell r="D16">
            <v>257206</v>
          </cell>
          <cell r="E16">
            <v>1360</v>
          </cell>
        </row>
        <row r="17">
          <cell r="B17">
            <v>87149990166</v>
          </cell>
          <cell r="C17" t="str">
            <v>腳踏車用把手</v>
          </cell>
          <cell r="D17">
            <v>253025</v>
          </cell>
          <cell r="E17">
            <v>8232</v>
          </cell>
        </row>
        <row r="18">
          <cell r="B18">
            <v>87149990148</v>
          </cell>
          <cell r="C18" t="str">
            <v>腳踏車用把手豎管</v>
          </cell>
          <cell r="D18">
            <v>168165</v>
          </cell>
          <cell r="E18">
            <v>7546</v>
          </cell>
        </row>
        <row r="19">
          <cell r="B19">
            <v>87149200108</v>
          </cell>
          <cell r="C19" t="str">
            <v>輪圈</v>
          </cell>
          <cell r="D19">
            <v>164778</v>
          </cell>
          <cell r="E19">
            <v>7469</v>
          </cell>
        </row>
        <row r="20">
          <cell r="B20">
            <v>87149200206</v>
          </cell>
          <cell r="C20" t="str">
            <v>輪幅</v>
          </cell>
          <cell r="D20">
            <v>98763</v>
          </cell>
          <cell r="E20">
            <v>3007</v>
          </cell>
        </row>
        <row r="21">
          <cell r="B21">
            <v>87149990157</v>
          </cell>
          <cell r="C21" t="str">
            <v>腳踏車用座管及上下管</v>
          </cell>
          <cell r="D21">
            <v>27715</v>
          </cell>
          <cell r="E21">
            <v>2441</v>
          </cell>
        </row>
        <row r="22">
          <cell r="B22">
            <v>87149500007</v>
          </cell>
          <cell r="C22" t="str">
            <v>腳踏車車座</v>
          </cell>
          <cell r="D22">
            <v>21855</v>
          </cell>
          <cell r="E22">
            <v>492</v>
          </cell>
        </row>
        <row r="23">
          <cell r="B23">
            <v>87149610004</v>
          </cell>
          <cell r="C23" t="str">
            <v>踏板及其零件</v>
          </cell>
          <cell r="D23">
            <v>17295</v>
          </cell>
          <cell r="E23">
            <v>1295</v>
          </cell>
        </row>
        <row r="24">
          <cell r="B24">
            <v>87149990139</v>
          </cell>
          <cell r="C24" t="str">
            <v>腳踏車用軸心</v>
          </cell>
          <cell r="D24">
            <v>14317</v>
          </cell>
          <cell r="E24">
            <v>1184</v>
          </cell>
        </row>
        <row r="25">
          <cell r="B25">
            <v>87149410006</v>
          </cell>
          <cell r="C25" t="str">
            <v>鋼?煞車器及其零件</v>
          </cell>
          <cell r="D25">
            <v>4435</v>
          </cell>
          <cell r="E25">
            <v>1400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>
            <v>87149120007</v>
          </cell>
          <cell r="C10" t="str">
            <v>其他車架及叉及其零件</v>
          </cell>
          <cell r="D10">
            <v>13286191</v>
          </cell>
          <cell r="E10">
            <v>290287</v>
          </cell>
        </row>
        <row r="11">
          <cell r="B11">
            <v>87149200108</v>
          </cell>
          <cell r="C11" t="str">
            <v>輪圈</v>
          </cell>
          <cell r="D11">
            <v>5283329</v>
          </cell>
          <cell r="E11">
            <v>55408</v>
          </cell>
        </row>
        <row r="12">
          <cell r="B12">
            <v>87149990166</v>
          </cell>
          <cell r="C12" t="str">
            <v>腳踏車用把手</v>
          </cell>
          <cell r="D12">
            <v>1835368</v>
          </cell>
          <cell r="E12">
            <v>26179</v>
          </cell>
        </row>
        <row r="13">
          <cell r="B13">
            <v>87149490009</v>
          </cell>
          <cell r="C13" t="str">
            <v>其他煞車器及其零件</v>
          </cell>
          <cell r="D13">
            <v>1274888</v>
          </cell>
          <cell r="E13">
            <v>92781</v>
          </cell>
        </row>
        <row r="14">
          <cell r="B14">
            <v>87149310007</v>
          </cell>
          <cell r="C14" t="str">
            <v>輪轂，但倒煞車輪轂及輪轂煞車除外</v>
          </cell>
          <cell r="D14">
            <v>1101582</v>
          </cell>
          <cell r="E14">
            <v>30965</v>
          </cell>
        </row>
        <row r="15">
          <cell r="B15">
            <v>87149990111</v>
          </cell>
          <cell r="C15" t="str">
            <v>腳踏車用變速器</v>
          </cell>
          <cell r="D15">
            <v>855907</v>
          </cell>
          <cell r="E15">
            <v>34477</v>
          </cell>
        </row>
        <row r="16">
          <cell r="B16">
            <v>87149620002</v>
          </cell>
          <cell r="C16" t="str">
            <v>曲柄齒輪及其零件</v>
          </cell>
          <cell r="D16">
            <v>742667</v>
          </cell>
          <cell r="E16">
            <v>74990</v>
          </cell>
        </row>
        <row r="17">
          <cell r="B17">
            <v>87149990157</v>
          </cell>
          <cell r="C17" t="str">
            <v>腳踏車用座管及上下管</v>
          </cell>
          <cell r="D17">
            <v>638329</v>
          </cell>
          <cell r="E17">
            <v>19037</v>
          </cell>
        </row>
        <row r="18">
          <cell r="B18">
            <v>87149500007</v>
          </cell>
          <cell r="C18" t="str">
            <v>腳踏車車座</v>
          </cell>
          <cell r="D18">
            <v>437529</v>
          </cell>
          <cell r="E18">
            <v>38777</v>
          </cell>
        </row>
        <row r="19">
          <cell r="B19">
            <v>87149200206</v>
          </cell>
          <cell r="C19" t="str">
            <v>輪幅</v>
          </cell>
          <cell r="D19">
            <v>305098</v>
          </cell>
          <cell r="E19">
            <v>10623</v>
          </cell>
        </row>
        <row r="20">
          <cell r="B20">
            <v>87149200304</v>
          </cell>
          <cell r="C20" t="str">
            <v>輪圈及輪幅</v>
          </cell>
          <cell r="D20">
            <v>292240</v>
          </cell>
          <cell r="E20">
            <v>3388</v>
          </cell>
        </row>
        <row r="21">
          <cell r="B21">
            <v>87149990148</v>
          </cell>
          <cell r="C21" t="str">
            <v>腳踏車用把手豎管</v>
          </cell>
          <cell r="D21">
            <v>183151</v>
          </cell>
          <cell r="E21">
            <v>7658</v>
          </cell>
        </row>
        <row r="22">
          <cell r="B22">
            <v>87149320906</v>
          </cell>
          <cell r="C22" t="str">
            <v>其他飛輪之鏈輪</v>
          </cell>
          <cell r="D22">
            <v>158061</v>
          </cell>
          <cell r="E22">
            <v>10516</v>
          </cell>
        </row>
        <row r="23">
          <cell r="B23">
            <v>87149610004</v>
          </cell>
          <cell r="C23" t="str">
            <v>踏板及其零件</v>
          </cell>
          <cell r="D23">
            <v>113824</v>
          </cell>
          <cell r="E23">
            <v>22740</v>
          </cell>
        </row>
        <row r="24">
          <cell r="B24">
            <v>87149990139</v>
          </cell>
          <cell r="C24" t="str">
            <v>腳踏車用軸心</v>
          </cell>
          <cell r="D24">
            <v>49445</v>
          </cell>
          <cell r="E24">
            <v>8507</v>
          </cell>
        </row>
        <row r="25">
          <cell r="B25">
            <v>87149410006</v>
          </cell>
          <cell r="C25" t="str">
            <v>鋼?煞車器及其零件</v>
          </cell>
          <cell r="D25">
            <v>11245</v>
          </cell>
          <cell r="E25">
            <v>1521</v>
          </cell>
        </row>
        <row r="26">
          <cell r="B26">
            <v>87149320103</v>
          </cell>
          <cell r="C26" t="str">
            <v>裝有棘輪機構之單一鏈輪　</v>
          </cell>
          <cell r="D26">
            <v>6082</v>
          </cell>
          <cell r="E26">
            <v>123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>
            <v>87149120007</v>
          </cell>
          <cell r="C10" t="str">
            <v>其他車架及叉及其零件</v>
          </cell>
          <cell r="D10">
            <v>4816251</v>
          </cell>
          <cell r="E10">
            <v>82593</v>
          </cell>
        </row>
        <row r="11">
          <cell r="B11">
            <v>87149490009</v>
          </cell>
          <cell r="C11" t="str">
            <v>其他煞車器及其零件</v>
          </cell>
          <cell r="D11">
            <v>3154261</v>
          </cell>
          <cell r="E11">
            <v>74631</v>
          </cell>
        </row>
        <row r="12">
          <cell r="B12">
            <v>87149320906</v>
          </cell>
          <cell r="C12" t="str">
            <v>其他飛輪之鏈輪</v>
          </cell>
          <cell r="D12">
            <v>1110350</v>
          </cell>
          <cell r="E12">
            <v>35739</v>
          </cell>
        </row>
        <row r="13">
          <cell r="B13">
            <v>87149990111</v>
          </cell>
          <cell r="C13" t="str">
            <v>腳踏車用變速器</v>
          </cell>
          <cell r="D13">
            <v>1093104</v>
          </cell>
          <cell r="E13">
            <v>6268</v>
          </cell>
        </row>
        <row r="14">
          <cell r="B14">
            <v>87149310007</v>
          </cell>
          <cell r="C14" t="str">
            <v>輪轂，但倒煞車輪轂及輪轂煞車除外</v>
          </cell>
          <cell r="D14">
            <v>1085633</v>
          </cell>
          <cell r="E14">
            <v>8576</v>
          </cell>
        </row>
        <row r="15">
          <cell r="B15">
            <v>87149990166</v>
          </cell>
          <cell r="C15" t="str">
            <v>腳踏車用把手</v>
          </cell>
          <cell r="D15">
            <v>704183</v>
          </cell>
          <cell r="E15">
            <v>35707</v>
          </cell>
        </row>
        <row r="16">
          <cell r="B16">
            <v>87149990148</v>
          </cell>
          <cell r="C16" t="str">
            <v>腳踏車用把手豎管</v>
          </cell>
          <cell r="D16">
            <v>697532</v>
          </cell>
          <cell r="E16">
            <v>30569</v>
          </cell>
        </row>
        <row r="17">
          <cell r="B17">
            <v>87149200108</v>
          </cell>
          <cell r="C17" t="str">
            <v>輪圈</v>
          </cell>
          <cell r="D17">
            <v>576447</v>
          </cell>
          <cell r="E17">
            <v>22574</v>
          </cell>
        </row>
        <row r="18">
          <cell r="B18">
            <v>87149620002</v>
          </cell>
          <cell r="C18" t="str">
            <v>曲柄齒輪及其零件</v>
          </cell>
          <cell r="D18">
            <v>574274</v>
          </cell>
          <cell r="E18">
            <v>8835</v>
          </cell>
        </row>
        <row r="19">
          <cell r="B19">
            <v>87149200304</v>
          </cell>
          <cell r="C19" t="str">
            <v>輪圈及輪幅</v>
          </cell>
          <cell r="D19">
            <v>419878</v>
          </cell>
          <cell r="E19">
            <v>1715</v>
          </cell>
        </row>
        <row r="20">
          <cell r="B20">
            <v>87149990157</v>
          </cell>
          <cell r="C20" t="str">
            <v>腳踏車用座管及上下管</v>
          </cell>
          <cell r="D20">
            <v>374720</v>
          </cell>
          <cell r="E20">
            <v>23773</v>
          </cell>
        </row>
        <row r="21">
          <cell r="B21">
            <v>87149200206</v>
          </cell>
          <cell r="C21" t="str">
            <v>輪幅</v>
          </cell>
          <cell r="D21">
            <v>346464</v>
          </cell>
          <cell r="E21">
            <v>8807</v>
          </cell>
        </row>
        <row r="22">
          <cell r="B22">
            <v>87149610004</v>
          </cell>
          <cell r="C22" t="str">
            <v>踏板及其零件</v>
          </cell>
          <cell r="D22">
            <v>278382</v>
          </cell>
          <cell r="E22">
            <v>6981</v>
          </cell>
        </row>
        <row r="23">
          <cell r="B23">
            <v>87149500007</v>
          </cell>
          <cell r="C23" t="str">
            <v>腳踏車車座</v>
          </cell>
          <cell r="D23">
            <v>41172</v>
          </cell>
          <cell r="E23">
            <v>746</v>
          </cell>
        </row>
        <row r="24">
          <cell r="B24">
            <v>87149990139</v>
          </cell>
          <cell r="C24" t="str">
            <v>腳踏車用軸心</v>
          </cell>
          <cell r="D24">
            <v>16410</v>
          </cell>
          <cell r="E24">
            <v>1437</v>
          </cell>
        </row>
        <row r="25">
          <cell r="B25">
            <v>87149410006</v>
          </cell>
          <cell r="C25" t="str">
            <v>鋼?煞車器及其零件</v>
          </cell>
          <cell r="D25">
            <v>4435</v>
          </cell>
          <cell r="E25">
            <v>1400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>
            <v>87149120007</v>
          </cell>
          <cell r="C10" t="str">
            <v>其他車架及叉及其零件</v>
          </cell>
          <cell r="D10">
            <v>8584424</v>
          </cell>
          <cell r="E10">
            <v>134322</v>
          </cell>
        </row>
        <row r="11">
          <cell r="B11">
            <v>87149490009</v>
          </cell>
          <cell r="C11" t="str">
            <v>其他煞車器及其零件</v>
          </cell>
          <cell r="D11">
            <v>2820891</v>
          </cell>
          <cell r="E11">
            <v>88749</v>
          </cell>
        </row>
        <row r="12">
          <cell r="B12">
            <v>87149200304</v>
          </cell>
          <cell r="C12" t="str">
            <v>輪圈及輪幅</v>
          </cell>
          <cell r="D12">
            <v>2673700</v>
          </cell>
          <cell r="E12">
            <v>9962</v>
          </cell>
        </row>
        <row r="13">
          <cell r="B13">
            <v>87149990111</v>
          </cell>
          <cell r="C13" t="str">
            <v>腳踏車用變速器</v>
          </cell>
          <cell r="D13">
            <v>2552107</v>
          </cell>
          <cell r="E13">
            <v>54857</v>
          </cell>
        </row>
        <row r="14">
          <cell r="B14">
            <v>87149310007</v>
          </cell>
          <cell r="C14" t="str">
            <v>輪轂，但倒煞車輪轂及輪轂煞車除外</v>
          </cell>
          <cell r="D14">
            <v>1893111</v>
          </cell>
          <cell r="E14">
            <v>10517</v>
          </cell>
        </row>
        <row r="15">
          <cell r="B15">
            <v>87149320906</v>
          </cell>
          <cell r="C15" t="str">
            <v>其他飛輪之鏈輪</v>
          </cell>
          <cell r="D15">
            <v>998716</v>
          </cell>
          <cell r="E15">
            <v>41029</v>
          </cell>
        </row>
        <row r="16">
          <cell r="B16">
            <v>87149620002</v>
          </cell>
          <cell r="C16" t="str">
            <v>曲柄齒輪及其零件</v>
          </cell>
          <cell r="D16">
            <v>910636</v>
          </cell>
          <cell r="E16">
            <v>17344</v>
          </cell>
        </row>
        <row r="17">
          <cell r="B17">
            <v>87149990166</v>
          </cell>
          <cell r="C17" t="str">
            <v>腳踏車用把手</v>
          </cell>
          <cell r="D17">
            <v>603079</v>
          </cell>
          <cell r="E17">
            <v>7578</v>
          </cell>
        </row>
        <row r="18">
          <cell r="B18">
            <v>87149200108</v>
          </cell>
          <cell r="C18" t="str">
            <v>輪圈</v>
          </cell>
          <cell r="D18">
            <v>503509</v>
          </cell>
          <cell r="E18">
            <v>19690</v>
          </cell>
        </row>
        <row r="19">
          <cell r="B19">
            <v>87149990157</v>
          </cell>
          <cell r="C19" t="str">
            <v>腳踏車用座管及上下管</v>
          </cell>
          <cell r="D19">
            <v>369387</v>
          </cell>
          <cell r="E19">
            <v>4635</v>
          </cell>
        </row>
        <row r="20">
          <cell r="B20">
            <v>87149610004</v>
          </cell>
          <cell r="C20" t="str">
            <v>踏板及其零件</v>
          </cell>
          <cell r="D20">
            <v>259410</v>
          </cell>
          <cell r="E20">
            <v>22433</v>
          </cell>
        </row>
        <row r="21">
          <cell r="B21">
            <v>87149500007</v>
          </cell>
          <cell r="C21" t="str">
            <v>腳踏車車座</v>
          </cell>
          <cell r="D21">
            <v>253025</v>
          </cell>
          <cell r="E21">
            <v>4607</v>
          </cell>
        </row>
        <row r="22">
          <cell r="B22">
            <v>87149200206</v>
          </cell>
          <cell r="C22" t="str">
            <v>輪幅</v>
          </cell>
          <cell r="D22">
            <v>235552</v>
          </cell>
          <cell r="E22">
            <v>6588</v>
          </cell>
        </row>
        <row r="23">
          <cell r="B23">
            <v>87149990148</v>
          </cell>
          <cell r="C23" t="str">
            <v>腳踏車用把手豎管</v>
          </cell>
          <cell r="D23">
            <v>170341</v>
          </cell>
          <cell r="E23">
            <v>4575</v>
          </cell>
        </row>
        <row r="24">
          <cell r="B24">
            <v>87149990139</v>
          </cell>
          <cell r="C24" t="str">
            <v>腳踏車用軸心</v>
          </cell>
          <cell r="D24">
            <v>51255</v>
          </cell>
          <cell r="E24">
            <v>845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試算"/>
      <sheetName val="整車比較"/>
      <sheetName val="摺疊車試算"/>
      <sheetName val="折疊車"/>
      <sheetName val="摺疊車比較"/>
      <sheetName val="整車進口試算"/>
      <sheetName val="整車進口"/>
      <sheetName val="台灣出口大陸試算"/>
      <sheetName val="自大陸進口試算"/>
      <sheetName val="台灣--中國"/>
      <sheetName val="台灣--中國出口比較"/>
      <sheetName val="台灣--中國進口比較"/>
      <sheetName val="電動車"/>
      <sheetName val="電動車比較"/>
      <sheetName val="電動車試算"/>
      <sheetName val="零件試算表"/>
      <sheetName val="零件"/>
      <sheetName val="零件出口比較"/>
      <sheetName val="零件進口比較"/>
      <sheetName val="平均單價"/>
      <sheetName val="數量"/>
      <sheetName val="金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4">
          <cell r="C14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 t="str">
            <v>總計</v>
          </cell>
          <cell r="C10">
            <v>106672130</v>
          </cell>
          <cell r="D10">
            <v>110559</v>
          </cell>
        </row>
        <row r="11">
          <cell r="B11" t="str">
            <v>美國</v>
          </cell>
          <cell r="C11">
            <v>28874540</v>
          </cell>
          <cell r="D11">
            <v>42812</v>
          </cell>
        </row>
        <row r="12">
          <cell r="B12" t="str">
            <v>荷蘭</v>
          </cell>
          <cell r="C12">
            <v>21793008</v>
          </cell>
          <cell r="D12">
            <v>12372</v>
          </cell>
        </row>
        <row r="13">
          <cell r="B13" t="str">
            <v>英國</v>
          </cell>
          <cell r="C13">
            <v>8952193</v>
          </cell>
          <cell r="D13">
            <v>7689</v>
          </cell>
        </row>
        <row r="14">
          <cell r="B14" t="str">
            <v>澳大利亞</v>
          </cell>
          <cell r="C14">
            <v>6546361</v>
          </cell>
          <cell r="D14">
            <v>7015</v>
          </cell>
        </row>
        <row r="15">
          <cell r="B15" t="str">
            <v>德國</v>
          </cell>
          <cell r="C15">
            <v>6501027</v>
          </cell>
          <cell r="D15">
            <v>7679</v>
          </cell>
        </row>
        <row r="16">
          <cell r="B16" t="str">
            <v>加拿大</v>
          </cell>
          <cell r="C16">
            <v>5747268</v>
          </cell>
          <cell r="D16">
            <v>4040</v>
          </cell>
        </row>
        <row r="17">
          <cell r="B17" t="str">
            <v>法國</v>
          </cell>
          <cell r="C17">
            <v>3765910</v>
          </cell>
          <cell r="D17">
            <v>2149</v>
          </cell>
        </row>
        <row r="18">
          <cell r="B18" t="str">
            <v>日本</v>
          </cell>
          <cell r="C18">
            <v>2606625</v>
          </cell>
          <cell r="D18">
            <v>2559</v>
          </cell>
        </row>
        <row r="19">
          <cell r="B19" t="str">
            <v>韓國</v>
          </cell>
          <cell r="C19">
            <v>2198522</v>
          </cell>
          <cell r="D19">
            <v>1177</v>
          </cell>
        </row>
        <row r="20">
          <cell r="B20" t="str">
            <v>西班牙</v>
          </cell>
          <cell r="C20">
            <v>1674120</v>
          </cell>
          <cell r="D20">
            <v>1180</v>
          </cell>
        </row>
        <row r="21">
          <cell r="B21" t="str">
            <v>義大利</v>
          </cell>
          <cell r="C21">
            <v>1654527</v>
          </cell>
          <cell r="D21">
            <v>1171</v>
          </cell>
        </row>
        <row r="22">
          <cell r="B22" t="str">
            <v>比利時</v>
          </cell>
          <cell r="C22">
            <v>1557825</v>
          </cell>
          <cell r="D22">
            <v>867</v>
          </cell>
        </row>
        <row r="23">
          <cell r="B23" t="str">
            <v>波蘭</v>
          </cell>
          <cell r="C23">
            <v>1364727</v>
          </cell>
          <cell r="D23">
            <v>1269</v>
          </cell>
        </row>
        <row r="24">
          <cell r="B24" t="str">
            <v>俄羅斯</v>
          </cell>
          <cell r="C24">
            <v>1363565</v>
          </cell>
          <cell r="D24">
            <v>1150</v>
          </cell>
        </row>
        <row r="25">
          <cell r="B25" t="str">
            <v>中國大陸</v>
          </cell>
          <cell r="C25">
            <v>1226309</v>
          </cell>
          <cell r="D25">
            <v>575</v>
          </cell>
        </row>
        <row r="26">
          <cell r="B26" t="str">
            <v>挪威</v>
          </cell>
          <cell r="C26">
            <v>1112542</v>
          </cell>
          <cell r="D26">
            <v>1608</v>
          </cell>
        </row>
        <row r="27">
          <cell r="B27" t="str">
            <v>紐西蘭</v>
          </cell>
          <cell r="C27">
            <v>940113</v>
          </cell>
          <cell r="D27">
            <v>990</v>
          </cell>
        </row>
        <row r="28">
          <cell r="B28" t="str">
            <v>瑞士</v>
          </cell>
          <cell r="C28">
            <v>798939</v>
          </cell>
          <cell r="D28">
            <v>863</v>
          </cell>
        </row>
        <row r="29">
          <cell r="B29" t="str">
            <v>南非</v>
          </cell>
          <cell r="C29">
            <v>620149</v>
          </cell>
          <cell r="D29">
            <v>290</v>
          </cell>
        </row>
        <row r="30">
          <cell r="B30" t="str">
            <v>香港</v>
          </cell>
          <cell r="C30">
            <v>608131</v>
          </cell>
          <cell r="D30">
            <v>255</v>
          </cell>
        </row>
        <row r="31">
          <cell r="B31" t="str">
            <v>智利</v>
          </cell>
          <cell r="C31">
            <v>581049</v>
          </cell>
          <cell r="D31">
            <v>360</v>
          </cell>
        </row>
        <row r="32">
          <cell r="B32" t="str">
            <v>以色列</v>
          </cell>
          <cell r="C32">
            <v>559921</v>
          </cell>
          <cell r="D32">
            <v>793</v>
          </cell>
        </row>
        <row r="33">
          <cell r="B33" t="str">
            <v>丹麥</v>
          </cell>
          <cell r="C33">
            <v>451314</v>
          </cell>
          <cell r="D33">
            <v>4251</v>
          </cell>
        </row>
        <row r="34">
          <cell r="B34" t="str">
            <v>烏拉圭</v>
          </cell>
          <cell r="C34">
            <v>449461</v>
          </cell>
          <cell r="D34">
            <v>314</v>
          </cell>
        </row>
        <row r="35">
          <cell r="B35" t="str">
            <v>哥倫比亞</v>
          </cell>
          <cell r="C35">
            <v>390944</v>
          </cell>
          <cell r="D35">
            <v>250</v>
          </cell>
        </row>
        <row r="36">
          <cell r="B36" t="str">
            <v>捷克</v>
          </cell>
          <cell r="C36">
            <v>390051</v>
          </cell>
          <cell r="D36">
            <v>1391</v>
          </cell>
        </row>
        <row r="37">
          <cell r="B37" t="str">
            <v>阿根廷</v>
          </cell>
          <cell r="C37">
            <v>383524</v>
          </cell>
          <cell r="D37">
            <v>535</v>
          </cell>
        </row>
        <row r="38">
          <cell r="B38" t="str">
            <v>墨西哥</v>
          </cell>
          <cell r="C38">
            <v>372283</v>
          </cell>
          <cell r="D38">
            <v>173</v>
          </cell>
        </row>
        <row r="39">
          <cell r="B39" t="str">
            <v>阿拉伯聯合大公國</v>
          </cell>
          <cell r="C39">
            <v>341467</v>
          </cell>
          <cell r="D39">
            <v>424</v>
          </cell>
        </row>
        <row r="40">
          <cell r="B40" t="str">
            <v>愛沙尼亞</v>
          </cell>
          <cell r="C40">
            <v>330325</v>
          </cell>
          <cell r="D40">
            <v>677</v>
          </cell>
        </row>
        <row r="41">
          <cell r="B41" t="str">
            <v>巴西</v>
          </cell>
          <cell r="C41">
            <v>315366</v>
          </cell>
          <cell r="D41">
            <v>163</v>
          </cell>
        </row>
        <row r="42">
          <cell r="B42" t="str">
            <v>印度</v>
          </cell>
          <cell r="C42">
            <v>283992</v>
          </cell>
          <cell r="D42">
            <v>288</v>
          </cell>
        </row>
        <row r="43">
          <cell r="B43" t="str">
            <v>瑞典</v>
          </cell>
          <cell r="C43">
            <v>261806</v>
          </cell>
          <cell r="D43">
            <v>1392</v>
          </cell>
        </row>
        <row r="44">
          <cell r="B44" t="str">
            <v>泰國</v>
          </cell>
          <cell r="C44">
            <v>257196</v>
          </cell>
          <cell r="D44">
            <v>138</v>
          </cell>
        </row>
        <row r="45">
          <cell r="B45" t="str">
            <v>菲律賓</v>
          </cell>
          <cell r="C45">
            <v>219545</v>
          </cell>
          <cell r="D45">
            <v>168</v>
          </cell>
        </row>
        <row r="46">
          <cell r="B46" t="str">
            <v>匈牙利</v>
          </cell>
          <cell r="C46">
            <v>190241</v>
          </cell>
          <cell r="D46">
            <v>357</v>
          </cell>
        </row>
        <row r="47">
          <cell r="B47" t="str">
            <v>新加坡</v>
          </cell>
          <cell r="C47">
            <v>173885</v>
          </cell>
          <cell r="D47">
            <v>92</v>
          </cell>
        </row>
        <row r="48">
          <cell r="B48" t="str">
            <v>拉脫維亞</v>
          </cell>
          <cell r="C48">
            <v>128540</v>
          </cell>
          <cell r="D48">
            <v>242</v>
          </cell>
        </row>
        <row r="49">
          <cell r="B49" t="str">
            <v>越南</v>
          </cell>
          <cell r="C49">
            <v>93508</v>
          </cell>
          <cell r="D49">
            <v>60</v>
          </cell>
        </row>
        <row r="50">
          <cell r="B50" t="str">
            <v>肯亞</v>
          </cell>
          <cell r="C50">
            <v>92198</v>
          </cell>
          <cell r="D50">
            <v>48</v>
          </cell>
        </row>
        <row r="51">
          <cell r="B51" t="str">
            <v>馬來西亞</v>
          </cell>
          <cell r="C51">
            <v>91586</v>
          </cell>
          <cell r="D51">
            <v>64</v>
          </cell>
        </row>
        <row r="52">
          <cell r="B52" t="str">
            <v>柬埔寨</v>
          </cell>
          <cell r="C52">
            <v>86363</v>
          </cell>
          <cell r="D52">
            <v>43</v>
          </cell>
        </row>
        <row r="53">
          <cell r="B53" t="str">
            <v>芬蘭</v>
          </cell>
          <cell r="C53">
            <v>72635</v>
          </cell>
          <cell r="D53">
            <v>102</v>
          </cell>
        </row>
        <row r="54">
          <cell r="B54" t="str">
            <v>克羅埃西亞</v>
          </cell>
          <cell r="C54">
            <v>70035</v>
          </cell>
          <cell r="D54">
            <v>250</v>
          </cell>
        </row>
        <row r="55">
          <cell r="B55" t="str">
            <v>厄瓜多</v>
          </cell>
          <cell r="C55">
            <v>60260</v>
          </cell>
          <cell r="D55">
            <v>36</v>
          </cell>
        </row>
        <row r="56">
          <cell r="B56" t="str">
            <v>模里西斯</v>
          </cell>
          <cell r="C56">
            <v>30162</v>
          </cell>
          <cell r="D56">
            <v>15</v>
          </cell>
        </row>
        <row r="57">
          <cell r="B57" t="str">
            <v>哥斯大黎加</v>
          </cell>
          <cell r="C57">
            <v>23345</v>
          </cell>
          <cell r="D57">
            <v>11</v>
          </cell>
        </row>
        <row r="58">
          <cell r="B58" t="str">
            <v>薩爾瓦多</v>
          </cell>
          <cell r="C58">
            <v>14666</v>
          </cell>
          <cell r="D58">
            <v>4</v>
          </cell>
        </row>
        <row r="59">
          <cell r="B59" t="str">
            <v>哈薩克</v>
          </cell>
          <cell r="C59">
            <v>13684</v>
          </cell>
          <cell r="D59">
            <v>40</v>
          </cell>
        </row>
        <row r="60">
          <cell r="B60" t="str">
            <v>巴拉圭</v>
          </cell>
          <cell r="C60">
            <v>12924</v>
          </cell>
          <cell r="D60">
            <v>12</v>
          </cell>
        </row>
        <row r="61">
          <cell r="B61" t="str">
            <v>希臘</v>
          </cell>
          <cell r="C61">
            <v>7728</v>
          </cell>
          <cell r="D61">
            <v>5</v>
          </cell>
        </row>
        <row r="62">
          <cell r="B62" t="str">
            <v>尼泊爾</v>
          </cell>
          <cell r="C62">
            <v>7612</v>
          </cell>
          <cell r="D62">
            <v>6</v>
          </cell>
        </row>
        <row r="63">
          <cell r="B63" t="str">
            <v>孟加拉</v>
          </cell>
          <cell r="C63">
            <v>5226</v>
          </cell>
          <cell r="D63">
            <v>60</v>
          </cell>
        </row>
        <row r="64">
          <cell r="B64" t="str">
            <v>沙烏地阿拉伯</v>
          </cell>
          <cell r="C64">
            <v>1744</v>
          </cell>
          <cell r="D64">
            <v>1</v>
          </cell>
        </row>
        <row r="65">
          <cell r="B65" t="str">
            <v>迦納</v>
          </cell>
          <cell r="C65">
            <v>730</v>
          </cell>
          <cell r="D65">
            <v>41</v>
          </cell>
        </row>
        <row r="66">
          <cell r="B66" t="str">
            <v>奈及利亞</v>
          </cell>
          <cell r="C66">
            <v>381</v>
          </cell>
          <cell r="D66">
            <v>34</v>
          </cell>
        </row>
        <row r="67">
          <cell r="B67" t="str">
            <v>甘比亞</v>
          </cell>
          <cell r="C67">
            <v>32</v>
          </cell>
          <cell r="D67">
            <v>9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折疊車"/>
      <sheetName val="摺疊車比較"/>
      <sheetName val="台灣--中國"/>
      <sheetName val="台灣--中國出口比較"/>
      <sheetName val="台灣--中國進口比較"/>
      <sheetName val="整車進口"/>
      <sheetName val="電動車"/>
      <sheetName val="電動車比較"/>
      <sheetName val="零件"/>
      <sheetName val="零件出口比較"/>
      <sheetName val="零件進口比較"/>
      <sheetName val="平均單價"/>
      <sheetName val="數量"/>
      <sheetName val="金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3">
          <cell r="N3">
            <v>1951078</v>
          </cell>
        </row>
        <row r="4">
          <cell r="N4">
            <v>2472625</v>
          </cell>
        </row>
        <row r="5">
          <cell r="N5">
            <v>3048527</v>
          </cell>
        </row>
        <row r="6">
          <cell r="N6">
            <v>2777994</v>
          </cell>
        </row>
        <row r="7">
          <cell r="N7">
            <v>3333227</v>
          </cell>
        </row>
        <row r="8">
          <cell r="N8">
            <v>3617436</v>
          </cell>
        </row>
        <row r="9">
          <cell r="N9">
            <v>2806218</v>
          </cell>
        </row>
        <row r="10">
          <cell r="N10">
            <v>3502051</v>
          </cell>
        </row>
        <row r="11">
          <cell r="N11">
            <v>2746697</v>
          </cell>
        </row>
        <row r="12">
          <cell r="N12">
            <v>2515626</v>
          </cell>
        </row>
        <row r="13">
          <cell r="N13">
            <v>1980857</v>
          </cell>
        </row>
        <row r="14">
          <cell r="N14">
            <v>2078881</v>
          </cell>
        </row>
        <row r="15">
          <cell r="N15">
            <v>2205064</v>
          </cell>
        </row>
        <row r="16">
          <cell r="N16">
            <v>1621980</v>
          </cell>
        </row>
        <row r="17">
          <cell r="N17">
            <v>1283683</v>
          </cell>
        </row>
      </sheetData>
      <sheetData sheetId="15" refreshError="1">
        <row r="3">
          <cell r="N3">
            <v>262473763</v>
          </cell>
        </row>
        <row r="4">
          <cell r="N4">
            <v>355443421</v>
          </cell>
        </row>
        <row r="5">
          <cell r="N5">
            <v>470898878</v>
          </cell>
        </row>
        <row r="6">
          <cell r="N6">
            <v>431688008</v>
          </cell>
        </row>
        <row r="7">
          <cell r="N7">
            <v>565309262</v>
          </cell>
        </row>
        <row r="8">
          <cell r="N8">
            <v>723477440</v>
          </cell>
        </row>
        <row r="9">
          <cell r="N9">
            <v>625011069</v>
          </cell>
        </row>
        <row r="10">
          <cell r="N10">
            <v>791841148</v>
          </cell>
        </row>
        <row r="11">
          <cell r="N11">
            <v>763468518</v>
          </cell>
        </row>
        <row r="12">
          <cell r="N12">
            <v>826938645</v>
          </cell>
        </row>
        <row r="13">
          <cell r="N13">
            <v>702874319</v>
          </cell>
        </row>
        <row r="14">
          <cell r="N14">
            <v>723710386</v>
          </cell>
        </row>
        <row r="15">
          <cell r="N15">
            <v>768784797</v>
          </cell>
        </row>
        <row r="16">
          <cell r="N16">
            <v>609989050</v>
          </cell>
        </row>
        <row r="17">
          <cell r="N17">
            <v>525419005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>
            <v>87149120007</v>
          </cell>
          <cell r="C10" t="str">
            <v>其他車架及叉及其零件</v>
          </cell>
          <cell r="D10">
            <v>29370378</v>
          </cell>
          <cell r="E10">
            <v>597600</v>
          </cell>
        </row>
        <row r="11">
          <cell r="B11">
            <v>87149200108</v>
          </cell>
          <cell r="C11" t="str">
            <v>輪圈</v>
          </cell>
          <cell r="D11">
            <v>10133074</v>
          </cell>
          <cell r="E11">
            <v>112527</v>
          </cell>
        </row>
        <row r="12">
          <cell r="B12">
            <v>87149990166</v>
          </cell>
          <cell r="C12" t="str">
            <v>腳踏車用把手</v>
          </cell>
          <cell r="D12">
            <v>3774281</v>
          </cell>
          <cell r="E12">
            <v>57220</v>
          </cell>
        </row>
        <row r="13">
          <cell r="B13">
            <v>87149490009</v>
          </cell>
          <cell r="C13" t="str">
            <v>其他煞車器及其零件</v>
          </cell>
          <cell r="D13">
            <v>2978255</v>
          </cell>
          <cell r="E13">
            <v>249971</v>
          </cell>
        </row>
        <row r="14">
          <cell r="B14">
            <v>87149310007</v>
          </cell>
          <cell r="C14" t="str">
            <v>輪轂，但倒煞車輪轂及輪轂煞車除外</v>
          </cell>
          <cell r="D14">
            <v>2477062</v>
          </cell>
          <cell r="E14">
            <v>66907</v>
          </cell>
        </row>
        <row r="15">
          <cell r="B15">
            <v>87149990157</v>
          </cell>
          <cell r="C15" t="str">
            <v>腳踏車用座管及上下管</v>
          </cell>
          <cell r="D15">
            <v>1718275</v>
          </cell>
          <cell r="E15">
            <v>41032</v>
          </cell>
        </row>
        <row r="16">
          <cell r="B16">
            <v>87149620002</v>
          </cell>
          <cell r="C16" t="str">
            <v>曲柄齒輪及其零件</v>
          </cell>
          <cell r="D16">
            <v>1445383</v>
          </cell>
          <cell r="E16">
            <v>146944</v>
          </cell>
        </row>
        <row r="17">
          <cell r="B17">
            <v>87149990111</v>
          </cell>
          <cell r="C17" t="str">
            <v>腳踏車用變速器</v>
          </cell>
          <cell r="D17">
            <v>1256224</v>
          </cell>
          <cell r="E17">
            <v>48356</v>
          </cell>
        </row>
        <row r="18">
          <cell r="B18">
            <v>87149500007</v>
          </cell>
          <cell r="C18" t="str">
            <v>腳踏車車座</v>
          </cell>
          <cell r="D18">
            <v>1039536</v>
          </cell>
          <cell r="E18">
            <v>87413</v>
          </cell>
        </row>
        <row r="19">
          <cell r="B19">
            <v>87149200206</v>
          </cell>
          <cell r="C19" t="str">
            <v>輪幅</v>
          </cell>
          <cell r="D19">
            <v>973890</v>
          </cell>
          <cell r="E19">
            <v>17486</v>
          </cell>
        </row>
        <row r="20">
          <cell r="B20">
            <v>87149200304</v>
          </cell>
          <cell r="C20" t="str">
            <v>輪圈及輪幅</v>
          </cell>
          <cell r="D20">
            <v>885199</v>
          </cell>
          <cell r="E20">
            <v>18151</v>
          </cell>
        </row>
        <row r="21">
          <cell r="B21">
            <v>87149990148</v>
          </cell>
          <cell r="C21" t="str">
            <v>腳踏車用把手豎管</v>
          </cell>
          <cell r="D21">
            <v>360093</v>
          </cell>
          <cell r="E21">
            <v>18824</v>
          </cell>
        </row>
        <row r="22">
          <cell r="B22">
            <v>87149320906</v>
          </cell>
          <cell r="C22" t="str">
            <v>其他飛輪之鏈輪</v>
          </cell>
          <cell r="D22">
            <v>317940</v>
          </cell>
          <cell r="E22">
            <v>24393</v>
          </cell>
        </row>
        <row r="23">
          <cell r="B23">
            <v>87149610004</v>
          </cell>
          <cell r="C23" t="str">
            <v>踏板及其零件</v>
          </cell>
          <cell r="D23">
            <v>268175</v>
          </cell>
          <cell r="E23">
            <v>54860</v>
          </cell>
        </row>
        <row r="24">
          <cell r="B24">
            <v>87149990139</v>
          </cell>
          <cell r="C24" t="str">
            <v>腳踏車用軸心</v>
          </cell>
          <cell r="D24">
            <v>83730</v>
          </cell>
          <cell r="E24">
            <v>14541</v>
          </cell>
        </row>
        <row r="25">
          <cell r="B25">
            <v>87149410006</v>
          </cell>
          <cell r="C25" t="str">
            <v>鋼?煞車器及其零件</v>
          </cell>
          <cell r="D25">
            <v>27673</v>
          </cell>
          <cell r="E25">
            <v>4554</v>
          </cell>
        </row>
        <row r="26">
          <cell r="B26">
            <v>87149320103</v>
          </cell>
          <cell r="C26" t="str">
            <v>裝有棘輪機構之單一鏈輪　</v>
          </cell>
          <cell r="D26">
            <v>6842</v>
          </cell>
          <cell r="E26">
            <v>132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>
            <v>87149120007</v>
          </cell>
          <cell r="C10" t="str">
            <v>其他車架及叉及其零件</v>
          </cell>
          <cell r="D10">
            <v>28248562</v>
          </cell>
          <cell r="E10">
            <v>495238</v>
          </cell>
        </row>
        <row r="11">
          <cell r="B11">
            <v>87149200108</v>
          </cell>
          <cell r="C11" t="str">
            <v>輪圈</v>
          </cell>
          <cell r="D11">
            <v>8241437</v>
          </cell>
          <cell r="E11">
            <v>81271</v>
          </cell>
        </row>
        <row r="12">
          <cell r="B12">
            <v>87149990166</v>
          </cell>
          <cell r="C12" t="str">
            <v>腳踏車用把手</v>
          </cell>
          <cell r="D12">
            <v>1990009</v>
          </cell>
          <cell r="E12">
            <v>41017</v>
          </cell>
        </row>
        <row r="13">
          <cell r="B13">
            <v>87149310007</v>
          </cell>
          <cell r="C13" t="str">
            <v>輪轂，但倒煞車輪轂及輪轂煞車除外</v>
          </cell>
          <cell r="D13">
            <v>1834091</v>
          </cell>
          <cell r="E13">
            <v>57291</v>
          </cell>
        </row>
        <row r="14">
          <cell r="B14">
            <v>87149490009</v>
          </cell>
          <cell r="C14" t="str">
            <v>其他煞車器及其零件</v>
          </cell>
          <cell r="D14">
            <v>1738471</v>
          </cell>
          <cell r="E14">
            <v>127588</v>
          </cell>
        </row>
        <row r="15">
          <cell r="B15">
            <v>87149990157</v>
          </cell>
          <cell r="C15" t="str">
            <v>腳踏車用座管及上下管</v>
          </cell>
          <cell r="D15">
            <v>1529234</v>
          </cell>
          <cell r="E15">
            <v>44129</v>
          </cell>
        </row>
        <row r="16">
          <cell r="B16">
            <v>87149620002</v>
          </cell>
          <cell r="C16" t="str">
            <v>曲柄齒輪及其零件</v>
          </cell>
          <cell r="D16">
            <v>1422332</v>
          </cell>
          <cell r="E16">
            <v>125501</v>
          </cell>
        </row>
        <row r="17">
          <cell r="B17">
            <v>87149500007</v>
          </cell>
          <cell r="C17" t="str">
            <v>腳踏車車座</v>
          </cell>
          <cell r="D17">
            <v>838425</v>
          </cell>
          <cell r="E17">
            <v>84148</v>
          </cell>
        </row>
        <row r="18">
          <cell r="B18">
            <v>87149200206</v>
          </cell>
          <cell r="C18" t="str">
            <v>輪幅</v>
          </cell>
          <cell r="D18">
            <v>769682</v>
          </cell>
          <cell r="E18">
            <v>8519</v>
          </cell>
        </row>
        <row r="19">
          <cell r="B19">
            <v>87149990148</v>
          </cell>
          <cell r="C19" t="str">
            <v>腳踏車用把手豎管</v>
          </cell>
          <cell r="D19">
            <v>570302</v>
          </cell>
          <cell r="E19">
            <v>21341</v>
          </cell>
        </row>
        <row r="20">
          <cell r="B20">
            <v>87149200304</v>
          </cell>
          <cell r="C20" t="str">
            <v>輪圈及輪幅</v>
          </cell>
          <cell r="D20">
            <v>445558</v>
          </cell>
          <cell r="E20">
            <v>4439</v>
          </cell>
        </row>
        <row r="21">
          <cell r="B21">
            <v>87149320906</v>
          </cell>
          <cell r="C21" t="str">
            <v>其他飛輪之鏈輪</v>
          </cell>
          <cell r="D21">
            <v>313047</v>
          </cell>
          <cell r="E21">
            <v>24697</v>
          </cell>
        </row>
        <row r="22">
          <cell r="B22">
            <v>87149610004</v>
          </cell>
          <cell r="C22" t="str">
            <v>踏板及其零件</v>
          </cell>
          <cell r="D22">
            <v>257642</v>
          </cell>
          <cell r="E22">
            <v>13649</v>
          </cell>
        </row>
        <row r="23">
          <cell r="B23">
            <v>87149990111</v>
          </cell>
          <cell r="C23" t="str">
            <v>腳踏車用變速器</v>
          </cell>
          <cell r="D23">
            <v>163104</v>
          </cell>
          <cell r="E23">
            <v>10876</v>
          </cell>
        </row>
        <row r="24">
          <cell r="B24">
            <v>87149990139</v>
          </cell>
          <cell r="C24" t="str">
            <v>腳踏車用軸心</v>
          </cell>
          <cell r="D24">
            <v>36992</v>
          </cell>
          <cell r="E24">
            <v>2694</v>
          </cell>
        </row>
        <row r="25">
          <cell r="B25">
            <v>87149410006</v>
          </cell>
          <cell r="C25" t="str">
            <v>鋼?煞車器及其零件</v>
          </cell>
          <cell r="D25">
            <v>19808</v>
          </cell>
          <cell r="E25">
            <v>1371</v>
          </cell>
        </row>
        <row r="26">
          <cell r="B26">
            <v>87149320103</v>
          </cell>
          <cell r="C26" t="str">
            <v>裝有棘輪機構之單一鏈輪　</v>
          </cell>
          <cell r="D26">
            <v>3329</v>
          </cell>
          <cell r="E26">
            <v>124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>
            <v>87149120007</v>
          </cell>
          <cell r="C10" t="str">
            <v>其他車架及叉及其零件</v>
          </cell>
          <cell r="D10">
            <v>33255008</v>
          </cell>
          <cell r="E10">
            <v>597050</v>
          </cell>
          <cell r="F10">
            <v>0</v>
          </cell>
        </row>
        <row r="11">
          <cell r="B11">
            <v>87149490009</v>
          </cell>
          <cell r="C11" t="str">
            <v>其他煞車器及其零件</v>
          </cell>
          <cell r="D11">
            <v>13543592</v>
          </cell>
          <cell r="E11">
            <v>313079</v>
          </cell>
          <cell r="F11">
            <v>0</v>
          </cell>
        </row>
        <row r="12">
          <cell r="B12">
            <v>87149200304</v>
          </cell>
          <cell r="C12" t="str">
            <v>輪圈及輪幅</v>
          </cell>
          <cell r="D12">
            <v>8767695</v>
          </cell>
          <cell r="E12">
            <v>73378</v>
          </cell>
          <cell r="F12">
            <v>102897</v>
          </cell>
        </row>
        <row r="13">
          <cell r="B13">
            <v>87149620002</v>
          </cell>
          <cell r="C13" t="str">
            <v>曲柄齒輪及其零件</v>
          </cell>
          <cell r="D13">
            <v>7750778</v>
          </cell>
          <cell r="E13">
            <v>153444</v>
          </cell>
          <cell r="F13">
            <v>0</v>
          </cell>
        </row>
        <row r="14">
          <cell r="B14">
            <v>87149990111</v>
          </cell>
          <cell r="C14" t="str">
            <v>腳踏車用變速器</v>
          </cell>
          <cell r="D14">
            <v>6806082</v>
          </cell>
          <cell r="E14">
            <v>51731</v>
          </cell>
          <cell r="F14">
            <v>0</v>
          </cell>
        </row>
        <row r="15">
          <cell r="B15">
            <v>87149320906</v>
          </cell>
          <cell r="C15" t="str">
            <v>其他飛輪之鏈輪</v>
          </cell>
          <cell r="D15">
            <v>6376838</v>
          </cell>
          <cell r="E15">
            <v>162370</v>
          </cell>
          <cell r="F15">
            <v>0</v>
          </cell>
        </row>
        <row r="16">
          <cell r="B16">
            <v>87149990157</v>
          </cell>
          <cell r="C16" t="str">
            <v>腳踏車用座管及上下管</v>
          </cell>
          <cell r="D16">
            <v>4684134</v>
          </cell>
          <cell r="E16">
            <v>123866</v>
          </cell>
          <cell r="F16">
            <v>0</v>
          </cell>
        </row>
        <row r="17">
          <cell r="B17">
            <v>87149310007</v>
          </cell>
          <cell r="C17" t="str">
            <v>輪轂，但倒煞車輪轂及輪轂煞車除外</v>
          </cell>
          <cell r="D17">
            <v>3878556</v>
          </cell>
          <cell r="E17">
            <v>51373</v>
          </cell>
          <cell r="F17">
            <v>0</v>
          </cell>
        </row>
        <row r="18">
          <cell r="B18">
            <v>87149610004</v>
          </cell>
          <cell r="C18" t="str">
            <v>踏板及其零件</v>
          </cell>
          <cell r="D18">
            <v>3724557</v>
          </cell>
          <cell r="E18">
            <v>151447</v>
          </cell>
          <cell r="F18">
            <v>0</v>
          </cell>
        </row>
        <row r="19">
          <cell r="B19">
            <v>87149990166</v>
          </cell>
          <cell r="C19" t="str">
            <v>腳踏車用把手</v>
          </cell>
          <cell r="D19">
            <v>3676213</v>
          </cell>
          <cell r="E19">
            <v>80478</v>
          </cell>
          <cell r="F19">
            <v>0</v>
          </cell>
        </row>
        <row r="20">
          <cell r="B20">
            <v>87149200108</v>
          </cell>
          <cell r="C20" t="str">
            <v>輪圈</v>
          </cell>
          <cell r="D20">
            <v>3017925</v>
          </cell>
          <cell r="E20">
            <v>87585</v>
          </cell>
          <cell r="F20">
            <v>159163</v>
          </cell>
        </row>
        <row r="21">
          <cell r="B21">
            <v>87149500007</v>
          </cell>
          <cell r="C21" t="str">
            <v>腳踏車車座</v>
          </cell>
          <cell r="D21">
            <v>2839253</v>
          </cell>
          <cell r="E21">
            <v>125355</v>
          </cell>
          <cell r="F21">
            <v>0</v>
          </cell>
        </row>
        <row r="22">
          <cell r="B22">
            <v>87149990148</v>
          </cell>
          <cell r="C22" t="str">
            <v>腳踏車用把手豎管</v>
          </cell>
          <cell r="D22">
            <v>1956223</v>
          </cell>
          <cell r="E22">
            <v>58210</v>
          </cell>
          <cell r="F22">
            <v>0</v>
          </cell>
        </row>
        <row r="23">
          <cell r="B23">
            <v>87149200206</v>
          </cell>
          <cell r="C23" t="str">
            <v>輪幅</v>
          </cell>
          <cell r="D23">
            <v>1041464</v>
          </cell>
          <cell r="E23">
            <v>81047</v>
          </cell>
          <cell r="F23">
            <v>12161887</v>
          </cell>
        </row>
        <row r="24">
          <cell r="B24">
            <v>87149990139</v>
          </cell>
          <cell r="C24" t="str">
            <v>腳踏車用軸心</v>
          </cell>
          <cell r="D24">
            <v>269941</v>
          </cell>
          <cell r="E24">
            <v>8476</v>
          </cell>
          <cell r="F24">
            <v>0</v>
          </cell>
        </row>
        <row r="25">
          <cell r="B25">
            <v>87149410006</v>
          </cell>
          <cell r="C25" t="str">
            <v>鋼?煞車器及其零件</v>
          </cell>
          <cell r="D25">
            <v>172476</v>
          </cell>
          <cell r="E25">
            <v>7531</v>
          </cell>
          <cell r="F25">
            <v>0</v>
          </cell>
        </row>
        <row r="26">
          <cell r="B26">
            <v>87149320103</v>
          </cell>
          <cell r="C26" t="str">
            <v>裝有棘輪機構之單一鏈輪　</v>
          </cell>
          <cell r="D26">
            <v>15869</v>
          </cell>
          <cell r="E26">
            <v>448</v>
          </cell>
          <cell r="F26">
            <v>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>
            <v>87149120007</v>
          </cell>
          <cell r="C10" t="str">
            <v>其他車架及叉及其零件</v>
          </cell>
          <cell r="D10">
            <v>69114127</v>
          </cell>
          <cell r="E10">
            <v>1213910</v>
          </cell>
          <cell r="F10">
            <v>0</v>
          </cell>
        </row>
        <row r="11">
          <cell r="B11">
            <v>87149490009</v>
          </cell>
          <cell r="C11" t="str">
            <v>其他煞車器及其零件</v>
          </cell>
          <cell r="D11">
            <v>31361786</v>
          </cell>
          <cell r="E11">
            <v>738462</v>
          </cell>
          <cell r="F11">
            <v>0</v>
          </cell>
        </row>
        <row r="12">
          <cell r="B12">
            <v>87149200304</v>
          </cell>
          <cell r="C12" t="str">
            <v>輪圈及輪幅</v>
          </cell>
          <cell r="D12">
            <v>19526245</v>
          </cell>
          <cell r="E12">
            <v>144865</v>
          </cell>
          <cell r="F12">
            <v>283405</v>
          </cell>
        </row>
        <row r="13">
          <cell r="B13">
            <v>87149620002</v>
          </cell>
          <cell r="C13" t="str">
            <v>曲柄齒輪及其零件</v>
          </cell>
          <cell r="D13">
            <v>16514013</v>
          </cell>
          <cell r="E13">
            <v>314021</v>
          </cell>
          <cell r="F13">
            <v>0</v>
          </cell>
        </row>
        <row r="14">
          <cell r="B14">
            <v>87149990111</v>
          </cell>
          <cell r="C14" t="str">
            <v>腳踏車用變速器</v>
          </cell>
          <cell r="D14">
            <v>14819695</v>
          </cell>
          <cell r="E14">
            <v>123000</v>
          </cell>
          <cell r="F14">
            <v>0</v>
          </cell>
        </row>
        <row r="15">
          <cell r="B15">
            <v>87149320906</v>
          </cell>
          <cell r="C15" t="str">
            <v>其他飛輪之鏈輪</v>
          </cell>
          <cell r="D15">
            <v>13091715</v>
          </cell>
          <cell r="E15">
            <v>319169</v>
          </cell>
          <cell r="F15">
            <v>0</v>
          </cell>
        </row>
        <row r="16">
          <cell r="B16">
            <v>87149990157</v>
          </cell>
          <cell r="C16" t="str">
            <v>腳踏車用座管及上下管</v>
          </cell>
          <cell r="D16">
            <v>9577064</v>
          </cell>
          <cell r="E16">
            <v>260642</v>
          </cell>
          <cell r="F16">
            <v>0</v>
          </cell>
        </row>
        <row r="17">
          <cell r="B17">
            <v>87149990166</v>
          </cell>
          <cell r="C17" t="str">
            <v>腳踏車用把手</v>
          </cell>
          <cell r="D17">
            <v>8378874</v>
          </cell>
          <cell r="E17">
            <v>210467</v>
          </cell>
          <cell r="F17">
            <v>0</v>
          </cell>
        </row>
        <row r="18">
          <cell r="B18">
            <v>87149310007</v>
          </cell>
          <cell r="C18" t="str">
            <v>輪轂，但倒煞車輪轂及輪轂煞車除外</v>
          </cell>
          <cell r="D18">
            <v>8116485</v>
          </cell>
          <cell r="E18">
            <v>103391</v>
          </cell>
          <cell r="F18">
            <v>0</v>
          </cell>
        </row>
        <row r="19">
          <cell r="B19">
            <v>87149610004</v>
          </cell>
          <cell r="C19" t="str">
            <v>踏板及其零件</v>
          </cell>
          <cell r="D19">
            <v>7677992</v>
          </cell>
          <cell r="E19">
            <v>289804</v>
          </cell>
          <cell r="F19">
            <v>0</v>
          </cell>
        </row>
        <row r="20">
          <cell r="B20">
            <v>87149200108</v>
          </cell>
          <cell r="C20" t="str">
            <v>輪圈</v>
          </cell>
          <cell r="D20">
            <v>5990011</v>
          </cell>
          <cell r="E20">
            <v>202762</v>
          </cell>
          <cell r="F20">
            <v>378193</v>
          </cell>
        </row>
        <row r="21">
          <cell r="B21">
            <v>87149500007</v>
          </cell>
          <cell r="C21" t="str">
            <v>腳踏車車座</v>
          </cell>
          <cell r="D21">
            <v>5740039</v>
          </cell>
          <cell r="E21">
            <v>277813</v>
          </cell>
          <cell r="F21">
            <v>0</v>
          </cell>
        </row>
        <row r="22">
          <cell r="B22">
            <v>87149990148</v>
          </cell>
          <cell r="C22" t="str">
            <v>腳踏車用把手豎管</v>
          </cell>
          <cell r="D22">
            <v>4624537</v>
          </cell>
          <cell r="E22">
            <v>142618</v>
          </cell>
          <cell r="F22">
            <v>0</v>
          </cell>
        </row>
        <row r="23">
          <cell r="B23">
            <v>87149200206</v>
          </cell>
          <cell r="C23" t="str">
            <v>輪幅</v>
          </cell>
          <cell r="D23">
            <v>2369503</v>
          </cell>
          <cell r="E23">
            <v>178595</v>
          </cell>
          <cell r="F23">
            <v>28532507</v>
          </cell>
        </row>
        <row r="24">
          <cell r="B24">
            <v>87149990139</v>
          </cell>
          <cell r="C24" t="str">
            <v>腳踏車用軸心</v>
          </cell>
          <cell r="D24">
            <v>444126</v>
          </cell>
          <cell r="E24">
            <v>16359</v>
          </cell>
          <cell r="F24">
            <v>0</v>
          </cell>
        </row>
        <row r="25">
          <cell r="B25">
            <v>87149410006</v>
          </cell>
          <cell r="C25" t="str">
            <v>鋼?煞車器及其零件</v>
          </cell>
          <cell r="D25">
            <v>414341</v>
          </cell>
          <cell r="E25">
            <v>14656</v>
          </cell>
          <cell r="F25">
            <v>0</v>
          </cell>
        </row>
        <row r="26">
          <cell r="B26">
            <v>87149320103</v>
          </cell>
          <cell r="C26" t="str">
            <v>裝有棘輪機構之單一鏈輪　</v>
          </cell>
          <cell r="D26">
            <v>132297</v>
          </cell>
          <cell r="E26">
            <v>4099</v>
          </cell>
          <cell r="F26">
            <v>0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>
            <v>87149120007</v>
          </cell>
          <cell r="C10" t="str">
            <v>其他車架及叉及其零件</v>
          </cell>
          <cell r="D10">
            <v>18407888</v>
          </cell>
          <cell r="E10">
            <v>321729</v>
          </cell>
          <cell r="F10">
            <v>0</v>
          </cell>
        </row>
        <row r="11">
          <cell r="B11">
            <v>87149200108</v>
          </cell>
          <cell r="C11" t="str">
            <v>輪圈</v>
          </cell>
          <cell r="D11">
            <v>5485577</v>
          </cell>
          <cell r="E11">
            <v>57047</v>
          </cell>
          <cell r="F11">
            <v>153960</v>
          </cell>
        </row>
        <row r="12">
          <cell r="B12">
            <v>87149490009</v>
          </cell>
          <cell r="C12" t="str">
            <v>其他煞車器及其零件</v>
          </cell>
          <cell r="D12">
            <v>4070843</v>
          </cell>
          <cell r="E12">
            <v>150510</v>
          </cell>
          <cell r="F12">
            <v>0</v>
          </cell>
        </row>
        <row r="13">
          <cell r="B13">
            <v>87149990166</v>
          </cell>
          <cell r="C13" t="str">
            <v>腳踏車用把手</v>
          </cell>
          <cell r="D13">
            <v>2377686</v>
          </cell>
          <cell r="E13">
            <v>27724</v>
          </cell>
          <cell r="F13">
            <v>0</v>
          </cell>
        </row>
        <row r="14">
          <cell r="B14">
            <v>87149990111</v>
          </cell>
          <cell r="C14" t="str">
            <v>腳踏車用變速器</v>
          </cell>
          <cell r="D14">
            <v>2029552</v>
          </cell>
          <cell r="E14">
            <v>42474</v>
          </cell>
          <cell r="F14">
            <v>0</v>
          </cell>
        </row>
        <row r="15">
          <cell r="B15">
            <v>87149620002</v>
          </cell>
          <cell r="C15" t="str">
            <v>曲柄齒輪及其零件</v>
          </cell>
          <cell r="D15">
            <v>1671023</v>
          </cell>
          <cell r="E15">
            <v>86794</v>
          </cell>
          <cell r="F15">
            <v>0</v>
          </cell>
        </row>
        <row r="16">
          <cell r="B16">
            <v>87149310007</v>
          </cell>
          <cell r="C16" t="str">
            <v>輪轂，但倒煞車輪轂及輪轂煞車除外</v>
          </cell>
          <cell r="D16">
            <v>1642503</v>
          </cell>
          <cell r="E16">
            <v>39263</v>
          </cell>
          <cell r="F16">
            <v>0</v>
          </cell>
        </row>
        <row r="17">
          <cell r="B17">
            <v>87149500007</v>
          </cell>
          <cell r="C17" t="str">
            <v>腳踏車車座</v>
          </cell>
          <cell r="D17">
            <v>863360</v>
          </cell>
          <cell r="E17">
            <v>46666</v>
          </cell>
          <cell r="F17">
            <v>0</v>
          </cell>
        </row>
        <row r="18">
          <cell r="B18">
            <v>87149990157</v>
          </cell>
          <cell r="C18" t="str">
            <v>腳踏車用座管及上下管</v>
          </cell>
          <cell r="D18">
            <v>735411</v>
          </cell>
          <cell r="E18">
            <v>21044</v>
          </cell>
          <cell r="F18">
            <v>0</v>
          </cell>
        </row>
        <row r="19">
          <cell r="B19">
            <v>87149200206</v>
          </cell>
          <cell r="C19" t="str">
            <v>輪幅</v>
          </cell>
          <cell r="D19">
            <v>708423</v>
          </cell>
          <cell r="E19">
            <v>16772</v>
          </cell>
          <cell r="F19">
            <v>2670474</v>
          </cell>
        </row>
        <row r="20">
          <cell r="B20">
            <v>87149320906</v>
          </cell>
          <cell r="C20" t="str">
            <v>其他飛輪之鏈輪</v>
          </cell>
          <cell r="D20">
            <v>624400</v>
          </cell>
          <cell r="E20">
            <v>17944</v>
          </cell>
          <cell r="F20">
            <v>0</v>
          </cell>
        </row>
        <row r="21">
          <cell r="B21">
            <v>87149200304</v>
          </cell>
          <cell r="C21" t="str">
            <v>輪圈及輪幅</v>
          </cell>
          <cell r="D21">
            <v>412799</v>
          </cell>
          <cell r="E21">
            <v>3569</v>
          </cell>
          <cell r="F21">
            <v>88715</v>
          </cell>
        </row>
        <row r="22">
          <cell r="B22">
            <v>87149410006</v>
          </cell>
          <cell r="C22" t="str">
            <v>鋼?煞車器及其零件</v>
          </cell>
          <cell r="D22">
            <v>295315</v>
          </cell>
          <cell r="E22">
            <v>2919</v>
          </cell>
          <cell r="F22">
            <v>0</v>
          </cell>
        </row>
        <row r="23">
          <cell r="B23">
            <v>87149990148</v>
          </cell>
          <cell r="C23" t="str">
            <v>腳踏車用把手豎管</v>
          </cell>
          <cell r="D23">
            <v>239059</v>
          </cell>
          <cell r="E23">
            <v>7795</v>
          </cell>
          <cell r="F23">
            <v>0</v>
          </cell>
        </row>
        <row r="24">
          <cell r="B24">
            <v>87149610004</v>
          </cell>
          <cell r="C24" t="str">
            <v>踏板及其零件</v>
          </cell>
          <cell r="D24">
            <v>153514</v>
          </cell>
          <cell r="E24">
            <v>23121</v>
          </cell>
          <cell r="F24">
            <v>0</v>
          </cell>
        </row>
        <row r="25">
          <cell r="B25">
            <v>87149990139</v>
          </cell>
          <cell r="C25" t="str">
            <v>腳踏車用軸心</v>
          </cell>
          <cell r="D25">
            <v>87202</v>
          </cell>
          <cell r="E25">
            <v>8659</v>
          </cell>
          <cell r="F25">
            <v>0</v>
          </cell>
        </row>
        <row r="26">
          <cell r="B26">
            <v>87149320103</v>
          </cell>
          <cell r="C26" t="str">
            <v>裝有棘輪機構之單一鏈輪　</v>
          </cell>
          <cell r="D26">
            <v>12987</v>
          </cell>
          <cell r="E26">
            <v>254</v>
          </cell>
          <cell r="F26">
            <v>0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>
            <v>87149120007</v>
          </cell>
          <cell r="C10" t="str">
            <v>其他車架及叉及其零件</v>
          </cell>
          <cell r="D10">
            <v>40397049</v>
          </cell>
          <cell r="E10">
            <v>676542</v>
          </cell>
          <cell r="F10">
            <v>0</v>
          </cell>
        </row>
        <row r="11">
          <cell r="B11">
            <v>87149490009</v>
          </cell>
          <cell r="C11" t="str">
            <v>其他煞車器及其零件</v>
          </cell>
          <cell r="D11">
            <v>19480303</v>
          </cell>
          <cell r="E11">
            <v>363745</v>
          </cell>
          <cell r="F11">
            <v>0</v>
          </cell>
        </row>
        <row r="12">
          <cell r="B12">
            <v>87149200108</v>
          </cell>
          <cell r="C12" t="str">
            <v>輪圈</v>
          </cell>
          <cell r="D12">
            <v>10759141</v>
          </cell>
          <cell r="E12">
            <v>117148</v>
          </cell>
          <cell r="F12">
            <v>273033</v>
          </cell>
        </row>
        <row r="13">
          <cell r="B13">
            <v>87149990111</v>
          </cell>
          <cell r="C13" t="str">
            <v>腳踏車用變速器</v>
          </cell>
          <cell r="D13">
            <v>5759344</v>
          </cell>
          <cell r="E13">
            <v>77060</v>
          </cell>
          <cell r="F13">
            <v>0</v>
          </cell>
        </row>
        <row r="14">
          <cell r="B14">
            <v>87149620002</v>
          </cell>
          <cell r="C14" t="str">
            <v>曲柄齒輪及其零件</v>
          </cell>
          <cell r="D14">
            <v>4887907</v>
          </cell>
          <cell r="E14">
            <v>184675</v>
          </cell>
          <cell r="F14">
            <v>0</v>
          </cell>
        </row>
        <row r="15">
          <cell r="B15">
            <v>87149990166</v>
          </cell>
          <cell r="C15" t="str">
            <v>腳踏車用把手</v>
          </cell>
          <cell r="D15">
            <v>4664194</v>
          </cell>
          <cell r="E15">
            <v>60574</v>
          </cell>
          <cell r="F15">
            <v>0</v>
          </cell>
        </row>
        <row r="16">
          <cell r="B16">
            <v>87149310007</v>
          </cell>
          <cell r="C16" t="str">
            <v>輪轂，但倒煞車輪轂及輪轂煞車除外</v>
          </cell>
          <cell r="D16">
            <v>4441641</v>
          </cell>
          <cell r="E16">
            <v>91183</v>
          </cell>
          <cell r="F16">
            <v>0</v>
          </cell>
        </row>
        <row r="17">
          <cell r="B17">
            <v>87149990157</v>
          </cell>
          <cell r="C17" t="str">
            <v>腳踏車用座管及上下管</v>
          </cell>
          <cell r="D17">
            <v>2068609</v>
          </cell>
          <cell r="E17">
            <v>65309</v>
          </cell>
          <cell r="F17">
            <v>0</v>
          </cell>
        </row>
        <row r="18">
          <cell r="B18">
            <v>87149320906</v>
          </cell>
          <cell r="C18" t="str">
            <v>其他飛輪之鏈輪</v>
          </cell>
          <cell r="D18">
            <v>2011026</v>
          </cell>
          <cell r="E18">
            <v>47305</v>
          </cell>
          <cell r="F18">
            <v>0</v>
          </cell>
        </row>
        <row r="19">
          <cell r="B19">
            <v>87149500007</v>
          </cell>
          <cell r="C19" t="str">
            <v>腳踏車車座</v>
          </cell>
          <cell r="D19">
            <v>1944285</v>
          </cell>
          <cell r="E19">
            <v>106713</v>
          </cell>
          <cell r="F19">
            <v>0</v>
          </cell>
        </row>
        <row r="20">
          <cell r="B20">
            <v>87149200206</v>
          </cell>
          <cell r="C20" t="str">
            <v>輪幅</v>
          </cell>
          <cell r="D20">
            <v>1863355</v>
          </cell>
          <cell r="E20">
            <v>29746</v>
          </cell>
          <cell r="F20">
            <v>5358810</v>
          </cell>
        </row>
        <row r="21">
          <cell r="B21">
            <v>87149200304</v>
          </cell>
          <cell r="C21" t="str">
            <v>輪圈及輪幅</v>
          </cell>
          <cell r="D21">
            <v>1318977</v>
          </cell>
          <cell r="E21">
            <v>19982</v>
          </cell>
          <cell r="F21">
            <v>310765</v>
          </cell>
        </row>
        <row r="22">
          <cell r="B22">
            <v>87149410006</v>
          </cell>
          <cell r="C22" t="str">
            <v>鋼?煞車器及其零件</v>
          </cell>
          <cell r="D22">
            <v>579043</v>
          </cell>
          <cell r="E22">
            <v>7403</v>
          </cell>
          <cell r="F22">
            <v>0</v>
          </cell>
        </row>
        <row r="23">
          <cell r="B23">
            <v>87149990148</v>
          </cell>
          <cell r="C23" t="str">
            <v>腳踏車用把手豎管</v>
          </cell>
          <cell r="D23">
            <v>454916</v>
          </cell>
          <cell r="E23">
            <v>19680</v>
          </cell>
          <cell r="F23">
            <v>0</v>
          </cell>
        </row>
        <row r="24">
          <cell r="B24">
            <v>87149610004</v>
          </cell>
          <cell r="C24" t="str">
            <v>踏板及其零件</v>
          </cell>
          <cell r="D24">
            <v>447410</v>
          </cell>
          <cell r="E24">
            <v>56257</v>
          </cell>
          <cell r="F24">
            <v>0</v>
          </cell>
        </row>
        <row r="25">
          <cell r="B25">
            <v>87149990139</v>
          </cell>
          <cell r="C25" t="str">
            <v>腳踏車用軸心</v>
          </cell>
          <cell r="D25">
            <v>193355</v>
          </cell>
          <cell r="E25">
            <v>14975</v>
          </cell>
          <cell r="F25">
            <v>0</v>
          </cell>
        </row>
        <row r="26">
          <cell r="B26">
            <v>87149320103</v>
          </cell>
          <cell r="C26" t="str">
            <v>裝有棘輪機構之單一鏈輪　</v>
          </cell>
          <cell r="D26">
            <v>37058</v>
          </cell>
          <cell r="E26">
            <v>698</v>
          </cell>
          <cell r="F26">
            <v>0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>
            <v>87149120007</v>
          </cell>
          <cell r="C10" t="str">
            <v>其他車架及叉及其零件</v>
          </cell>
          <cell r="D10">
            <v>73595324</v>
          </cell>
          <cell r="E10">
            <v>1224572</v>
          </cell>
        </row>
        <row r="11">
          <cell r="B11">
            <v>87149490009</v>
          </cell>
          <cell r="C11" t="str">
            <v>其他煞車器及其零件</v>
          </cell>
          <cell r="D11">
            <v>27478819</v>
          </cell>
          <cell r="E11">
            <v>685991</v>
          </cell>
        </row>
        <row r="12">
          <cell r="B12">
            <v>87149200304</v>
          </cell>
          <cell r="C12" t="str">
            <v>輪圈及輪幅</v>
          </cell>
          <cell r="D12">
            <v>15209845</v>
          </cell>
          <cell r="E12">
            <v>101990</v>
          </cell>
        </row>
        <row r="13">
          <cell r="B13">
            <v>87149620002</v>
          </cell>
          <cell r="C13" t="str">
            <v>曲柄齒輪及其零件</v>
          </cell>
          <cell r="D13">
            <v>12270371</v>
          </cell>
          <cell r="E13">
            <v>266066</v>
          </cell>
        </row>
        <row r="14">
          <cell r="B14">
            <v>87149990111</v>
          </cell>
          <cell r="C14" t="str">
            <v>腳踏車用變速器</v>
          </cell>
          <cell r="D14">
            <v>11329128</v>
          </cell>
          <cell r="E14">
            <v>140346</v>
          </cell>
        </row>
        <row r="15">
          <cell r="B15">
            <v>87149320906</v>
          </cell>
          <cell r="C15" t="str">
            <v>其他飛輪之鏈輪</v>
          </cell>
          <cell r="D15">
            <v>8012021</v>
          </cell>
          <cell r="E15">
            <v>254513</v>
          </cell>
        </row>
        <row r="16">
          <cell r="B16">
            <v>87149990157</v>
          </cell>
          <cell r="C16" t="str">
            <v>腳踏車用座管及上下管</v>
          </cell>
          <cell r="D16">
            <v>7944572</v>
          </cell>
          <cell r="E16">
            <v>176588</v>
          </cell>
        </row>
        <row r="17">
          <cell r="B17">
            <v>87149310007</v>
          </cell>
          <cell r="C17" t="str">
            <v>輪轂，但倒煞車輪轂及輪轂煞車除外</v>
          </cell>
          <cell r="D17">
            <v>7740548</v>
          </cell>
          <cell r="E17">
            <v>81683</v>
          </cell>
        </row>
        <row r="18">
          <cell r="B18">
            <v>87149990166</v>
          </cell>
          <cell r="C18" t="str">
            <v>腳踏車用把手</v>
          </cell>
          <cell r="D18">
            <v>6209659</v>
          </cell>
          <cell r="E18">
            <v>183797</v>
          </cell>
        </row>
        <row r="19">
          <cell r="B19">
            <v>87149610004</v>
          </cell>
          <cell r="C19" t="str">
            <v>踏板及其零件</v>
          </cell>
          <cell r="D19">
            <v>5895916</v>
          </cell>
          <cell r="E19">
            <v>243354</v>
          </cell>
        </row>
        <row r="20">
          <cell r="B20">
            <v>87149200108</v>
          </cell>
          <cell r="C20" t="str">
            <v>輪圈</v>
          </cell>
          <cell r="D20">
            <v>5870671</v>
          </cell>
          <cell r="E20">
            <v>180618</v>
          </cell>
        </row>
        <row r="21">
          <cell r="B21">
            <v>87149500007</v>
          </cell>
          <cell r="C21" t="str">
            <v>腳踏車車座</v>
          </cell>
          <cell r="D21">
            <v>5228540</v>
          </cell>
          <cell r="E21">
            <v>246731</v>
          </cell>
        </row>
        <row r="22">
          <cell r="B22">
            <v>87149990148</v>
          </cell>
          <cell r="C22" t="str">
            <v>腳踏車用把手豎管</v>
          </cell>
          <cell r="D22">
            <v>3347422</v>
          </cell>
          <cell r="E22">
            <v>96101</v>
          </cell>
        </row>
        <row r="23">
          <cell r="B23">
            <v>87149200206</v>
          </cell>
          <cell r="C23" t="str">
            <v>輪幅</v>
          </cell>
          <cell r="D23">
            <v>1804249</v>
          </cell>
          <cell r="E23">
            <v>136376</v>
          </cell>
        </row>
        <row r="24">
          <cell r="B24">
            <v>87149990139</v>
          </cell>
          <cell r="C24" t="str">
            <v>腳踏車用軸心</v>
          </cell>
          <cell r="D24">
            <v>312867</v>
          </cell>
          <cell r="E24">
            <v>15442</v>
          </cell>
        </row>
        <row r="25">
          <cell r="B25">
            <v>87149410006</v>
          </cell>
          <cell r="C25" t="str">
            <v>鋼?煞車器及其零件</v>
          </cell>
          <cell r="D25">
            <v>227269</v>
          </cell>
          <cell r="E25">
            <v>14553</v>
          </cell>
        </row>
        <row r="26">
          <cell r="B26">
            <v>87149320103</v>
          </cell>
          <cell r="C26" t="str">
            <v>裝有棘輪機構之單一鏈輪　</v>
          </cell>
          <cell r="D26">
            <v>135599</v>
          </cell>
          <cell r="E26">
            <v>4477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>
            <v>87149120007</v>
          </cell>
          <cell r="C10" t="str">
            <v>其他車架及叉及其零件</v>
          </cell>
          <cell r="D10">
            <v>39823711</v>
          </cell>
          <cell r="E10">
            <v>569045</v>
          </cell>
        </row>
        <row r="11">
          <cell r="B11">
            <v>87149490009</v>
          </cell>
          <cell r="C11" t="str">
            <v>其他煞車器及其零件</v>
          </cell>
          <cell r="D11">
            <v>12443558</v>
          </cell>
          <cell r="E11">
            <v>219834</v>
          </cell>
        </row>
        <row r="12">
          <cell r="B12">
            <v>87149200108</v>
          </cell>
          <cell r="C12" t="str">
            <v>輪圈</v>
          </cell>
          <cell r="D12">
            <v>9328912</v>
          </cell>
          <cell r="E12">
            <v>87889</v>
          </cell>
        </row>
        <row r="13">
          <cell r="B13">
            <v>87149620002</v>
          </cell>
          <cell r="C13" t="str">
            <v>曲柄齒輪及其零件</v>
          </cell>
          <cell r="D13">
            <v>4775602</v>
          </cell>
          <cell r="E13">
            <v>186781</v>
          </cell>
        </row>
        <row r="14">
          <cell r="B14">
            <v>87149310007</v>
          </cell>
          <cell r="C14" t="str">
            <v>輪轂，但倒煞車輪轂及輪轂煞車除外</v>
          </cell>
          <cell r="D14">
            <v>3987890</v>
          </cell>
          <cell r="E14">
            <v>87288</v>
          </cell>
        </row>
        <row r="15">
          <cell r="B15">
            <v>87149990111</v>
          </cell>
          <cell r="C15" t="str">
            <v>腳踏車用變速器</v>
          </cell>
          <cell r="D15">
            <v>3629157</v>
          </cell>
          <cell r="E15">
            <v>38589</v>
          </cell>
        </row>
        <row r="16">
          <cell r="B16">
            <v>87149990166</v>
          </cell>
          <cell r="C16" t="str">
            <v>腳踏車用把手</v>
          </cell>
          <cell r="D16">
            <v>3003838</v>
          </cell>
          <cell r="E16">
            <v>47576</v>
          </cell>
        </row>
        <row r="17">
          <cell r="B17">
            <v>87149200206</v>
          </cell>
          <cell r="C17" t="str">
            <v>輪幅</v>
          </cell>
          <cell r="D17">
            <v>2122082</v>
          </cell>
          <cell r="E17">
            <v>18884</v>
          </cell>
        </row>
        <row r="18">
          <cell r="B18">
            <v>87149320906</v>
          </cell>
          <cell r="C18" t="str">
            <v>其他飛輪之鏈輪</v>
          </cell>
          <cell r="D18">
            <v>1990760</v>
          </cell>
          <cell r="E18">
            <v>48318</v>
          </cell>
        </row>
        <row r="19">
          <cell r="B19">
            <v>87149990157</v>
          </cell>
          <cell r="C19" t="str">
            <v>腳踏車用座管及上下管</v>
          </cell>
          <cell r="D19">
            <v>1611769</v>
          </cell>
          <cell r="E19">
            <v>44645</v>
          </cell>
        </row>
        <row r="20">
          <cell r="B20">
            <v>87149200304</v>
          </cell>
          <cell r="C20" t="str">
            <v>輪圈及輪幅</v>
          </cell>
          <cell r="D20">
            <v>1534406</v>
          </cell>
          <cell r="E20">
            <v>11533</v>
          </cell>
        </row>
        <row r="21">
          <cell r="B21">
            <v>87149500007</v>
          </cell>
          <cell r="C21" t="str">
            <v>腳踏車車座</v>
          </cell>
          <cell r="D21">
            <v>1318425</v>
          </cell>
          <cell r="E21">
            <v>90761</v>
          </cell>
        </row>
        <row r="22">
          <cell r="B22">
            <v>87149990148</v>
          </cell>
          <cell r="C22" t="str">
            <v>腳踏車用把手豎管</v>
          </cell>
          <cell r="D22">
            <v>820274</v>
          </cell>
          <cell r="E22">
            <v>22622</v>
          </cell>
        </row>
        <row r="23">
          <cell r="B23">
            <v>87149610004</v>
          </cell>
          <cell r="C23" t="str">
            <v>踏板及其零件</v>
          </cell>
          <cell r="D23">
            <v>375783</v>
          </cell>
          <cell r="E23">
            <v>14611</v>
          </cell>
        </row>
        <row r="24">
          <cell r="B24">
            <v>87149410006</v>
          </cell>
          <cell r="C24" t="str">
            <v>鋼?煞車器及其零件</v>
          </cell>
          <cell r="D24">
            <v>324352</v>
          </cell>
          <cell r="E24">
            <v>3197</v>
          </cell>
        </row>
        <row r="25">
          <cell r="B25">
            <v>87149990139</v>
          </cell>
          <cell r="C25" t="str">
            <v>腳踏車用軸心</v>
          </cell>
          <cell r="D25">
            <v>76112</v>
          </cell>
          <cell r="E25">
            <v>2839</v>
          </cell>
        </row>
        <row r="26">
          <cell r="B26">
            <v>87149320103</v>
          </cell>
          <cell r="C26" t="str">
            <v>裝有棘輪機構之單一鏈輪　</v>
          </cell>
          <cell r="D26">
            <v>7692</v>
          </cell>
          <cell r="E26">
            <v>206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122304093</v>
          </cell>
          <cell r="C10">
            <v>122337</v>
          </cell>
        </row>
        <row r="11">
          <cell r="A11" t="str">
            <v>美國</v>
          </cell>
          <cell r="B11">
            <v>31995482</v>
          </cell>
          <cell r="C11">
            <v>43828</v>
          </cell>
        </row>
        <row r="12">
          <cell r="A12" t="str">
            <v>荷蘭</v>
          </cell>
          <cell r="B12">
            <v>23076961</v>
          </cell>
          <cell r="C12">
            <v>15199</v>
          </cell>
        </row>
        <row r="13">
          <cell r="A13" t="str">
            <v>中國大陸</v>
          </cell>
          <cell r="B13">
            <v>13597566</v>
          </cell>
          <cell r="C13">
            <v>8911</v>
          </cell>
        </row>
        <row r="14">
          <cell r="A14" t="str">
            <v>英國</v>
          </cell>
          <cell r="B14">
            <v>8498428</v>
          </cell>
          <cell r="C14">
            <v>8128</v>
          </cell>
        </row>
        <row r="15">
          <cell r="A15" t="str">
            <v>澳大利亞</v>
          </cell>
          <cell r="B15">
            <v>5490371</v>
          </cell>
          <cell r="C15">
            <v>6140</v>
          </cell>
        </row>
        <row r="16">
          <cell r="A16" t="str">
            <v>德國</v>
          </cell>
          <cell r="B16">
            <v>4281334</v>
          </cell>
          <cell r="C16">
            <v>6801</v>
          </cell>
        </row>
        <row r="17">
          <cell r="A17" t="str">
            <v>加拿大</v>
          </cell>
          <cell r="B17">
            <v>3540341</v>
          </cell>
          <cell r="C17">
            <v>2730</v>
          </cell>
        </row>
        <row r="18">
          <cell r="A18" t="str">
            <v>韓國</v>
          </cell>
          <cell r="B18">
            <v>3411481</v>
          </cell>
          <cell r="C18">
            <v>1776</v>
          </cell>
        </row>
        <row r="19">
          <cell r="A19" t="str">
            <v>西班牙</v>
          </cell>
          <cell r="B19">
            <v>3401313</v>
          </cell>
          <cell r="C19">
            <v>2039</v>
          </cell>
        </row>
        <row r="20">
          <cell r="A20" t="str">
            <v>比利時</v>
          </cell>
          <cell r="B20">
            <v>3177566</v>
          </cell>
          <cell r="C20">
            <v>1788</v>
          </cell>
        </row>
        <row r="21">
          <cell r="A21" t="str">
            <v>法國</v>
          </cell>
          <cell r="B21">
            <v>2447174</v>
          </cell>
          <cell r="C21">
            <v>1545</v>
          </cell>
        </row>
        <row r="22">
          <cell r="A22" t="str">
            <v>日本</v>
          </cell>
          <cell r="B22">
            <v>2118765</v>
          </cell>
          <cell r="C22">
            <v>2215</v>
          </cell>
        </row>
        <row r="23">
          <cell r="A23" t="str">
            <v>義大利</v>
          </cell>
          <cell r="B23">
            <v>2041897</v>
          </cell>
          <cell r="C23">
            <v>1523</v>
          </cell>
        </row>
        <row r="24">
          <cell r="A24" t="str">
            <v>瑞士</v>
          </cell>
          <cell r="B24">
            <v>1603844</v>
          </cell>
          <cell r="C24">
            <v>1775</v>
          </cell>
        </row>
        <row r="25">
          <cell r="A25" t="str">
            <v>波蘭</v>
          </cell>
          <cell r="B25">
            <v>1456029</v>
          </cell>
          <cell r="C25">
            <v>2688</v>
          </cell>
        </row>
        <row r="26">
          <cell r="A26" t="str">
            <v>巴拿馬</v>
          </cell>
          <cell r="B26">
            <v>1269620</v>
          </cell>
          <cell r="C26">
            <v>503</v>
          </cell>
        </row>
        <row r="27">
          <cell r="A27" t="str">
            <v>南非</v>
          </cell>
          <cell r="B27">
            <v>1099101</v>
          </cell>
          <cell r="C27">
            <v>513</v>
          </cell>
        </row>
        <row r="28">
          <cell r="A28" t="str">
            <v>挪威</v>
          </cell>
          <cell r="B28">
            <v>1053784</v>
          </cell>
          <cell r="C28">
            <v>923</v>
          </cell>
        </row>
        <row r="29">
          <cell r="A29" t="str">
            <v>哥倫比亞</v>
          </cell>
          <cell r="B29">
            <v>1028592</v>
          </cell>
          <cell r="C29">
            <v>545</v>
          </cell>
        </row>
        <row r="30">
          <cell r="A30" t="str">
            <v>墨西哥</v>
          </cell>
          <cell r="B30">
            <v>894148</v>
          </cell>
          <cell r="C30">
            <v>796</v>
          </cell>
        </row>
        <row r="31">
          <cell r="A31" t="str">
            <v>紐西蘭</v>
          </cell>
          <cell r="B31">
            <v>879445</v>
          </cell>
          <cell r="C31">
            <v>611</v>
          </cell>
        </row>
        <row r="32">
          <cell r="A32" t="str">
            <v>捷克</v>
          </cell>
          <cell r="B32">
            <v>586045</v>
          </cell>
          <cell r="C32">
            <v>1566</v>
          </cell>
        </row>
        <row r="33">
          <cell r="A33" t="str">
            <v>匈牙利</v>
          </cell>
          <cell r="B33">
            <v>452638</v>
          </cell>
          <cell r="C33">
            <v>778</v>
          </cell>
        </row>
        <row r="34">
          <cell r="A34" t="str">
            <v>巴西</v>
          </cell>
          <cell r="B34">
            <v>403394</v>
          </cell>
          <cell r="C34">
            <v>206</v>
          </cell>
        </row>
        <row r="35">
          <cell r="A35" t="str">
            <v>哥斯大黎加</v>
          </cell>
          <cell r="B35">
            <v>395104</v>
          </cell>
          <cell r="C35">
            <v>329</v>
          </cell>
        </row>
        <row r="36">
          <cell r="A36" t="str">
            <v>菲律賓</v>
          </cell>
          <cell r="B36">
            <v>379973</v>
          </cell>
          <cell r="C36">
            <v>283</v>
          </cell>
        </row>
        <row r="37">
          <cell r="A37" t="str">
            <v>丹麥</v>
          </cell>
          <cell r="B37">
            <v>376158</v>
          </cell>
          <cell r="C37">
            <v>2530</v>
          </cell>
        </row>
        <row r="38">
          <cell r="A38" t="str">
            <v>以色列</v>
          </cell>
          <cell r="B38">
            <v>345790</v>
          </cell>
          <cell r="C38">
            <v>460</v>
          </cell>
        </row>
        <row r="39">
          <cell r="A39" t="str">
            <v>阿拉伯聯合大公國</v>
          </cell>
          <cell r="B39">
            <v>329732</v>
          </cell>
          <cell r="C39">
            <v>460</v>
          </cell>
        </row>
        <row r="40">
          <cell r="A40" t="str">
            <v>智利</v>
          </cell>
          <cell r="B40">
            <v>316490</v>
          </cell>
          <cell r="C40">
            <v>207</v>
          </cell>
        </row>
        <row r="41">
          <cell r="A41" t="str">
            <v>新加坡</v>
          </cell>
          <cell r="B41">
            <v>278938</v>
          </cell>
          <cell r="C41">
            <v>213</v>
          </cell>
        </row>
        <row r="42">
          <cell r="A42" t="str">
            <v>厄瓜多</v>
          </cell>
          <cell r="B42">
            <v>209548</v>
          </cell>
          <cell r="C42">
            <v>109</v>
          </cell>
        </row>
        <row r="43">
          <cell r="A43" t="str">
            <v>俄羅斯</v>
          </cell>
          <cell r="B43">
            <v>201374</v>
          </cell>
          <cell r="C43">
            <v>580</v>
          </cell>
        </row>
        <row r="44">
          <cell r="A44" t="str">
            <v>瑞典</v>
          </cell>
          <cell r="B44">
            <v>178608</v>
          </cell>
          <cell r="C44">
            <v>437</v>
          </cell>
        </row>
        <row r="45">
          <cell r="A45" t="str">
            <v>秘魯</v>
          </cell>
          <cell r="B45">
            <v>124780</v>
          </cell>
          <cell r="C45">
            <v>60</v>
          </cell>
        </row>
        <row r="46">
          <cell r="A46" t="str">
            <v>印度</v>
          </cell>
          <cell r="B46">
            <v>124511</v>
          </cell>
          <cell r="C46">
            <v>193</v>
          </cell>
        </row>
        <row r="47">
          <cell r="A47" t="str">
            <v>泰國</v>
          </cell>
          <cell r="B47">
            <v>119328</v>
          </cell>
          <cell r="C47">
            <v>82</v>
          </cell>
        </row>
        <row r="48">
          <cell r="A48" t="str">
            <v>阿根廷</v>
          </cell>
          <cell r="B48">
            <v>105768</v>
          </cell>
          <cell r="C48">
            <v>283</v>
          </cell>
        </row>
        <row r="49">
          <cell r="A49" t="str">
            <v>香港</v>
          </cell>
          <cell r="B49">
            <v>102723</v>
          </cell>
          <cell r="C49">
            <v>65</v>
          </cell>
        </row>
        <row r="50">
          <cell r="A50" t="str">
            <v>拉脫維亞</v>
          </cell>
          <cell r="B50">
            <v>97131</v>
          </cell>
          <cell r="C50">
            <v>234</v>
          </cell>
        </row>
        <row r="51">
          <cell r="A51" t="str">
            <v>冰島</v>
          </cell>
          <cell r="B51">
            <v>95318</v>
          </cell>
          <cell r="C51">
            <v>640</v>
          </cell>
        </row>
        <row r="52">
          <cell r="A52" t="str">
            <v>愛沙尼亞</v>
          </cell>
          <cell r="B52">
            <v>91579</v>
          </cell>
          <cell r="C52">
            <v>277</v>
          </cell>
        </row>
        <row r="53">
          <cell r="A53" t="str">
            <v>哈薩克</v>
          </cell>
          <cell r="B53">
            <v>88507</v>
          </cell>
          <cell r="C53">
            <v>250</v>
          </cell>
        </row>
        <row r="54">
          <cell r="A54" t="str">
            <v>瓜地馬拉</v>
          </cell>
          <cell r="B54">
            <v>86166</v>
          </cell>
          <cell r="C54">
            <v>78</v>
          </cell>
        </row>
        <row r="55">
          <cell r="A55" t="str">
            <v>越南</v>
          </cell>
          <cell r="B55">
            <v>73731</v>
          </cell>
          <cell r="C55">
            <v>43</v>
          </cell>
        </row>
        <row r="56">
          <cell r="A56" t="str">
            <v>克羅埃西亞</v>
          </cell>
          <cell r="B56">
            <v>67715</v>
          </cell>
          <cell r="C56">
            <v>256</v>
          </cell>
        </row>
        <row r="57">
          <cell r="A57" t="str">
            <v>沙烏地阿拉伯</v>
          </cell>
          <cell r="B57">
            <v>64296</v>
          </cell>
          <cell r="C57">
            <v>32</v>
          </cell>
        </row>
        <row r="58">
          <cell r="A58" t="str">
            <v>土耳其</v>
          </cell>
          <cell r="B58">
            <v>63728</v>
          </cell>
          <cell r="C58">
            <v>28</v>
          </cell>
        </row>
        <row r="59">
          <cell r="A59" t="str">
            <v>斯洛伐克</v>
          </cell>
          <cell r="B59">
            <v>57583</v>
          </cell>
          <cell r="C59">
            <v>245</v>
          </cell>
        </row>
        <row r="60">
          <cell r="A60" t="str">
            <v>馬來西亞</v>
          </cell>
          <cell r="B60">
            <v>57343</v>
          </cell>
          <cell r="C60">
            <v>22</v>
          </cell>
        </row>
        <row r="61">
          <cell r="A61" t="str">
            <v>立陶宛</v>
          </cell>
          <cell r="B61">
            <v>43057</v>
          </cell>
          <cell r="C61">
            <v>101</v>
          </cell>
        </row>
        <row r="62">
          <cell r="A62" t="str">
            <v>多明尼加</v>
          </cell>
          <cell r="B62">
            <v>15749</v>
          </cell>
          <cell r="C62">
            <v>30</v>
          </cell>
        </row>
        <row r="63">
          <cell r="A63" t="str">
            <v>甘比亞</v>
          </cell>
          <cell r="B63">
            <v>7863</v>
          </cell>
          <cell r="C63">
            <v>182</v>
          </cell>
        </row>
        <row r="64">
          <cell r="A64" t="str">
            <v>幾內亞</v>
          </cell>
          <cell r="B64">
            <v>61</v>
          </cell>
          <cell r="C64">
            <v>50</v>
          </cell>
        </row>
        <row r="65">
          <cell r="A65" t="str">
            <v>約旦</v>
          </cell>
          <cell r="B65">
            <v>61</v>
          </cell>
          <cell r="C65">
            <v>1</v>
          </cell>
        </row>
        <row r="66">
          <cell r="A66" t="str">
            <v>奈及利亞</v>
          </cell>
          <cell r="B66">
            <v>61</v>
          </cell>
          <cell r="C66">
            <v>50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</sheetNames>
    <sheetDataSet>
      <sheetData sheetId="0">
        <row r="10">
          <cell r="B10" t="str">
            <v>總計</v>
          </cell>
        </row>
        <row r="11">
          <cell r="C11" t="str">
            <v>美國</v>
          </cell>
          <cell r="D11" t="str">
            <v>United States</v>
          </cell>
          <cell r="E11">
            <v>44739526</v>
          </cell>
          <cell r="F11">
            <v>46690756</v>
          </cell>
          <cell r="G11">
            <v>984098</v>
          </cell>
          <cell r="H11">
            <v>689322</v>
          </cell>
          <cell r="I11">
            <v>72176</v>
          </cell>
          <cell r="J11">
            <v>47446</v>
          </cell>
        </row>
        <row r="12">
          <cell r="C12" t="str">
            <v>荷蘭</v>
          </cell>
          <cell r="D12" t="str">
            <v>Netherlands</v>
          </cell>
          <cell r="E12">
            <v>10839495</v>
          </cell>
          <cell r="F12">
            <v>22492749</v>
          </cell>
          <cell r="G12">
            <v>132921</v>
          </cell>
          <cell r="H12">
            <v>272396</v>
          </cell>
          <cell r="I12">
            <v>10482</v>
          </cell>
          <cell r="J12">
            <v>20352</v>
          </cell>
        </row>
        <row r="13">
          <cell r="C13" t="str">
            <v>澳大利亞</v>
          </cell>
          <cell r="D13" t="str">
            <v>Australia</v>
          </cell>
          <cell r="E13">
            <v>8478700</v>
          </cell>
          <cell r="F13">
            <v>9472448</v>
          </cell>
          <cell r="G13">
            <v>154678</v>
          </cell>
          <cell r="H13">
            <v>85820</v>
          </cell>
          <cell r="I13">
            <v>10980</v>
          </cell>
          <cell r="J13">
            <v>6564</v>
          </cell>
        </row>
        <row r="14">
          <cell r="C14" t="str">
            <v>英國</v>
          </cell>
          <cell r="D14" t="str">
            <v>United Kingdom</v>
          </cell>
          <cell r="E14">
            <v>5857504</v>
          </cell>
          <cell r="F14">
            <v>7936304</v>
          </cell>
          <cell r="G14">
            <v>149312</v>
          </cell>
          <cell r="H14">
            <v>151787</v>
          </cell>
          <cell r="I14">
            <v>11331</v>
          </cell>
          <cell r="J14">
            <v>11699</v>
          </cell>
        </row>
        <row r="15">
          <cell r="C15" t="str">
            <v>加拿大</v>
          </cell>
          <cell r="D15" t="str">
            <v>Canada</v>
          </cell>
          <cell r="E15">
            <v>3458264</v>
          </cell>
          <cell r="F15">
            <v>7442615</v>
          </cell>
          <cell r="G15">
            <v>51289</v>
          </cell>
          <cell r="H15">
            <v>86283</v>
          </cell>
          <cell r="I15">
            <v>3785</v>
          </cell>
          <cell r="J15">
            <v>5903</v>
          </cell>
        </row>
        <row r="16">
          <cell r="C16" t="str">
            <v>中國大陸</v>
          </cell>
          <cell r="D16" t="str">
            <v>China</v>
          </cell>
          <cell r="E16">
            <v>1787811</v>
          </cell>
          <cell r="F16">
            <v>6956764</v>
          </cell>
          <cell r="G16">
            <v>13160</v>
          </cell>
          <cell r="H16">
            <v>105971</v>
          </cell>
          <cell r="I16">
            <v>1350</v>
          </cell>
          <cell r="J16">
            <v>8772</v>
          </cell>
        </row>
        <row r="17">
          <cell r="C17" t="str">
            <v>德國</v>
          </cell>
          <cell r="D17" t="str">
            <v>Germany</v>
          </cell>
          <cell r="E17">
            <v>1312370</v>
          </cell>
          <cell r="F17">
            <v>5630719</v>
          </cell>
          <cell r="G17">
            <v>66867</v>
          </cell>
          <cell r="H17">
            <v>156977</v>
          </cell>
          <cell r="I17">
            <v>5061</v>
          </cell>
          <cell r="J17">
            <v>12264</v>
          </cell>
        </row>
        <row r="18">
          <cell r="C18" t="str">
            <v>日本</v>
          </cell>
          <cell r="D18" t="str">
            <v>Japan</v>
          </cell>
          <cell r="E18">
            <v>3801408</v>
          </cell>
          <cell r="F18">
            <v>5216766</v>
          </cell>
          <cell r="G18">
            <v>49682</v>
          </cell>
          <cell r="H18">
            <v>62831</v>
          </cell>
          <cell r="I18">
            <v>4493</v>
          </cell>
          <cell r="J18">
            <v>5610</v>
          </cell>
        </row>
        <row r="19">
          <cell r="C19" t="str">
            <v>法國</v>
          </cell>
          <cell r="D19" t="str">
            <v>France</v>
          </cell>
          <cell r="E19">
            <v>822168</v>
          </cell>
          <cell r="F19">
            <v>4657126</v>
          </cell>
          <cell r="G19">
            <v>14399</v>
          </cell>
          <cell r="H19">
            <v>104274</v>
          </cell>
          <cell r="I19">
            <v>942</v>
          </cell>
          <cell r="J19">
            <v>6102</v>
          </cell>
        </row>
        <row r="20">
          <cell r="C20" t="str">
            <v>比利時</v>
          </cell>
          <cell r="D20" t="str">
            <v>Belgium</v>
          </cell>
          <cell r="E20">
            <v>4924735</v>
          </cell>
          <cell r="F20">
            <v>4005163</v>
          </cell>
          <cell r="G20">
            <v>157714</v>
          </cell>
          <cell r="H20">
            <v>25183</v>
          </cell>
          <cell r="I20">
            <v>9228</v>
          </cell>
          <cell r="J20">
            <v>1884</v>
          </cell>
        </row>
        <row r="21">
          <cell r="C21" t="str">
            <v>韓國</v>
          </cell>
          <cell r="D21" t="str">
            <v>Republic of Korea</v>
          </cell>
          <cell r="E21">
            <v>5397723</v>
          </cell>
          <cell r="F21">
            <v>3744934</v>
          </cell>
          <cell r="G21">
            <v>52486</v>
          </cell>
          <cell r="H21">
            <v>47965</v>
          </cell>
          <cell r="I21">
            <v>4901</v>
          </cell>
          <cell r="J21">
            <v>3797</v>
          </cell>
        </row>
        <row r="22">
          <cell r="C22" t="str">
            <v>義大利</v>
          </cell>
          <cell r="D22" t="str">
            <v>Italy</v>
          </cell>
          <cell r="E22">
            <v>1878010</v>
          </cell>
          <cell r="F22">
            <v>3185035</v>
          </cell>
          <cell r="G22">
            <v>14886</v>
          </cell>
          <cell r="H22">
            <v>19897</v>
          </cell>
          <cell r="I22">
            <v>1258</v>
          </cell>
          <cell r="J22">
            <v>1500</v>
          </cell>
        </row>
        <row r="23">
          <cell r="C23" t="str">
            <v>西班牙</v>
          </cell>
          <cell r="D23" t="str">
            <v>Spain</v>
          </cell>
          <cell r="E23">
            <v>48715</v>
          </cell>
          <cell r="F23">
            <v>3017123</v>
          </cell>
          <cell r="G23">
            <v>1985</v>
          </cell>
          <cell r="H23">
            <v>49811</v>
          </cell>
          <cell r="I23">
            <v>164</v>
          </cell>
          <cell r="J23">
            <v>3784</v>
          </cell>
        </row>
        <row r="24">
          <cell r="C24" t="str">
            <v>紐西蘭</v>
          </cell>
          <cell r="D24" t="str">
            <v>New Zealand</v>
          </cell>
          <cell r="E24">
            <v>2259492</v>
          </cell>
          <cell r="F24">
            <v>2489574</v>
          </cell>
          <cell r="G24">
            <v>26723</v>
          </cell>
          <cell r="H24">
            <v>21826</v>
          </cell>
          <cell r="I24">
            <v>1889</v>
          </cell>
          <cell r="J24">
            <v>1622</v>
          </cell>
        </row>
        <row r="25">
          <cell r="C25" t="str">
            <v>挪威</v>
          </cell>
          <cell r="D25" t="str">
            <v>Norway</v>
          </cell>
          <cell r="E25">
            <v>571538</v>
          </cell>
          <cell r="F25">
            <v>2083857</v>
          </cell>
          <cell r="G25">
            <v>7444</v>
          </cell>
          <cell r="H25">
            <v>101615</v>
          </cell>
          <cell r="I25">
            <v>598</v>
          </cell>
          <cell r="J25">
            <v>7229</v>
          </cell>
        </row>
        <row r="26">
          <cell r="C26" t="str">
            <v>墨西哥</v>
          </cell>
          <cell r="D26" t="str">
            <v>Mexico</v>
          </cell>
          <cell r="E26">
            <v>840037</v>
          </cell>
          <cell r="F26">
            <v>1993103</v>
          </cell>
          <cell r="G26">
            <v>11335</v>
          </cell>
          <cell r="H26">
            <v>17700</v>
          </cell>
          <cell r="I26">
            <v>861</v>
          </cell>
          <cell r="J26">
            <v>1354</v>
          </cell>
        </row>
        <row r="27">
          <cell r="C27" t="str">
            <v>巴拿馬</v>
          </cell>
          <cell r="D27" t="str">
            <v>Panama</v>
          </cell>
          <cell r="E27">
            <v>430670</v>
          </cell>
          <cell r="F27">
            <v>1449510</v>
          </cell>
          <cell r="G27">
            <v>3581</v>
          </cell>
          <cell r="H27">
            <v>9312</v>
          </cell>
          <cell r="I27">
            <v>302</v>
          </cell>
          <cell r="J27">
            <v>692</v>
          </cell>
        </row>
        <row r="28">
          <cell r="C28" t="str">
            <v>瑞士</v>
          </cell>
          <cell r="D28" t="str">
            <v>Switzerland</v>
          </cell>
          <cell r="E28">
            <v>1740505</v>
          </cell>
          <cell r="F28">
            <v>1391535</v>
          </cell>
          <cell r="G28">
            <v>9369</v>
          </cell>
          <cell r="H28">
            <v>15459</v>
          </cell>
          <cell r="I28">
            <v>999</v>
          </cell>
          <cell r="J28">
            <v>1324</v>
          </cell>
        </row>
        <row r="29">
          <cell r="C29" t="str">
            <v>智利</v>
          </cell>
          <cell r="D29" t="str">
            <v>Chile</v>
          </cell>
          <cell r="E29">
            <v>759565</v>
          </cell>
          <cell r="F29">
            <v>1259379</v>
          </cell>
          <cell r="G29">
            <v>8467</v>
          </cell>
          <cell r="H29">
            <v>11742</v>
          </cell>
          <cell r="I29">
            <v>628</v>
          </cell>
          <cell r="J29">
            <v>1884</v>
          </cell>
        </row>
        <row r="30">
          <cell r="C30" t="str">
            <v>南非</v>
          </cell>
          <cell r="D30" t="str">
            <v>South Africa</v>
          </cell>
          <cell r="E30">
            <v>1410597</v>
          </cell>
          <cell r="F30">
            <v>1215230</v>
          </cell>
          <cell r="G30">
            <v>13127</v>
          </cell>
          <cell r="H30">
            <v>6874</v>
          </cell>
          <cell r="I30">
            <v>996</v>
          </cell>
          <cell r="J30">
            <v>510</v>
          </cell>
        </row>
        <row r="31">
          <cell r="C31" t="str">
            <v>巴西</v>
          </cell>
          <cell r="D31" t="str">
            <v>Brazil</v>
          </cell>
          <cell r="E31">
            <v>123798</v>
          </cell>
          <cell r="F31">
            <v>1186145</v>
          </cell>
          <cell r="G31">
            <v>1581</v>
          </cell>
          <cell r="H31">
            <v>9747</v>
          </cell>
          <cell r="I31">
            <v>136</v>
          </cell>
          <cell r="J31">
            <v>783</v>
          </cell>
        </row>
        <row r="32">
          <cell r="C32" t="str">
            <v>波蘭</v>
          </cell>
          <cell r="D32" t="str">
            <v>Poland</v>
          </cell>
          <cell r="E32">
            <v>216168</v>
          </cell>
          <cell r="F32">
            <v>1098009</v>
          </cell>
          <cell r="G32">
            <v>11207</v>
          </cell>
          <cell r="H32">
            <v>28812</v>
          </cell>
          <cell r="I32">
            <v>822</v>
          </cell>
          <cell r="J32">
            <v>2149</v>
          </cell>
        </row>
        <row r="33">
          <cell r="C33" t="str">
            <v>以色列</v>
          </cell>
          <cell r="D33" t="str">
            <v>Israel</v>
          </cell>
          <cell r="E33">
            <v>950016</v>
          </cell>
          <cell r="F33">
            <v>780978</v>
          </cell>
          <cell r="G33">
            <v>9020</v>
          </cell>
          <cell r="H33">
            <v>8090</v>
          </cell>
          <cell r="I33">
            <v>647</v>
          </cell>
          <cell r="J33">
            <v>615</v>
          </cell>
        </row>
        <row r="34">
          <cell r="C34" t="str">
            <v>秘魯</v>
          </cell>
          <cell r="D34" t="str">
            <v>Peru</v>
          </cell>
          <cell r="E34">
            <v>5570</v>
          </cell>
          <cell r="F34">
            <v>767156</v>
          </cell>
          <cell r="G34">
            <v>129</v>
          </cell>
          <cell r="H34">
            <v>4607</v>
          </cell>
          <cell r="I34">
            <v>11</v>
          </cell>
          <cell r="J34">
            <v>314</v>
          </cell>
        </row>
        <row r="35">
          <cell r="C35" t="str">
            <v>新加坡</v>
          </cell>
          <cell r="D35" t="str">
            <v>Singapore</v>
          </cell>
          <cell r="E35">
            <v>1464050</v>
          </cell>
          <cell r="F35">
            <v>688073</v>
          </cell>
          <cell r="G35">
            <v>12622</v>
          </cell>
          <cell r="H35">
            <v>3845</v>
          </cell>
          <cell r="I35">
            <v>1146</v>
          </cell>
          <cell r="J35">
            <v>340</v>
          </cell>
        </row>
        <row r="36">
          <cell r="C36" t="str">
            <v>哥倫比亞</v>
          </cell>
          <cell r="D36" t="str">
            <v>Colombia</v>
          </cell>
          <cell r="E36">
            <v>646148</v>
          </cell>
          <cell r="F36">
            <v>620327</v>
          </cell>
          <cell r="G36">
            <v>6434</v>
          </cell>
          <cell r="H36">
            <v>3117</v>
          </cell>
          <cell r="I36">
            <v>530</v>
          </cell>
          <cell r="J36">
            <v>222</v>
          </cell>
        </row>
        <row r="37">
          <cell r="C37" t="str">
            <v>捷克</v>
          </cell>
          <cell r="D37" t="str">
            <v>Czech Republic</v>
          </cell>
          <cell r="E37">
            <v>53780</v>
          </cell>
          <cell r="F37">
            <v>590720</v>
          </cell>
          <cell r="G37">
            <v>3800</v>
          </cell>
          <cell r="H37">
            <v>12439</v>
          </cell>
          <cell r="I37">
            <v>248</v>
          </cell>
          <cell r="J37">
            <v>942</v>
          </cell>
        </row>
        <row r="38">
          <cell r="C38" t="str">
            <v>瑞典</v>
          </cell>
          <cell r="D38" t="str">
            <v>Sweden</v>
          </cell>
          <cell r="E38">
            <v>631357</v>
          </cell>
          <cell r="F38">
            <v>544477</v>
          </cell>
          <cell r="G38">
            <v>30699</v>
          </cell>
          <cell r="H38">
            <v>39289</v>
          </cell>
          <cell r="I38">
            <v>2618</v>
          </cell>
          <cell r="J38">
            <v>3426</v>
          </cell>
        </row>
        <row r="39">
          <cell r="C39" t="str">
            <v>芬蘭</v>
          </cell>
          <cell r="D39" t="str">
            <v>Finland</v>
          </cell>
          <cell r="E39">
            <v>223834</v>
          </cell>
          <cell r="F39">
            <v>424085</v>
          </cell>
          <cell r="G39">
            <v>7360</v>
          </cell>
          <cell r="H39">
            <v>13028</v>
          </cell>
          <cell r="I39">
            <v>460</v>
          </cell>
          <cell r="J39">
            <v>893</v>
          </cell>
        </row>
        <row r="40">
          <cell r="C40" t="str">
            <v>馬來西亞</v>
          </cell>
          <cell r="D40" t="str">
            <v>Malaysia</v>
          </cell>
          <cell r="E40">
            <v>513887</v>
          </cell>
          <cell r="F40">
            <v>391894</v>
          </cell>
          <cell r="G40">
            <v>3557</v>
          </cell>
          <cell r="H40">
            <v>1997</v>
          </cell>
          <cell r="I40">
            <v>347</v>
          </cell>
          <cell r="J40">
            <v>218</v>
          </cell>
        </row>
        <row r="41">
          <cell r="C41" t="str">
            <v>丹麥</v>
          </cell>
          <cell r="D41" t="str">
            <v>Denmark</v>
          </cell>
          <cell r="E41">
            <v>702207</v>
          </cell>
          <cell r="F41">
            <v>374510</v>
          </cell>
          <cell r="G41">
            <v>32421</v>
          </cell>
          <cell r="H41">
            <v>10248</v>
          </cell>
          <cell r="I41">
            <v>2301</v>
          </cell>
          <cell r="J41">
            <v>810</v>
          </cell>
        </row>
        <row r="42">
          <cell r="C42" t="str">
            <v>泰國</v>
          </cell>
          <cell r="D42" t="str">
            <v>Thailand</v>
          </cell>
          <cell r="E42">
            <v>445786</v>
          </cell>
          <cell r="F42">
            <v>361241</v>
          </cell>
          <cell r="G42">
            <v>2859</v>
          </cell>
          <cell r="H42">
            <v>2510</v>
          </cell>
          <cell r="I42">
            <v>271</v>
          </cell>
          <cell r="J42">
            <v>219</v>
          </cell>
        </row>
        <row r="43">
          <cell r="C43" t="str">
            <v>香港</v>
          </cell>
          <cell r="D43" t="str">
            <v>Hong Kong</v>
          </cell>
          <cell r="E43">
            <v>628064</v>
          </cell>
          <cell r="F43">
            <v>319706</v>
          </cell>
          <cell r="G43">
            <v>5327</v>
          </cell>
          <cell r="H43">
            <v>2750</v>
          </cell>
          <cell r="I43">
            <v>483</v>
          </cell>
          <cell r="J43">
            <v>248</v>
          </cell>
        </row>
        <row r="44">
          <cell r="C44" t="str">
            <v>匈牙利</v>
          </cell>
          <cell r="D44" t="str">
            <v>Hungary</v>
          </cell>
          <cell r="E44">
            <v>6510</v>
          </cell>
          <cell r="F44">
            <v>236602</v>
          </cell>
          <cell r="G44">
            <v>452</v>
          </cell>
          <cell r="H44">
            <v>6211</v>
          </cell>
          <cell r="I44">
            <v>41</v>
          </cell>
          <cell r="J44">
            <v>467</v>
          </cell>
        </row>
        <row r="45">
          <cell r="C45" t="str">
            <v>厄瓜多</v>
          </cell>
          <cell r="D45" t="str">
            <v>Ecuador</v>
          </cell>
          <cell r="E45">
            <v>75407</v>
          </cell>
          <cell r="F45">
            <v>168006</v>
          </cell>
          <cell r="G45">
            <v>1290</v>
          </cell>
          <cell r="H45">
            <v>2188</v>
          </cell>
          <cell r="I45">
            <v>98</v>
          </cell>
          <cell r="J45">
            <v>158</v>
          </cell>
        </row>
        <row r="46">
          <cell r="C46" t="str">
            <v>烏拉圭</v>
          </cell>
          <cell r="D46" t="str">
            <v>Uruguay</v>
          </cell>
          <cell r="E46">
            <v>91139</v>
          </cell>
          <cell r="F46">
            <v>144869</v>
          </cell>
          <cell r="G46">
            <v>883</v>
          </cell>
          <cell r="H46">
            <v>1320</v>
          </cell>
          <cell r="I46">
            <v>70</v>
          </cell>
          <cell r="J46">
            <v>130</v>
          </cell>
        </row>
        <row r="47">
          <cell r="C47" t="str">
            <v>菲律賓</v>
          </cell>
          <cell r="D47" t="str">
            <v>Philippines</v>
          </cell>
          <cell r="E47">
            <v>86653</v>
          </cell>
          <cell r="F47">
            <v>141636</v>
          </cell>
          <cell r="G47">
            <v>2437</v>
          </cell>
          <cell r="H47">
            <v>2372</v>
          </cell>
          <cell r="I47">
            <v>153</v>
          </cell>
          <cell r="J47">
            <v>151</v>
          </cell>
        </row>
        <row r="48">
          <cell r="C48" t="str">
            <v>阿拉伯聯合大公國</v>
          </cell>
          <cell r="D48" t="str">
            <v>United Arab Emirates</v>
          </cell>
          <cell r="E48">
            <v>16528</v>
          </cell>
          <cell r="F48">
            <v>129020</v>
          </cell>
          <cell r="G48">
            <v>92</v>
          </cell>
          <cell r="H48">
            <v>891</v>
          </cell>
          <cell r="I48">
            <v>7</v>
          </cell>
          <cell r="J48">
            <v>90</v>
          </cell>
        </row>
        <row r="49">
          <cell r="C49" t="str">
            <v>哥斯大黎加</v>
          </cell>
          <cell r="D49" t="str">
            <v>Costa Rica</v>
          </cell>
          <cell r="E49">
            <v>452224</v>
          </cell>
          <cell r="F49">
            <v>126078</v>
          </cell>
          <cell r="G49">
            <v>4017</v>
          </cell>
          <cell r="H49">
            <v>1061</v>
          </cell>
          <cell r="I49">
            <v>322</v>
          </cell>
          <cell r="J49">
            <v>73</v>
          </cell>
        </row>
        <row r="50">
          <cell r="C50" t="str">
            <v>愛沙尼亞</v>
          </cell>
          <cell r="D50" t="str">
            <v>Estonia</v>
          </cell>
          <cell r="E50">
            <v>5533</v>
          </cell>
          <cell r="F50">
            <v>80752</v>
          </cell>
          <cell r="G50">
            <v>928</v>
          </cell>
          <cell r="H50">
            <v>3387</v>
          </cell>
          <cell r="I50">
            <v>58</v>
          </cell>
          <cell r="J50">
            <v>236</v>
          </cell>
        </row>
        <row r="51">
          <cell r="C51" t="str">
            <v>奧地利</v>
          </cell>
          <cell r="D51" t="str">
            <v>Austria</v>
          </cell>
          <cell r="E51">
            <v>312405</v>
          </cell>
          <cell r="F51">
            <v>73725</v>
          </cell>
          <cell r="G51">
            <v>5466</v>
          </cell>
          <cell r="H51">
            <v>640</v>
          </cell>
          <cell r="I51">
            <v>367</v>
          </cell>
          <cell r="J51">
            <v>29</v>
          </cell>
        </row>
        <row r="52">
          <cell r="C52" t="str">
            <v>蒙古</v>
          </cell>
          <cell r="D52" t="str">
            <v>Mongolia</v>
          </cell>
          <cell r="E52">
            <v>0</v>
          </cell>
          <cell r="F52">
            <v>67418</v>
          </cell>
          <cell r="G52">
            <v>0</v>
          </cell>
          <cell r="H52">
            <v>780</v>
          </cell>
          <cell r="I52">
            <v>0</v>
          </cell>
          <cell r="J52">
            <v>61</v>
          </cell>
        </row>
        <row r="53">
          <cell r="C53" t="str">
            <v>克羅埃西亞</v>
          </cell>
          <cell r="D53" t="str">
            <v>Croatia</v>
          </cell>
          <cell r="E53">
            <v>56854</v>
          </cell>
          <cell r="F53">
            <v>65785</v>
          </cell>
          <cell r="G53">
            <v>4548</v>
          </cell>
          <cell r="H53">
            <v>4307</v>
          </cell>
          <cell r="I53">
            <v>345</v>
          </cell>
          <cell r="J53">
            <v>323</v>
          </cell>
        </row>
        <row r="54">
          <cell r="C54" t="str">
            <v>薩爾瓦多</v>
          </cell>
          <cell r="D54" t="str">
            <v>El Salvador</v>
          </cell>
          <cell r="E54">
            <v>0</v>
          </cell>
          <cell r="F54">
            <v>56046</v>
          </cell>
          <cell r="G54">
            <v>0</v>
          </cell>
          <cell r="H54">
            <v>652</v>
          </cell>
          <cell r="I54">
            <v>0</v>
          </cell>
          <cell r="J54">
            <v>47</v>
          </cell>
        </row>
        <row r="55">
          <cell r="C55" t="str">
            <v>越南</v>
          </cell>
          <cell r="D55" t="str">
            <v>Viet Nam</v>
          </cell>
          <cell r="E55">
            <v>16745</v>
          </cell>
          <cell r="F55">
            <v>50849</v>
          </cell>
          <cell r="G55">
            <v>100</v>
          </cell>
          <cell r="H55">
            <v>269</v>
          </cell>
          <cell r="I55">
            <v>9</v>
          </cell>
          <cell r="J55">
            <v>24</v>
          </cell>
        </row>
        <row r="56">
          <cell r="C56" t="str">
            <v>印度</v>
          </cell>
          <cell r="D56" t="str">
            <v>India</v>
          </cell>
          <cell r="E56">
            <v>137396</v>
          </cell>
          <cell r="F56">
            <v>39412</v>
          </cell>
          <cell r="G56">
            <v>1265</v>
          </cell>
          <cell r="H56">
            <v>223</v>
          </cell>
          <cell r="I56">
            <v>103</v>
          </cell>
          <cell r="J56">
            <v>22</v>
          </cell>
        </row>
        <row r="57">
          <cell r="C57" t="str">
            <v>希臘</v>
          </cell>
          <cell r="D57" t="str">
            <v>Greece</v>
          </cell>
          <cell r="E57">
            <v>29078</v>
          </cell>
          <cell r="F57">
            <v>35523</v>
          </cell>
          <cell r="G57">
            <v>3867</v>
          </cell>
          <cell r="H57">
            <v>1294</v>
          </cell>
          <cell r="I57">
            <v>374</v>
          </cell>
          <cell r="J57">
            <v>98</v>
          </cell>
        </row>
        <row r="58">
          <cell r="C58" t="str">
            <v>瓜地馬拉</v>
          </cell>
          <cell r="D58" t="str">
            <v>Guatemala</v>
          </cell>
          <cell r="E58">
            <v>61483</v>
          </cell>
          <cell r="F58">
            <v>27451</v>
          </cell>
          <cell r="G58">
            <v>585</v>
          </cell>
          <cell r="H58">
            <v>206</v>
          </cell>
          <cell r="I58">
            <v>51</v>
          </cell>
          <cell r="J58">
            <v>16</v>
          </cell>
        </row>
        <row r="59">
          <cell r="C59" t="str">
            <v>印尼</v>
          </cell>
          <cell r="D59" t="str">
            <v>Indonesia</v>
          </cell>
          <cell r="E59">
            <v>869655</v>
          </cell>
          <cell r="F59">
            <v>25850</v>
          </cell>
          <cell r="G59">
            <v>6795</v>
          </cell>
          <cell r="H59">
            <v>90</v>
          </cell>
          <cell r="I59">
            <v>704</v>
          </cell>
          <cell r="J59">
            <v>9</v>
          </cell>
        </row>
        <row r="60">
          <cell r="C60" t="str">
            <v>俄羅斯</v>
          </cell>
          <cell r="D60" t="str">
            <v>Russian Federation</v>
          </cell>
          <cell r="E60">
            <v>20976</v>
          </cell>
          <cell r="F60">
            <v>24967</v>
          </cell>
          <cell r="G60">
            <v>1540</v>
          </cell>
          <cell r="H60">
            <v>240</v>
          </cell>
          <cell r="I60">
            <v>130</v>
          </cell>
          <cell r="J60">
            <v>20</v>
          </cell>
        </row>
        <row r="61">
          <cell r="C61" t="str">
            <v>模里西斯</v>
          </cell>
          <cell r="D61" t="str">
            <v>Mauritius</v>
          </cell>
          <cell r="E61">
            <v>0</v>
          </cell>
          <cell r="F61">
            <v>9150</v>
          </cell>
          <cell r="G61">
            <v>0</v>
          </cell>
          <cell r="H61">
            <v>28</v>
          </cell>
          <cell r="I61">
            <v>0</v>
          </cell>
          <cell r="J61">
            <v>3</v>
          </cell>
        </row>
        <row r="62">
          <cell r="C62" t="str">
            <v>盧森堡</v>
          </cell>
          <cell r="D62" t="str">
            <v>Luxembourg</v>
          </cell>
          <cell r="E62">
            <v>0</v>
          </cell>
          <cell r="F62">
            <v>7582</v>
          </cell>
          <cell r="G62">
            <v>0</v>
          </cell>
          <cell r="H62">
            <v>30</v>
          </cell>
          <cell r="I62">
            <v>0</v>
          </cell>
          <cell r="J62">
            <v>2</v>
          </cell>
        </row>
        <row r="63">
          <cell r="C63" t="str">
            <v>東加</v>
          </cell>
          <cell r="D63" t="str">
            <v>Tonga</v>
          </cell>
          <cell r="E63">
            <v>0</v>
          </cell>
          <cell r="F63">
            <v>6536</v>
          </cell>
          <cell r="G63">
            <v>0</v>
          </cell>
          <cell r="H63">
            <v>936</v>
          </cell>
          <cell r="I63">
            <v>0</v>
          </cell>
          <cell r="J63">
            <v>60</v>
          </cell>
        </row>
        <row r="64">
          <cell r="C64" t="str">
            <v>新克里多亞</v>
          </cell>
          <cell r="D64" t="str">
            <v>New Caledonia</v>
          </cell>
          <cell r="E64">
            <v>0</v>
          </cell>
          <cell r="F64">
            <v>6438</v>
          </cell>
          <cell r="G64">
            <v>0</v>
          </cell>
          <cell r="H64">
            <v>23</v>
          </cell>
          <cell r="I64">
            <v>0</v>
          </cell>
          <cell r="J64">
            <v>2</v>
          </cell>
        </row>
        <row r="65">
          <cell r="C65" t="str">
            <v>阿根廷</v>
          </cell>
          <cell r="D65" t="str">
            <v>Argentina</v>
          </cell>
          <cell r="E65">
            <v>103327</v>
          </cell>
          <cell r="F65">
            <v>3562</v>
          </cell>
          <cell r="G65">
            <v>1104</v>
          </cell>
          <cell r="H65">
            <v>10</v>
          </cell>
          <cell r="I65">
            <v>80</v>
          </cell>
          <cell r="J65">
            <v>1</v>
          </cell>
        </row>
        <row r="66">
          <cell r="C66" t="str">
            <v>貝南</v>
          </cell>
          <cell r="D66" t="str">
            <v>Benin</v>
          </cell>
          <cell r="E66">
            <v>0</v>
          </cell>
          <cell r="F66">
            <v>131</v>
          </cell>
          <cell r="G66">
            <v>0</v>
          </cell>
          <cell r="H66">
            <v>30</v>
          </cell>
          <cell r="I66">
            <v>0</v>
          </cell>
          <cell r="J66">
            <v>25</v>
          </cell>
        </row>
        <row r="67">
          <cell r="C67" t="str">
            <v>保加利亞</v>
          </cell>
          <cell r="D67" t="str">
            <v>Bulgaria</v>
          </cell>
          <cell r="E67">
            <v>6076</v>
          </cell>
          <cell r="F67">
            <v>0</v>
          </cell>
          <cell r="G67">
            <v>368</v>
          </cell>
          <cell r="H67">
            <v>0</v>
          </cell>
          <cell r="I67">
            <v>30</v>
          </cell>
          <cell r="J67">
            <v>0</v>
          </cell>
        </row>
        <row r="68">
          <cell r="C68" t="str">
            <v>多明尼加</v>
          </cell>
          <cell r="D68" t="str">
            <v>Dominican Republic</v>
          </cell>
          <cell r="E68">
            <v>47993</v>
          </cell>
          <cell r="F68">
            <v>0</v>
          </cell>
          <cell r="G68">
            <v>587</v>
          </cell>
          <cell r="H68">
            <v>0</v>
          </cell>
          <cell r="I68">
            <v>41</v>
          </cell>
          <cell r="J68">
            <v>0</v>
          </cell>
        </row>
        <row r="69">
          <cell r="C69" t="str">
            <v>立陶宛</v>
          </cell>
          <cell r="D69" t="str">
            <v>Lithuania</v>
          </cell>
          <cell r="E69">
            <v>60289</v>
          </cell>
          <cell r="F69">
            <v>0</v>
          </cell>
          <cell r="G69">
            <v>3860</v>
          </cell>
          <cell r="H69">
            <v>0</v>
          </cell>
          <cell r="I69">
            <v>253</v>
          </cell>
          <cell r="J69">
            <v>0</v>
          </cell>
        </row>
        <row r="70">
          <cell r="C70" t="str">
            <v>關島</v>
          </cell>
          <cell r="D70" t="str">
            <v>Guam</v>
          </cell>
          <cell r="E70">
            <v>146619</v>
          </cell>
          <cell r="F70">
            <v>0</v>
          </cell>
          <cell r="G70">
            <v>965</v>
          </cell>
          <cell r="H70">
            <v>0</v>
          </cell>
          <cell r="I70">
            <v>82</v>
          </cell>
          <cell r="J70">
            <v>0</v>
          </cell>
        </row>
        <row r="71">
          <cell r="C71" t="str">
            <v>尼泊爾</v>
          </cell>
          <cell r="D71" t="str">
            <v>Nepal</v>
          </cell>
          <cell r="E71">
            <v>15262</v>
          </cell>
          <cell r="F71">
            <v>0</v>
          </cell>
          <cell r="G71">
            <v>100</v>
          </cell>
          <cell r="H71">
            <v>0</v>
          </cell>
          <cell r="I71">
            <v>8</v>
          </cell>
          <cell r="J71">
            <v>0</v>
          </cell>
        </row>
        <row r="72">
          <cell r="C72" t="str">
            <v>拉脫維亞</v>
          </cell>
          <cell r="D72" t="str">
            <v>Latvia</v>
          </cell>
          <cell r="E72">
            <v>37505</v>
          </cell>
          <cell r="F72">
            <v>0</v>
          </cell>
          <cell r="G72">
            <v>2501</v>
          </cell>
          <cell r="H72">
            <v>0</v>
          </cell>
          <cell r="I72">
            <v>179</v>
          </cell>
          <cell r="J72">
            <v>0</v>
          </cell>
        </row>
        <row r="73">
          <cell r="C73" t="str">
            <v>馬爾他</v>
          </cell>
          <cell r="D73" t="str">
            <v>Malta</v>
          </cell>
          <cell r="E73">
            <v>9005</v>
          </cell>
          <cell r="F73">
            <v>0</v>
          </cell>
          <cell r="G73">
            <v>616</v>
          </cell>
          <cell r="H73">
            <v>0</v>
          </cell>
          <cell r="I73">
            <v>52</v>
          </cell>
          <cell r="J73">
            <v>0</v>
          </cell>
        </row>
        <row r="74">
          <cell r="C74" t="str">
            <v>沙烏地阿拉伯</v>
          </cell>
          <cell r="D74" t="str">
            <v>Saudi Arabia</v>
          </cell>
          <cell r="E74">
            <v>66438</v>
          </cell>
          <cell r="F74">
            <v>0</v>
          </cell>
          <cell r="G74">
            <v>10640</v>
          </cell>
          <cell r="H74">
            <v>0</v>
          </cell>
          <cell r="I74">
            <v>380</v>
          </cell>
          <cell r="J74">
            <v>0</v>
          </cell>
        </row>
        <row r="75">
          <cell r="C75" t="str">
            <v>羅馬尼亞</v>
          </cell>
          <cell r="D75" t="str">
            <v>Romania</v>
          </cell>
          <cell r="E75">
            <v>6148</v>
          </cell>
          <cell r="F75">
            <v>0</v>
          </cell>
          <cell r="G75">
            <v>671</v>
          </cell>
          <cell r="H75">
            <v>0</v>
          </cell>
          <cell r="I75">
            <v>51</v>
          </cell>
          <cell r="J75">
            <v>0</v>
          </cell>
        </row>
        <row r="76">
          <cell r="C76" t="str">
            <v>烏克蘭</v>
          </cell>
          <cell r="D76" t="str">
            <v>Ukraine</v>
          </cell>
          <cell r="E76">
            <v>36817</v>
          </cell>
          <cell r="F76">
            <v>0</v>
          </cell>
          <cell r="G76">
            <v>2965</v>
          </cell>
          <cell r="H76">
            <v>0</v>
          </cell>
          <cell r="I76">
            <v>212</v>
          </cell>
          <cell r="J76">
            <v>0</v>
          </cell>
        </row>
        <row r="77">
          <cell r="C77" t="str">
            <v>斯洛維尼亞</v>
          </cell>
          <cell r="D77" t="str">
            <v>Slovenia</v>
          </cell>
          <cell r="E77">
            <v>10561</v>
          </cell>
          <cell r="F77">
            <v>0</v>
          </cell>
          <cell r="G77">
            <v>571</v>
          </cell>
          <cell r="H77">
            <v>0</v>
          </cell>
          <cell r="I77">
            <v>55</v>
          </cell>
          <cell r="J77">
            <v>0</v>
          </cell>
        </row>
        <row r="78">
          <cell r="C78" t="str">
            <v>斯洛伐克</v>
          </cell>
          <cell r="D78" t="str">
            <v>Slovakia</v>
          </cell>
          <cell r="E78">
            <v>6221</v>
          </cell>
          <cell r="F78">
            <v>0</v>
          </cell>
          <cell r="G78">
            <v>639</v>
          </cell>
          <cell r="H78">
            <v>0</v>
          </cell>
          <cell r="I78">
            <v>50</v>
          </cell>
          <cell r="J78">
            <v>0</v>
          </cell>
        </row>
      </sheetData>
      <sheetData sheetId="1">
        <row r="10">
          <cell r="B10" t="str">
            <v>總計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出口"/>
      <sheetName val="整車出口試算"/>
      <sheetName val="整車出口比較"/>
      <sheetName val="整車進口"/>
      <sheetName val="整車進口試算"/>
      <sheetName val="折疊車出口"/>
      <sheetName val="折疊車出口試算"/>
      <sheetName val="折疊車出口比較"/>
      <sheetName val="台灣--中國"/>
      <sheetName val="台灣出口至中國試算"/>
      <sheetName val="台灣出口至中國"/>
      <sheetName val="台灣自中國進口試算"/>
      <sheetName val="台灣自中國進口"/>
      <sheetName val="電動輔助自行車"/>
      <sheetName val="電動車輔助自行車試算"/>
      <sheetName val="電動輔助自行車比較"/>
      <sheetName val="零件進出口"/>
      <sheetName val="零件進出口試算表"/>
      <sheetName val="零件出口比較"/>
      <sheetName val="零件進口比較"/>
      <sheetName val="平均單價"/>
      <sheetName val="數量 "/>
      <sheetName val="金額"/>
    </sheetNames>
    <sheetDataSet>
      <sheetData sheetId="0" refreshError="1"/>
      <sheetData sheetId="1" refreshError="1"/>
      <sheetData sheetId="2" refreshError="1"/>
      <sheetData sheetId="3" refreshError="1">
        <row r="8">
          <cell r="B8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8">
          <cell r="A18" t="str">
            <v>2018年</v>
          </cell>
          <cell r="N18">
            <v>1102826</v>
          </cell>
        </row>
      </sheetData>
      <sheetData sheetId="22" refreshError="1">
        <row r="18">
          <cell r="B18">
            <v>51492860</v>
          </cell>
          <cell r="N18">
            <v>595049608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 t="str">
            <v>總計</v>
          </cell>
          <cell r="C10">
            <v>1635047</v>
          </cell>
          <cell r="D10">
            <v>15004</v>
          </cell>
        </row>
        <row r="11">
          <cell r="B11" t="str">
            <v>中國大陸</v>
          </cell>
          <cell r="C11">
            <v>1509977</v>
          </cell>
          <cell r="D11">
            <v>14920</v>
          </cell>
        </row>
        <row r="12">
          <cell r="B12" t="str">
            <v>德國</v>
          </cell>
          <cell r="C12">
            <v>35509</v>
          </cell>
          <cell r="D12">
            <v>8</v>
          </cell>
        </row>
        <row r="13">
          <cell r="B13" t="str">
            <v>柬埔寨</v>
          </cell>
          <cell r="C13">
            <v>28096</v>
          </cell>
          <cell r="D13">
            <v>28</v>
          </cell>
        </row>
        <row r="14">
          <cell r="B14" t="str">
            <v>中華民國</v>
          </cell>
          <cell r="C14">
            <v>22900</v>
          </cell>
          <cell r="D14">
            <v>6</v>
          </cell>
        </row>
        <row r="15">
          <cell r="B15" t="str">
            <v>美國</v>
          </cell>
          <cell r="C15">
            <v>20556</v>
          </cell>
          <cell r="D15">
            <v>9</v>
          </cell>
        </row>
        <row r="16">
          <cell r="B16" t="str">
            <v>越南</v>
          </cell>
          <cell r="C16">
            <v>14380</v>
          </cell>
          <cell r="D16">
            <v>18</v>
          </cell>
        </row>
        <row r="17">
          <cell r="B17" t="str">
            <v>日本</v>
          </cell>
          <cell r="C17">
            <v>1926</v>
          </cell>
          <cell r="D17">
            <v>8</v>
          </cell>
        </row>
        <row r="18">
          <cell r="B18" t="str">
            <v>義大利</v>
          </cell>
          <cell r="C18">
            <v>1330</v>
          </cell>
          <cell r="D18">
            <v>4</v>
          </cell>
        </row>
        <row r="19">
          <cell r="B19" t="str">
            <v>加拿大</v>
          </cell>
          <cell r="C19">
            <v>348</v>
          </cell>
          <cell r="D19">
            <v>2</v>
          </cell>
        </row>
        <row r="20">
          <cell r="B20" t="str">
            <v>英國</v>
          </cell>
          <cell r="C20">
            <v>25</v>
          </cell>
          <cell r="D20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 t="str">
            <v>總計</v>
          </cell>
          <cell r="C10">
            <v>5637645</v>
          </cell>
          <cell r="D10">
            <v>36964</v>
          </cell>
        </row>
        <row r="11">
          <cell r="B11" t="str">
            <v>中國大陸</v>
          </cell>
          <cell r="C11">
            <v>4056849</v>
          </cell>
          <cell r="D11">
            <v>36297</v>
          </cell>
        </row>
        <row r="12">
          <cell r="B12" t="str">
            <v>中華民國</v>
          </cell>
          <cell r="C12">
            <v>1242279</v>
          </cell>
          <cell r="D12">
            <v>321</v>
          </cell>
        </row>
        <row r="13">
          <cell r="B13" t="str">
            <v>越南</v>
          </cell>
          <cell r="C13">
            <v>184948</v>
          </cell>
          <cell r="D13">
            <v>246</v>
          </cell>
        </row>
        <row r="14">
          <cell r="B14" t="str">
            <v>德國</v>
          </cell>
          <cell r="C14">
            <v>87047</v>
          </cell>
          <cell r="D14">
            <v>17</v>
          </cell>
        </row>
        <row r="15">
          <cell r="B15" t="str">
            <v>柬埔寨</v>
          </cell>
          <cell r="C15">
            <v>28921</v>
          </cell>
          <cell r="D15">
            <v>29</v>
          </cell>
        </row>
        <row r="16">
          <cell r="B16" t="str">
            <v>美國</v>
          </cell>
          <cell r="C16">
            <v>28833</v>
          </cell>
          <cell r="D16">
            <v>14</v>
          </cell>
        </row>
        <row r="17">
          <cell r="B17" t="str">
            <v>日本</v>
          </cell>
          <cell r="C17">
            <v>5479</v>
          </cell>
          <cell r="D17">
            <v>25</v>
          </cell>
        </row>
        <row r="18">
          <cell r="B18" t="str">
            <v>義大利</v>
          </cell>
          <cell r="C18">
            <v>2821</v>
          </cell>
          <cell r="D18">
            <v>10</v>
          </cell>
        </row>
        <row r="19">
          <cell r="B19" t="str">
            <v>加拿大</v>
          </cell>
          <cell r="C19">
            <v>348</v>
          </cell>
          <cell r="D19">
            <v>2</v>
          </cell>
        </row>
        <row r="20">
          <cell r="B20" t="str">
            <v>法國</v>
          </cell>
          <cell r="C20">
            <v>63</v>
          </cell>
          <cell r="D20">
            <v>1</v>
          </cell>
        </row>
        <row r="21">
          <cell r="B21" t="str">
            <v>英國</v>
          </cell>
          <cell r="C21">
            <v>57</v>
          </cell>
          <cell r="D21">
            <v>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B10" t="str">
            <v>總計</v>
          </cell>
          <cell r="C10">
            <v>5659378</v>
          </cell>
          <cell r="D10">
            <v>31610</v>
          </cell>
        </row>
        <row r="11">
          <cell r="B11" t="str">
            <v>中國大陸</v>
          </cell>
          <cell r="C11">
            <v>4357645</v>
          </cell>
          <cell r="D11">
            <v>30232</v>
          </cell>
        </row>
        <row r="12">
          <cell r="B12" t="str">
            <v>越南</v>
          </cell>
          <cell r="C12">
            <v>474126</v>
          </cell>
          <cell r="D12">
            <v>606</v>
          </cell>
        </row>
        <row r="13">
          <cell r="B13" t="str">
            <v>柬埔寨</v>
          </cell>
          <cell r="C13">
            <v>333801</v>
          </cell>
          <cell r="D13">
            <v>474</v>
          </cell>
        </row>
        <row r="14">
          <cell r="B14" t="str">
            <v>英國</v>
          </cell>
          <cell r="C14">
            <v>285983</v>
          </cell>
          <cell r="D14">
            <v>176</v>
          </cell>
        </row>
        <row r="15">
          <cell r="B15" t="str">
            <v>義大利</v>
          </cell>
          <cell r="C15">
            <v>121697</v>
          </cell>
          <cell r="D15">
            <v>19</v>
          </cell>
        </row>
        <row r="16">
          <cell r="B16" t="str">
            <v>德國</v>
          </cell>
          <cell r="C16">
            <v>46627</v>
          </cell>
          <cell r="D16">
            <v>8</v>
          </cell>
        </row>
        <row r="17">
          <cell r="B17" t="str">
            <v>西班牙</v>
          </cell>
          <cell r="C17">
            <v>17119</v>
          </cell>
          <cell r="D17">
            <v>11</v>
          </cell>
        </row>
        <row r="18">
          <cell r="B18" t="str">
            <v>孟加拉</v>
          </cell>
          <cell r="C18">
            <v>12267</v>
          </cell>
          <cell r="D18">
            <v>52</v>
          </cell>
        </row>
        <row r="19">
          <cell r="B19" t="str">
            <v>中華民國</v>
          </cell>
          <cell r="C19">
            <v>7444</v>
          </cell>
          <cell r="D19">
            <v>4</v>
          </cell>
        </row>
        <row r="20">
          <cell r="B20" t="str">
            <v>日本</v>
          </cell>
          <cell r="C20">
            <v>1845</v>
          </cell>
          <cell r="D20">
            <v>21</v>
          </cell>
        </row>
        <row r="21">
          <cell r="B21" t="str">
            <v>喬治亞</v>
          </cell>
          <cell r="C21">
            <v>519</v>
          </cell>
          <cell r="D21">
            <v>4</v>
          </cell>
        </row>
        <row r="22">
          <cell r="B22" t="str">
            <v>美國</v>
          </cell>
          <cell r="C22">
            <v>122</v>
          </cell>
          <cell r="D22">
            <v>1</v>
          </cell>
        </row>
        <row r="23">
          <cell r="B23" t="str">
            <v>韓國</v>
          </cell>
          <cell r="C23">
            <v>92</v>
          </cell>
          <cell r="D23">
            <v>1</v>
          </cell>
        </row>
        <row r="24">
          <cell r="B24" t="str">
            <v>法國</v>
          </cell>
          <cell r="C24">
            <v>91</v>
          </cell>
          <cell r="D2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__o�_">
    <pageSetUpPr fitToPage="1"/>
  </sheetPr>
  <dimension ref="A1:I74"/>
  <sheetViews>
    <sheetView tabSelected="1" zoomScaleNormal="100" workbookViewId="0">
      <selection activeCell="A2" sqref="A2"/>
    </sheetView>
  </sheetViews>
  <sheetFormatPr defaultRowHeight="16.5"/>
  <cols>
    <col min="1" max="1" width="17.25" customWidth="1"/>
    <col min="2" max="2" width="11.625" customWidth="1"/>
    <col min="3" max="3" width="12.625" customWidth="1"/>
    <col min="4" max="4" width="13.125" customWidth="1"/>
    <col min="5" max="5" width="12.5" customWidth="1"/>
    <col min="6" max="6" width="8.875" customWidth="1"/>
    <col min="7" max="7" width="13.875" customWidth="1"/>
    <col min="8" max="8" width="11.5" customWidth="1"/>
    <col min="9" max="9" width="13.375" customWidth="1"/>
  </cols>
  <sheetData>
    <row r="1" spans="1:9" ht="19.5">
      <c r="A1" s="1" t="s">
        <v>466</v>
      </c>
      <c r="B1" s="1"/>
      <c r="C1" s="1"/>
      <c r="D1" s="2"/>
      <c r="E1" s="1"/>
      <c r="F1" s="1"/>
      <c r="G1" s="1"/>
      <c r="H1" s="1"/>
      <c r="I1" s="2"/>
    </row>
    <row r="2" spans="1:9" ht="8.25" customHeight="1">
      <c r="A2" s="3"/>
      <c r="B2" s="4"/>
      <c r="C2" s="4"/>
      <c r="D2" s="5"/>
      <c r="E2" s="4"/>
      <c r="F2" s="4"/>
      <c r="G2" s="4"/>
      <c r="H2" s="4"/>
      <c r="I2" s="5"/>
    </row>
    <row r="3" spans="1:9">
      <c r="A3" s="757" t="s">
        <v>0</v>
      </c>
      <c r="B3" s="758"/>
      <c r="C3" s="758"/>
      <c r="D3" s="758"/>
      <c r="E3" s="758"/>
      <c r="F3" s="758"/>
      <c r="G3" s="758"/>
      <c r="H3" s="758"/>
      <c r="I3" s="759"/>
    </row>
    <row r="4" spans="1:9" ht="19.5">
      <c r="A4" s="6" t="s">
        <v>467</v>
      </c>
      <c r="B4" s="7" t="s">
        <v>468</v>
      </c>
      <c r="C4" s="7" t="s">
        <v>469</v>
      </c>
      <c r="D4" s="8" t="s">
        <v>1</v>
      </c>
      <c r="E4" s="9" t="s">
        <v>470</v>
      </c>
      <c r="F4" s="10" t="s">
        <v>2</v>
      </c>
      <c r="G4" s="9" t="s">
        <v>471</v>
      </c>
      <c r="H4" s="10" t="s">
        <v>2</v>
      </c>
      <c r="I4" s="11" t="s">
        <v>3</v>
      </c>
    </row>
    <row r="5" spans="1:9">
      <c r="A5" s="12"/>
      <c r="B5" s="12" t="s">
        <v>4</v>
      </c>
      <c r="C5" s="6" t="s">
        <v>5</v>
      </c>
      <c r="D5" s="8" t="s">
        <v>5</v>
      </c>
      <c r="E5" s="10" t="s">
        <v>6</v>
      </c>
      <c r="F5" s="10" t="s">
        <v>6</v>
      </c>
      <c r="G5" s="6" t="s">
        <v>5</v>
      </c>
      <c r="H5" s="6" t="s">
        <v>5</v>
      </c>
      <c r="I5" s="13" t="s">
        <v>5</v>
      </c>
    </row>
    <row r="6" spans="1:9">
      <c r="A6" s="14" t="s">
        <v>7</v>
      </c>
      <c r="B6" s="15"/>
      <c r="C6" s="16"/>
      <c r="D6" s="17"/>
      <c r="E6" s="16"/>
      <c r="F6" s="16"/>
      <c r="G6" s="16"/>
      <c r="H6" s="16"/>
      <c r="I6" s="18"/>
    </row>
    <row r="7" spans="1:9">
      <c r="A7" s="19" t="s">
        <v>8</v>
      </c>
      <c r="B7" s="20">
        <f>SUM(B8:B10)</f>
        <v>24533</v>
      </c>
      <c r="C7" s="21">
        <f>SUM(C8:C10)</f>
        <v>20260947</v>
      </c>
      <c r="D7" s="27">
        <f t="shared" ref="D7:D10" si="0">IF(B7,C7/B7,0)</f>
        <v>825.86503892715939</v>
      </c>
      <c r="E7" s="20">
        <f>SUM(E8:E10)</f>
        <v>47025</v>
      </c>
      <c r="F7" s="22">
        <f>E7/$E$67</f>
        <v>0.42533850704148918</v>
      </c>
      <c r="G7" s="21">
        <f>SUM(G8:G10)</f>
        <v>34994091</v>
      </c>
      <c r="H7" s="22">
        <f>G7/$G$67</f>
        <v>0.32805280067061565</v>
      </c>
      <c r="I7" s="23">
        <f>IF(E7,G7/E7,0)</f>
        <v>744.15929824561408</v>
      </c>
    </row>
    <row r="8" spans="1:9">
      <c r="A8" s="24" t="s">
        <v>321</v>
      </c>
      <c r="B8" s="25">
        <f>VLOOKUP(A8,[1]進出口值表查詢結果!$B$10:$D$60,3,0)</f>
        <v>22414</v>
      </c>
      <c r="C8" s="26">
        <f>VLOOKUP(A8,[1]進出口值表查詢結果!$B$10:$D$60,2,0)</f>
        <v>17222713</v>
      </c>
      <c r="D8" s="27">
        <f t="shared" si="0"/>
        <v>768.39087177656825</v>
      </c>
      <c r="E8" s="25">
        <f>VLOOKUP(A8,[2]進出口值表查詢結果!$B$10:$D$67,3,0)</f>
        <v>42812</v>
      </c>
      <c r="F8" s="28">
        <f>E8/$E$67</f>
        <v>0.38723215658607624</v>
      </c>
      <c r="G8" s="26">
        <f>VLOOKUP(A8,[2]進出口值表查詢結果!$B$10:$D$67,2,0)</f>
        <v>28874540</v>
      </c>
      <c r="H8" s="28">
        <f>G8/$G$67</f>
        <v>0.27068494835530144</v>
      </c>
      <c r="I8" s="23">
        <f t="shared" ref="I8:I66" si="1">IF(E8,G8/E8,0)</f>
        <v>674.44968700364382</v>
      </c>
    </row>
    <row r="9" spans="1:9">
      <c r="A9" s="29" t="s">
        <v>9</v>
      </c>
      <c r="B9" s="25">
        <f>VLOOKUP(A9,[1]進出口值表查詢結果!$B$10:$D$60,3,0)</f>
        <v>2097</v>
      </c>
      <c r="C9" s="26">
        <f>VLOOKUP(A9,[1]進出口值表查詢結果!$B$10:$D$60,2,0)</f>
        <v>2965792</v>
      </c>
      <c r="D9" s="27">
        <f t="shared" si="0"/>
        <v>1414.3023366714353</v>
      </c>
      <c r="E9" s="25">
        <f>VLOOKUP(A9,[2]進出口值表查詢結果!$B$10:$D$67,3,0)</f>
        <v>4040</v>
      </c>
      <c r="F9" s="28">
        <f>E9/$E$67</f>
        <v>3.6541575086605341E-2</v>
      </c>
      <c r="G9" s="26">
        <f>VLOOKUP(A9,[2]進出口值表查詢結果!$B$10:$D$67,2,0)</f>
        <v>5747268</v>
      </c>
      <c r="H9" s="28">
        <f>G9/$G$67</f>
        <v>5.3877877942439138E-2</v>
      </c>
      <c r="I9" s="23">
        <f t="shared" si="1"/>
        <v>1422.5910891089109</v>
      </c>
    </row>
    <row r="10" spans="1:9">
      <c r="A10" s="29" t="s">
        <v>10</v>
      </c>
      <c r="B10" s="25">
        <f>VLOOKUP(A10,[1]進出口值表查詢結果!$B$10:$D$60,3,0)</f>
        <v>22</v>
      </c>
      <c r="C10" s="26">
        <f>VLOOKUP(A10,[1]進出口值表查詢結果!$B$10:$D$60,2,0)</f>
        <v>72442</v>
      </c>
      <c r="D10" s="27">
        <f t="shared" si="0"/>
        <v>3292.818181818182</v>
      </c>
      <c r="E10" s="25">
        <f>VLOOKUP(A10,[2]進出口值表查詢結果!$B$10:$D$67,3,0)</f>
        <v>173</v>
      </c>
      <c r="F10" s="28">
        <f>E10/$E$67</f>
        <v>1.5647753688076049E-3</v>
      </c>
      <c r="G10" s="26">
        <f>VLOOKUP(A10,[2]進出口值表查詢結果!$B$10:$D$67,2,0)</f>
        <v>372283</v>
      </c>
      <c r="H10" s="28">
        <f>G10/$G$67</f>
        <v>3.4899743728750892E-3</v>
      </c>
      <c r="I10" s="23">
        <f t="shared" si="1"/>
        <v>2151.9248554913293</v>
      </c>
    </row>
    <row r="11" spans="1:9">
      <c r="A11" s="29"/>
      <c r="B11" s="25"/>
      <c r="C11" s="26"/>
      <c r="D11" s="27"/>
      <c r="E11" s="25"/>
      <c r="F11" s="28"/>
      <c r="G11" s="25"/>
      <c r="H11" s="28"/>
      <c r="I11" s="23"/>
    </row>
    <row r="12" spans="1:9">
      <c r="A12" s="30" t="s">
        <v>11</v>
      </c>
      <c r="B12" s="20">
        <f>SUM(B13:B39)</f>
        <v>19642</v>
      </c>
      <c r="C12" s="21">
        <f>SUM(C13:C39)</f>
        <v>18422232</v>
      </c>
      <c r="D12" s="27">
        <f t="shared" ref="D12:D19" si="2">IF(B12,C12/B12,0)</f>
        <v>937.90001018226246</v>
      </c>
      <c r="E12" s="20">
        <f>SUM(E13:E39)</f>
        <v>35354</v>
      </c>
      <c r="F12" s="22">
        <f t="shared" ref="F12:F39" si="3">E12/$E$67</f>
        <v>0.31977496178511022</v>
      </c>
      <c r="G12" s="21">
        <f>SUM(G13:G39)</f>
        <v>40213819</v>
      </c>
      <c r="H12" s="22">
        <f t="shared" ref="H12:H39" si="4">G12/$G$67</f>
        <v>0.37698524441201275</v>
      </c>
      <c r="I12" s="23">
        <f t="shared" si="1"/>
        <v>1137.4616450755218</v>
      </c>
    </row>
    <row r="13" spans="1:9">
      <c r="A13" s="24" t="s">
        <v>322</v>
      </c>
      <c r="B13" s="25">
        <f>VLOOKUP(A13,[1]進出口值表查詢結果!$B$10:$D$60,3,0)</f>
        <v>5346</v>
      </c>
      <c r="C13" s="26">
        <f>VLOOKUP(A13,[1]進出口值表查詢結果!$B$10:$D$60,2,0)</f>
        <v>8858915</v>
      </c>
      <c r="D13" s="27">
        <f t="shared" si="2"/>
        <v>1657.1109240553685</v>
      </c>
      <c r="E13" s="25">
        <f>VLOOKUP(A13,[2]進出口值表查詢結果!$B$10:$D$67,3,0)</f>
        <v>12372</v>
      </c>
      <c r="F13" s="28">
        <f t="shared" si="3"/>
        <v>0.11190405123056467</v>
      </c>
      <c r="G13" s="26">
        <f>VLOOKUP(A13,[2]進出口值表查詢結果!$B$10:$D$67,2,0)</f>
        <v>21793008</v>
      </c>
      <c r="H13" s="28">
        <f t="shared" si="4"/>
        <v>0.20429898606130767</v>
      </c>
      <c r="I13" s="23">
        <f t="shared" si="1"/>
        <v>1761.478176527643</v>
      </c>
    </row>
    <row r="14" spans="1:9">
      <c r="A14" s="24" t="s">
        <v>323</v>
      </c>
      <c r="B14" s="25">
        <f>VLOOKUP(A14,[1]進出口值表查詢結果!$B$10:$D$60,3,0)</f>
        <v>3537</v>
      </c>
      <c r="C14" s="26">
        <f>VLOOKUP(A14,[1]進出口值表查詢結果!$B$10:$D$60,2,0)</f>
        <v>2758819</v>
      </c>
      <c r="D14" s="27">
        <f t="shared" si="2"/>
        <v>779.98840825558386</v>
      </c>
      <c r="E14" s="25">
        <f>VLOOKUP(A14,[2]進出口值表查詢結果!$B$10:$D$67,3,0)</f>
        <v>7679</v>
      </c>
      <c r="F14" s="28">
        <f t="shared" si="3"/>
        <v>6.9456127497535255E-2</v>
      </c>
      <c r="G14" s="26">
        <f>VLOOKUP(A14,[2]進出口值表查詢結果!$B$10:$D$67,2,0)</f>
        <v>6501027</v>
      </c>
      <c r="H14" s="28">
        <f t="shared" si="4"/>
        <v>6.0944006649159436E-2</v>
      </c>
      <c r="I14" s="23">
        <f t="shared" si="1"/>
        <v>846.5981247558276</v>
      </c>
    </row>
    <row r="15" spans="1:9">
      <c r="A15" s="29" t="s">
        <v>14</v>
      </c>
      <c r="B15" s="25">
        <f>VLOOKUP(A15,[1]進出口值表查詢結果!$B$10:$D$60,3,0)</f>
        <v>389</v>
      </c>
      <c r="C15" s="26">
        <f>VLOOKUP(A15,[1]進出口值表查詢結果!$B$10:$D$60,2,0)</f>
        <v>625975</v>
      </c>
      <c r="D15" s="27">
        <f t="shared" si="2"/>
        <v>1609.1902313624678</v>
      </c>
      <c r="E15" s="25">
        <f>VLOOKUP(A15,[2]進出口值表查詢結果!$B$10:$D$67,3,0)</f>
        <v>1180</v>
      </c>
      <c r="F15" s="28">
        <f t="shared" si="3"/>
        <v>1.0673034307473838E-2</v>
      </c>
      <c r="G15" s="26">
        <f>VLOOKUP(A15,[2]進出口值表查詢結果!$B$10:$D$67,2,0)</f>
        <v>1674120</v>
      </c>
      <c r="H15" s="28">
        <f t="shared" si="4"/>
        <v>1.5694071169292299E-2</v>
      </c>
      <c r="I15" s="23">
        <f t="shared" si="1"/>
        <v>1418.7457627118645</v>
      </c>
    </row>
    <row r="16" spans="1:9">
      <c r="A16" s="24" t="s">
        <v>325</v>
      </c>
      <c r="B16" s="25">
        <f>VLOOKUP(A16,[1]進出口值表查詢結果!$B$10:$D$60,3,0)</f>
        <v>1237</v>
      </c>
      <c r="C16" s="26">
        <f>VLOOKUP(A16,[1]進出口值表查詢結果!$B$10:$D$60,2,0)</f>
        <v>2345200</v>
      </c>
      <c r="D16" s="27">
        <f t="shared" si="2"/>
        <v>1895.877122069523</v>
      </c>
      <c r="E16" s="25">
        <f>VLOOKUP(A16,[2]進出口值表查詢結果!$B$10:$D$67,3,0)</f>
        <v>2149</v>
      </c>
      <c r="F16" s="28">
        <f t="shared" si="3"/>
        <v>1.94375853616621E-2</v>
      </c>
      <c r="G16" s="26">
        <f>VLOOKUP(A16,[2]進出口值表查詢結果!$B$10:$D$67,2,0)</f>
        <v>3765910</v>
      </c>
      <c r="H16" s="28">
        <f t="shared" si="4"/>
        <v>3.5303598043837689E-2</v>
      </c>
      <c r="I16" s="23">
        <f t="shared" si="1"/>
        <v>1752.4011167985109</v>
      </c>
    </row>
    <row r="17" spans="1:9">
      <c r="A17" s="29" t="s">
        <v>17</v>
      </c>
      <c r="B17" s="25">
        <f>VLOOKUP(A17,[1]進出口值表查詢結果!$B$10:$D$60,3,0)</f>
        <v>887</v>
      </c>
      <c r="C17" s="26">
        <f>VLOOKUP(A17,[1]進出口值表查詢結果!$B$10:$D$60,2,0)</f>
        <v>1418689</v>
      </c>
      <c r="D17" s="27">
        <f t="shared" si="2"/>
        <v>1599.423900789177</v>
      </c>
      <c r="E17" s="25">
        <f>VLOOKUP(A17,[2]進出口值表查詢結果!$B$10:$D$67,3,0)</f>
        <v>1171</v>
      </c>
      <c r="F17" s="28">
        <f t="shared" si="3"/>
        <v>1.0591629808518528E-2</v>
      </c>
      <c r="G17" s="26">
        <f>VLOOKUP(A17,[2]進出口值表查詢結果!$B$10:$D$67,2,0)</f>
        <v>1654527</v>
      </c>
      <c r="H17" s="28">
        <f t="shared" si="4"/>
        <v>1.5510396201894535E-2</v>
      </c>
      <c r="I17" s="23">
        <f t="shared" si="1"/>
        <v>1412.9180187873612</v>
      </c>
    </row>
    <row r="18" spans="1:9">
      <c r="A18" s="29" t="s">
        <v>18</v>
      </c>
      <c r="B18" s="25">
        <f>VLOOKUP(A18,[1]進出口值表查詢結果!$B$10:$D$60,3,0)</f>
        <v>239</v>
      </c>
      <c r="C18" s="26">
        <f>VLOOKUP(A18,[1]進出口值表查詢結果!$B$10:$D$60,2,0)</f>
        <v>269909</v>
      </c>
      <c r="D18" s="27">
        <f t="shared" si="2"/>
        <v>1129.3263598326359</v>
      </c>
      <c r="E18" s="25">
        <f>VLOOKUP(A18,[2]進出口值表查詢結果!$B$10:$D$67,3,0)</f>
        <v>867</v>
      </c>
      <c r="F18" s="28">
        <f t="shared" si="3"/>
        <v>7.8419667326947596E-3</v>
      </c>
      <c r="G18" s="26">
        <f>VLOOKUP(A18,[2]進出口值表查詢結果!$B$10:$D$67,2,0)</f>
        <v>1557825</v>
      </c>
      <c r="H18" s="28">
        <f t="shared" si="4"/>
        <v>1.4603861383474765E-2</v>
      </c>
      <c r="I18" s="23">
        <f t="shared" si="1"/>
        <v>1796.7993079584776</v>
      </c>
    </row>
    <row r="19" spans="1:9">
      <c r="A19" s="24" t="s">
        <v>326</v>
      </c>
      <c r="B19" s="25">
        <f>VLOOKUP(A19,[1]進出口值表查詢結果!$B$10:$D$60,3,0)</f>
        <v>4251</v>
      </c>
      <c r="C19" s="26">
        <f>VLOOKUP(A19,[1]進出口值表查詢結果!$B$10:$D$60,2,0)</f>
        <v>451314</v>
      </c>
      <c r="D19" s="27">
        <f t="shared" si="2"/>
        <v>106.166549047283</v>
      </c>
      <c r="E19" s="25">
        <f>VLOOKUP(A19,[2]進出口值表查詢結果!$B$10:$D$67,3,0)</f>
        <v>4251</v>
      </c>
      <c r="F19" s="28">
        <f t="shared" si="3"/>
        <v>3.8450058339890916E-2</v>
      </c>
      <c r="G19" s="26">
        <f>VLOOKUP(A19,[2]進出口值表查詢結果!$B$10:$D$67,2,0)</f>
        <v>451314</v>
      </c>
      <c r="H19" s="28">
        <f t="shared" si="4"/>
        <v>4.2308520510465101E-3</v>
      </c>
      <c r="I19" s="23">
        <f t="shared" si="1"/>
        <v>106.166549047283</v>
      </c>
    </row>
    <row r="20" spans="1:9">
      <c r="A20" s="29" t="s">
        <v>20</v>
      </c>
      <c r="B20" s="25">
        <v>0</v>
      </c>
      <c r="C20" s="26">
        <v>0</v>
      </c>
      <c r="D20" s="27">
        <f>IF(B20,C20/B20,0)</f>
        <v>0</v>
      </c>
      <c r="E20" s="25">
        <v>0</v>
      </c>
      <c r="F20" s="28">
        <f t="shared" si="3"/>
        <v>0</v>
      </c>
      <c r="G20" s="26">
        <v>0</v>
      </c>
      <c r="H20" s="28">
        <f t="shared" si="4"/>
        <v>0</v>
      </c>
      <c r="I20" s="23">
        <f t="shared" si="1"/>
        <v>0</v>
      </c>
    </row>
    <row r="21" spans="1:9">
      <c r="A21" s="24" t="s">
        <v>327</v>
      </c>
      <c r="B21" s="25">
        <f>VLOOKUP(A21,[1]進出口值表查詢結果!$B$10:$D$60,3,0)</f>
        <v>5</v>
      </c>
      <c r="C21" s="26">
        <f>VLOOKUP(A21,[1]進出口值表查詢結果!$B$10:$D$60,2,0)</f>
        <v>7728</v>
      </c>
      <c r="D21" s="27">
        <f t="shared" ref="D21:D66" si="5">IF(B21,C21/B21,0)</f>
        <v>1545.6</v>
      </c>
      <c r="E21" s="25">
        <f>VLOOKUP(A21,[2]進出口值表查詢結果!$B$10:$D$67,3,0)</f>
        <v>5</v>
      </c>
      <c r="F21" s="28">
        <f t="shared" si="3"/>
        <v>4.5224721641838292E-5</v>
      </c>
      <c r="G21" s="26">
        <f>VLOOKUP(A21,[2]進出口值表查詢結果!$B$10:$D$67,2,0)</f>
        <v>7728</v>
      </c>
      <c r="H21" s="28">
        <f t="shared" si="4"/>
        <v>7.2446289391615222E-5</v>
      </c>
      <c r="I21" s="23">
        <f t="shared" si="1"/>
        <v>1545.6</v>
      </c>
    </row>
    <row r="22" spans="1:9">
      <c r="A22" s="29" t="s">
        <v>22</v>
      </c>
      <c r="B22" s="25">
        <v>0</v>
      </c>
      <c r="C22" s="26">
        <v>0</v>
      </c>
      <c r="D22" s="27">
        <f t="shared" si="5"/>
        <v>0</v>
      </c>
      <c r="E22" s="25">
        <v>0</v>
      </c>
      <c r="F22" s="28">
        <f t="shared" si="3"/>
        <v>0</v>
      </c>
      <c r="G22" s="26">
        <v>0</v>
      </c>
      <c r="H22" s="28">
        <f t="shared" si="4"/>
        <v>0</v>
      </c>
      <c r="I22" s="23">
        <f t="shared" si="1"/>
        <v>0</v>
      </c>
    </row>
    <row r="23" spans="1:9">
      <c r="A23" s="29" t="s">
        <v>23</v>
      </c>
      <c r="B23" s="25">
        <v>0</v>
      </c>
      <c r="C23" s="26">
        <v>0</v>
      </c>
      <c r="D23" s="27">
        <f t="shared" si="5"/>
        <v>0</v>
      </c>
      <c r="E23" s="25">
        <v>0</v>
      </c>
      <c r="F23" s="28">
        <f t="shared" si="3"/>
        <v>0</v>
      </c>
      <c r="G23" s="26">
        <v>0</v>
      </c>
      <c r="H23" s="28">
        <f t="shared" si="4"/>
        <v>0</v>
      </c>
      <c r="I23" s="23">
        <f t="shared" si="1"/>
        <v>0</v>
      </c>
    </row>
    <row r="24" spans="1:9">
      <c r="A24" s="29" t="s">
        <v>24</v>
      </c>
      <c r="B24" s="25">
        <v>0</v>
      </c>
      <c r="C24" s="26">
        <v>0</v>
      </c>
      <c r="D24" s="27">
        <f t="shared" si="5"/>
        <v>0</v>
      </c>
      <c r="E24" s="25">
        <v>0</v>
      </c>
      <c r="F24" s="28">
        <f t="shared" si="3"/>
        <v>0</v>
      </c>
      <c r="G24" s="26">
        <v>0</v>
      </c>
      <c r="H24" s="28">
        <f t="shared" si="4"/>
        <v>0</v>
      </c>
      <c r="I24" s="23">
        <f t="shared" si="1"/>
        <v>0</v>
      </c>
    </row>
    <row r="25" spans="1:9">
      <c r="A25" s="24" t="s">
        <v>328</v>
      </c>
      <c r="B25" s="25">
        <f>VLOOKUP(A25,[1]進出口值表查詢結果!$B$10:$D$60,3,0)</f>
        <v>830</v>
      </c>
      <c r="C25" s="26">
        <f>VLOOKUP(A25,[1]進出口值表查詢結果!$B$10:$D$60,2,0)</f>
        <v>156129</v>
      </c>
      <c r="D25" s="27">
        <f t="shared" si="5"/>
        <v>188.10722891566266</v>
      </c>
      <c r="E25" s="25">
        <f>VLOOKUP(A25,[2]進出口值表查詢結果!$B$10:$D$67,3,0)</f>
        <v>1392</v>
      </c>
      <c r="F25" s="28">
        <f t="shared" si="3"/>
        <v>1.2590562505087782E-2</v>
      </c>
      <c r="G25" s="26">
        <f>VLOOKUP(A25,[2]進出口值表查詢結果!$B$10:$D$67,2,0)</f>
        <v>261806</v>
      </c>
      <c r="H25" s="28">
        <f t="shared" si="4"/>
        <v>2.454305543537942E-3</v>
      </c>
      <c r="I25" s="23">
        <f t="shared" si="1"/>
        <v>188.07902298850576</v>
      </c>
    </row>
    <row r="26" spans="1:9">
      <c r="A26" s="24" t="s">
        <v>329</v>
      </c>
      <c r="B26" s="25">
        <f>VLOOKUP(A26,[1]進出口值表查詢結果!$B$10:$D$60,3,0)</f>
        <v>97</v>
      </c>
      <c r="C26" s="26">
        <f>VLOOKUP(A26,[1]進出口值表查詢結果!$B$10:$D$60,2,0)</f>
        <v>69781</v>
      </c>
      <c r="D26" s="27">
        <f t="shared" si="5"/>
        <v>719.39175257731961</v>
      </c>
      <c r="E26" s="25">
        <f>VLOOKUP(A26,[2]進出口值表查詢結果!$B$10:$D$67,3,0)</f>
        <v>102</v>
      </c>
      <c r="F26" s="28">
        <f t="shared" si="3"/>
        <v>9.2258432149350126E-4</v>
      </c>
      <c r="G26" s="26">
        <f>VLOOKUP(A26,[2]進出口值表查詢結果!$B$10:$D$67,2,0)</f>
        <v>72635</v>
      </c>
      <c r="H26" s="28">
        <f t="shared" si="4"/>
        <v>6.8091824921842289E-4</v>
      </c>
      <c r="I26" s="23">
        <f t="shared" si="1"/>
        <v>712.10784313725492</v>
      </c>
    </row>
    <row r="27" spans="1:9">
      <c r="A27" s="518" t="s">
        <v>330</v>
      </c>
      <c r="B27" s="25">
        <f>VLOOKUP(A27,[1]進出口值表查詢結果!$B$10:$D$60,3,0)</f>
        <v>820</v>
      </c>
      <c r="C27" s="26">
        <f>VLOOKUP(A27,[1]進出口值表查詢結果!$B$10:$D$60,2,0)</f>
        <v>777478</v>
      </c>
      <c r="D27" s="27">
        <f t="shared" si="5"/>
        <v>948.14390243902437</v>
      </c>
      <c r="E27" s="25">
        <f>VLOOKUP(A27,[2]進出口值表查詢結果!$B$10:$D$67,3,0)</f>
        <v>1269</v>
      </c>
      <c r="F27" s="28">
        <f t="shared" si="3"/>
        <v>1.1478034352698559E-2</v>
      </c>
      <c r="G27" s="26">
        <f>VLOOKUP(A27,[2]進出口值表查詢結果!$B$10:$D$67,2,0)</f>
        <v>1364727</v>
      </c>
      <c r="H27" s="28">
        <f t="shared" si="4"/>
        <v>1.2793660349708963E-2</v>
      </c>
      <c r="I27" s="23">
        <f t="shared" si="1"/>
        <v>1075.4349881796691</v>
      </c>
    </row>
    <row r="28" spans="1:9">
      <c r="A28" s="518" t="s">
        <v>331</v>
      </c>
      <c r="B28" s="25">
        <f>VLOOKUP(A28,[1]進出口值表查詢結果!$B$10:$D$60,3,0)</f>
        <v>807</v>
      </c>
      <c r="C28" s="26">
        <f>VLOOKUP(A28,[1]進出口值表查詢結果!$B$10:$D$60,2,0)</f>
        <v>243460</v>
      </c>
      <c r="D28" s="27">
        <f t="shared" si="5"/>
        <v>301.68525402726146</v>
      </c>
      <c r="E28" s="25">
        <f>VLOOKUP(A28,[2]進出口值表查詢結果!$B$10:$D$67,3,0)</f>
        <v>1391</v>
      </c>
      <c r="F28" s="28">
        <f t="shared" si="3"/>
        <v>1.2581517560759413E-2</v>
      </c>
      <c r="G28" s="26">
        <f>VLOOKUP(A28,[2]進出口值表查詢結果!$B$10:$D$67,2,0)</f>
        <v>390051</v>
      </c>
      <c r="H28" s="28">
        <f t="shared" si="4"/>
        <v>3.6565408415487719E-3</v>
      </c>
      <c r="I28" s="23">
        <f t="shared" si="1"/>
        <v>280.41049604601005</v>
      </c>
    </row>
    <row r="29" spans="1:9">
      <c r="A29" s="29" t="s">
        <v>27</v>
      </c>
      <c r="B29" s="25">
        <f>VLOOKUP(A29,[1]進出口值表查詢結果!$B$10:$D$60,3,0)</f>
        <v>265</v>
      </c>
      <c r="C29" s="26">
        <f>VLOOKUP(A29,[1]進出口值表查詢結果!$B$10:$D$60,2,0)</f>
        <v>69117</v>
      </c>
      <c r="D29" s="27">
        <f t="shared" si="5"/>
        <v>260.81886792452832</v>
      </c>
      <c r="E29" s="25">
        <f>VLOOKUP(A29,[2]進出口值表查詢結果!$B$10:$D$67,3,0)</f>
        <v>357</v>
      </c>
      <c r="F29" s="28">
        <f t="shared" si="3"/>
        <v>3.2290451252272542E-3</v>
      </c>
      <c r="G29" s="26">
        <f>VLOOKUP(A29,[2]進出口值表查詢結果!$B$10:$D$67,2,0)</f>
        <v>190241</v>
      </c>
      <c r="H29" s="28">
        <f t="shared" si="4"/>
        <v>1.7834180305577475E-3</v>
      </c>
      <c r="I29" s="23">
        <f t="shared" si="1"/>
        <v>532.8879551820728</v>
      </c>
    </row>
    <row r="30" spans="1:9">
      <c r="A30" s="29" t="s">
        <v>28</v>
      </c>
      <c r="B30" s="25">
        <v>0</v>
      </c>
      <c r="C30" s="26">
        <v>0</v>
      </c>
      <c r="D30" s="27">
        <f t="shared" si="5"/>
        <v>0</v>
      </c>
      <c r="E30" s="25">
        <v>0</v>
      </c>
      <c r="F30" s="28">
        <f t="shared" si="3"/>
        <v>0</v>
      </c>
      <c r="G30" s="26">
        <v>0</v>
      </c>
      <c r="H30" s="28">
        <f t="shared" si="4"/>
        <v>0</v>
      </c>
      <c r="I30" s="23">
        <f t="shared" si="1"/>
        <v>0</v>
      </c>
    </row>
    <row r="31" spans="1:9">
      <c r="A31" s="29" t="s">
        <v>29</v>
      </c>
      <c r="B31" s="25">
        <v>0</v>
      </c>
      <c r="C31" s="26">
        <v>0</v>
      </c>
      <c r="D31" s="27">
        <f t="shared" si="5"/>
        <v>0</v>
      </c>
      <c r="E31" s="25">
        <v>0</v>
      </c>
      <c r="F31" s="28">
        <f t="shared" si="3"/>
        <v>0</v>
      </c>
      <c r="G31" s="26">
        <v>0</v>
      </c>
      <c r="H31" s="28">
        <f t="shared" si="4"/>
        <v>0</v>
      </c>
      <c r="I31" s="23">
        <f t="shared" si="1"/>
        <v>0</v>
      </c>
    </row>
    <row r="32" spans="1:9">
      <c r="A32" s="29" t="s">
        <v>30</v>
      </c>
      <c r="B32" s="25">
        <v>0</v>
      </c>
      <c r="C32" s="26">
        <v>0</v>
      </c>
      <c r="D32" s="27">
        <f t="shared" si="5"/>
        <v>0</v>
      </c>
      <c r="E32" s="25">
        <v>0</v>
      </c>
      <c r="F32" s="28">
        <f t="shared" si="3"/>
        <v>0</v>
      </c>
      <c r="G32" s="26">
        <v>0</v>
      </c>
      <c r="H32" s="28">
        <f t="shared" si="4"/>
        <v>0</v>
      </c>
      <c r="I32" s="23">
        <f t="shared" si="1"/>
        <v>0</v>
      </c>
    </row>
    <row r="33" spans="1:9">
      <c r="A33" s="29" t="s">
        <v>31</v>
      </c>
      <c r="B33" s="25">
        <f>VLOOKUP(A33,[1]進出口值表查詢結果!$B$10:$D$60,3,0)</f>
        <v>440</v>
      </c>
      <c r="C33" s="26">
        <f>VLOOKUP(A33,[1]進出口值表查詢結果!$B$10:$D$60,2,0)</f>
        <v>171143</v>
      </c>
      <c r="D33" s="27">
        <f t="shared" si="5"/>
        <v>388.96136363636361</v>
      </c>
      <c r="E33" s="25">
        <f>VLOOKUP(A33,[2]進出口值表查詢結果!$B$10:$D$67,3,0)</f>
        <v>677</v>
      </c>
      <c r="F33" s="28">
        <f t="shared" si="3"/>
        <v>6.1234273103049049E-3</v>
      </c>
      <c r="G33" s="26">
        <f>VLOOKUP(A33,[2]進出口值表查詢結果!$B$10:$D$67,2,0)</f>
        <v>330325</v>
      </c>
      <c r="H33" s="28">
        <f t="shared" si="4"/>
        <v>3.0966382690586565E-3</v>
      </c>
      <c r="I33" s="23">
        <f t="shared" si="1"/>
        <v>487.92466765140324</v>
      </c>
    </row>
    <row r="34" spans="1:9">
      <c r="A34" s="29" t="s">
        <v>32</v>
      </c>
      <c r="B34" s="25">
        <f>VLOOKUP(A34,[1]進出口值表查詢結果!$B$10:$D$60,3,0)</f>
        <v>242</v>
      </c>
      <c r="C34" s="26">
        <f>VLOOKUP(A34,[1]進出口值表查詢結果!$B$10:$D$60,2,0)</f>
        <v>128540</v>
      </c>
      <c r="D34" s="27">
        <f t="shared" si="5"/>
        <v>531.15702479338847</v>
      </c>
      <c r="E34" s="25">
        <f>VLOOKUP(A34,[2]進出口值表查詢結果!$B$10:$D$67,3,0)</f>
        <v>242</v>
      </c>
      <c r="F34" s="28">
        <f t="shared" si="3"/>
        <v>2.1888765274649734E-3</v>
      </c>
      <c r="G34" s="26">
        <f>VLOOKUP(A34,[2]進出口值表查詢結果!$B$10:$D$67,2,0)</f>
        <v>128540</v>
      </c>
      <c r="H34" s="28">
        <f t="shared" si="4"/>
        <v>1.2050007813662294E-3</v>
      </c>
      <c r="I34" s="23">
        <f t="shared" si="1"/>
        <v>531.15702479338847</v>
      </c>
    </row>
    <row r="35" spans="1:9">
      <c r="A35" s="29" t="s">
        <v>33</v>
      </c>
      <c r="B35" s="25">
        <v>0</v>
      </c>
      <c r="C35" s="26">
        <v>0</v>
      </c>
      <c r="D35" s="27">
        <f t="shared" si="5"/>
        <v>0</v>
      </c>
      <c r="E35" s="25">
        <v>0</v>
      </c>
      <c r="F35" s="28">
        <f t="shared" si="3"/>
        <v>0</v>
      </c>
      <c r="G35" s="26">
        <v>0</v>
      </c>
      <c r="H35" s="28">
        <f t="shared" si="4"/>
        <v>0</v>
      </c>
      <c r="I35" s="23">
        <f t="shared" si="1"/>
        <v>0</v>
      </c>
    </row>
    <row r="36" spans="1:9">
      <c r="A36" s="29" t="s">
        <v>34</v>
      </c>
      <c r="B36" s="25">
        <v>0</v>
      </c>
      <c r="C36" s="26">
        <v>0</v>
      </c>
      <c r="D36" s="27">
        <f t="shared" si="5"/>
        <v>0</v>
      </c>
      <c r="E36" s="25">
        <v>0</v>
      </c>
      <c r="F36" s="28">
        <f t="shared" si="3"/>
        <v>0</v>
      </c>
      <c r="G36" s="26">
        <v>0</v>
      </c>
      <c r="H36" s="28">
        <f t="shared" si="4"/>
        <v>0</v>
      </c>
      <c r="I36" s="23">
        <f t="shared" si="1"/>
        <v>0</v>
      </c>
    </row>
    <row r="37" spans="1:9">
      <c r="A37" s="29" t="s">
        <v>35</v>
      </c>
      <c r="B37" s="25">
        <v>0</v>
      </c>
      <c r="C37" s="26">
        <v>0</v>
      </c>
      <c r="D37" s="27">
        <f t="shared" si="5"/>
        <v>0</v>
      </c>
      <c r="E37" s="25">
        <v>0</v>
      </c>
      <c r="F37" s="28">
        <f t="shared" si="3"/>
        <v>0</v>
      </c>
      <c r="G37" s="26">
        <v>0</v>
      </c>
      <c r="H37" s="28">
        <f t="shared" si="4"/>
        <v>0</v>
      </c>
      <c r="I37" s="23">
        <f t="shared" si="1"/>
        <v>0</v>
      </c>
    </row>
    <row r="38" spans="1:9">
      <c r="A38" s="29" t="s">
        <v>36</v>
      </c>
      <c r="B38" s="25">
        <v>0</v>
      </c>
      <c r="C38" s="26">
        <v>0</v>
      </c>
      <c r="D38" s="27">
        <f t="shared" si="5"/>
        <v>0</v>
      </c>
      <c r="E38" s="25">
        <v>0</v>
      </c>
      <c r="F38" s="28">
        <f t="shared" si="3"/>
        <v>0</v>
      </c>
      <c r="G38" s="26">
        <v>0</v>
      </c>
      <c r="H38" s="28">
        <f t="shared" si="4"/>
        <v>0</v>
      </c>
      <c r="I38" s="23">
        <f t="shared" si="1"/>
        <v>0</v>
      </c>
    </row>
    <row r="39" spans="1:9">
      <c r="A39" s="29" t="s">
        <v>37</v>
      </c>
      <c r="B39" s="25">
        <f>VLOOKUP(A39,[1]進出口值表查詢結果!$B$10:$D$60,3,0)</f>
        <v>250</v>
      </c>
      <c r="C39" s="26">
        <f>VLOOKUP(A39,[1]進出口值表查詢結果!$B$10:$D$60,2,0)</f>
        <v>70035</v>
      </c>
      <c r="D39" s="27">
        <f t="shared" si="5"/>
        <v>280.14</v>
      </c>
      <c r="E39" s="25">
        <f>VLOOKUP(A39,[2]進出口值表查詢結果!$B$10:$D$67,3,0)</f>
        <v>250</v>
      </c>
      <c r="F39" s="28">
        <f t="shared" si="3"/>
        <v>2.2612360820919147E-3</v>
      </c>
      <c r="G39" s="26">
        <f>VLOOKUP(A39,[2]進出口值表查詢結果!$B$10:$D$67,2,0)</f>
        <v>70035</v>
      </c>
      <c r="H39" s="28">
        <f t="shared" si="4"/>
        <v>6.5654449761151298E-4</v>
      </c>
      <c r="I39" s="23">
        <f t="shared" si="1"/>
        <v>280.14</v>
      </c>
    </row>
    <row r="40" spans="1:9">
      <c r="A40" s="29"/>
      <c r="B40" s="25"/>
      <c r="C40" s="25"/>
      <c r="D40" s="27"/>
      <c r="E40" s="25"/>
      <c r="F40" s="28"/>
      <c r="G40" s="25"/>
      <c r="H40" s="28"/>
      <c r="I40" s="23"/>
    </row>
    <row r="41" spans="1:9">
      <c r="A41" s="32" t="s">
        <v>38</v>
      </c>
      <c r="B41" s="31">
        <f>SUM(B42:B45)</f>
        <v>1412</v>
      </c>
      <c r="C41" s="31">
        <f>SUM(C42:C45)</f>
        <v>899682</v>
      </c>
      <c r="D41" s="27">
        <f t="shared" si="5"/>
        <v>637.16855524079324</v>
      </c>
      <c r="E41" s="31">
        <f>SUM(E42:E45)</f>
        <v>2471</v>
      </c>
      <c r="F41" s="22">
        <f>E41/$E$67</f>
        <v>2.2350057435396486E-2</v>
      </c>
      <c r="G41" s="31">
        <f>SUM(G42:G45)</f>
        <v>1911481</v>
      </c>
      <c r="H41" s="22">
        <f>G41/$G$67</f>
        <v>1.7919216575126042E-2</v>
      </c>
      <c r="I41" s="23">
        <f t="shared" si="1"/>
        <v>773.56576284904895</v>
      </c>
    </row>
    <row r="42" spans="1:9">
      <c r="A42" s="24" t="s">
        <v>332</v>
      </c>
      <c r="B42" s="25">
        <f>VLOOKUP(A42,[1]進出口值表查詢結果!$B$10:$D$60,3,0)</f>
        <v>387</v>
      </c>
      <c r="C42" s="26">
        <f>VLOOKUP(A42,[1]進出口值表查詢結果!$B$10:$D$60,2,0)</f>
        <v>360658</v>
      </c>
      <c r="D42" s="27">
        <f t="shared" si="5"/>
        <v>931.93281653746772</v>
      </c>
      <c r="E42" s="25">
        <f>VLOOKUP(A42,[2]進出口值表查詢結果!$B$10:$D$67,3,0)</f>
        <v>863</v>
      </c>
      <c r="F42" s="28">
        <f>E42/$E$67</f>
        <v>7.80578695538129E-3</v>
      </c>
      <c r="G42" s="26">
        <f>VLOOKUP(A42,[2]進出口值表查詢結果!$B$10:$D$67,2,0)</f>
        <v>798939</v>
      </c>
      <c r="H42" s="28">
        <f>G42/$G$67</f>
        <v>7.4896695134896059E-3</v>
      </c>
      <c r="I42" s="23">
        <f t="shared" si="1"/>
        <v>925.76940903823868</v>
      </c>
    </row>
    <row r="43" spans="1:9">
      <c r="A43" s="24" t="s">
        <v>333</v>
      </c>
      <c r="B43" s="25">
        <f>VLOOKUP(A43,[1]進出口值表查詢結果!$B$10:$D$60,3,0)</f>
        <v>1025</v>
      </c>
      <c r="C43" s="26">
        <f>VLOOKUP(A43,[1]進出口值表查詢結果!$B$10:$D$60,2,0)</f>
        <v>539024</v>
      </c>
      <c r="D43" s="27">
        <f t="shared" si="5"/>
        <v>525.87707317073171</v>
      </c>
      <c r="E43" s="25">
        <f>VLOOKUP(A43,[2]進出口值表查詢結果!$B$10:$D$67,3,0)</f>
        <v>1608</v>
      </c>
      <c r="F43" s="28">
        <f>E43/$E$67</f>
        <v>1.4544270480015196E-2</v>
      </c>
      <c r="G43" s="26">
        <f>VLOOKUP(A43,[2]進出口值表查詢結果!$B$10:$D$67,2,0)</f>
        <v>1112542</v>
      </c>
      <c r="H43" s="28">
        <f>G43/$G$67</f>
        <v>1.0429547061636436E-2</v>
      </c>
      <c r="I43" s="23">
        <f t="shared" si="1"/>
        <v>691.8793532338309</v>
      </c>
    </row>
    <row r="44" spans="1:9">
      <c r="A44" s="24" t="s">
        <v>334</v>
      </c>
      <c r="B44" s="25">
        <v>0</v>
      </c>
      <c r="C44" s="26">
        <v>0</v>
      </c>
      <c r="D44" s="27">
        <f t="shared" si="5"/>
        <v>0</v>
      </c>
      <c r="E44" s="25">
        <v>0</v>
      </c>
      <c r="F44" s="28">
        <f>E44/$E$67</f>
        <v>0</v>
      </c>
      <c r="G44" s="26">
        <v>0</v>
      </c>
      <c r="H44" s="28">
        <f>G44/$G$67</f>
        <v>0</v>
      </c>
      <c r="I44" s="23">
        <f t="shared" si="1"/>
        <v>0</v>
      </c>
    </row>
    <row r="45" spans="1:9">
      <c r="A45" s="29" t="s">
        <v>42</v>
      </c>
      <c r="B45" s="25">
        <v>0</v>
      </c>
      <c r="C45" s="26">
        <v>0</v>
      </c>
      <c r="D45" s="27">
        <f t="shared" si="5"/>
        <v>0</v>
      </c>
      <c r="E45" s="25">
        <v>0</v>
      </c>
      <c r="F45" s="28">
        <f>E45/$E$67</f>
        <v>0</v>
      </c>
      <c r="G45" s="26">
        <v>0</v>
      </c>
      <c r="H45" s="28">
        <f>G45/$G$67</f>
        <v>0</v>
      </c>
      <c r="I45" s="23">
        <f t="shared" si="1"/>
        <v>0</v>
      </c>
    </row>
    <row r="46" spans="1:9">
      <c r="A46" s="29"/>
      <c r="B46" s="25"/>
      <c r="C46" s="25"/>
      <c r="D46" s="27"/>
      <c r="E46" s="25"/>
      <c r="F46" s="28"/>
      <c r="G46" s="25"/>
      <c r="H46" s="28"/>
      <c r="I46" s="23"/>
    </row>
    <row r="47" spans="1:9">
      <c r="A47" s="32" t="s">
        <v>43</v>
      </c>
      <c r="B47" s="31">
        <f>SUM(B48:B65)</f>
        <v>13059</v>
      </c>
      <c r="C47" s="31">
        <f>SUM(C48:C65)</f>
        <v>15583904</v>
      </c>
      <c r="D47" s="27">
        <f t="shared" si="5"/>
        <v>1193.345891722184</v>
      </c>
      <c r="E47" s="31">
        <f>SUM(E48:E65)</f>
        <v>24172</v>
      </c>
      <c r="F47" s="22">
        <f t="shared" ref="F47:F67" si="6">E47/$E$67</f>
        <v>0.21863439430530304</v>
      </c>
      <c r="G47" s="31">
        <f>SUM(G48:G65)</f>
        <v>27374890</v>
      </c>
      <c r="H47" s="22">
        <f t="shared" ref="H47:H67" si="7">G47/$G$67</f>
        <v>0.25662644966403125</v>
      </c>
      <c r="I47" s="23">
        <f t="shared" si="1"/>
        <v>1132.5041370180375</v>
      </c>
    </row>
    <row r="48" spans="1:9">
      <c r="A48" s="24" t="s">
        <v>324</v>
      </c>
      <c r="B48" s="25">
        <f>VLOOKUP(A48,[1]進出口值表查詢結果!$B$10:$D$60,3,0)</f>
        <v>4226</v>
      </c>
      <c r="C48" s="26">
        <f>VLOOKUP(A48,[1]進出口值表查詢結果!$B$10:$D$60,2,0)</f>
        <v>5281088</v>
      </c>
      <c r="D48" s="27">
        <f t="shared" si="5"/>
        <v>1249.6658778987221</v>
      </c>
      <c r="E48" s="25">
        <f>VLOOKUP(A48,[2]進出口值表查詢結果!$B$10:$D$67,3,0)</f>
        <v>7689</v>
      </c>
      <c r="F48" s="28">
        <f t="shared" si="6"/>
        <v>6.9546576940818935E-2</v>
      </c>
      <c r="G48" s="26">
        <f>VLOOKUP(A48,[2]進出口值表查詢結果!$B$10:$D$67,2,0)</f>
        <v>8952193</v>
      </c>
      <c r="H48" s="28">
        <f t="shared" si="7"/>
        <v>8.3922510968891306E-2</v>
      </c>
      <c r="I48" s="23">
        <f t="shared" si="1"/>
        <v>1164.2857328651321</v>
      </c>
    </row>
    <row r="49" spans="1:9">
      <c r="A49" s="24" t="s">
        <v>335</v>
      </c>
      <c r="B49" s="25">
        <f>VLOOKUP(A49,[1]進出口值表查詢結果!$B$10:$D$60,3,0)</f>
        <v>1641</v>
      </c>
      <c r="C49" s="26">
        <f>VLOOKUP(A49,[1]進出口值表查詢結果!$B$10:$D$60,2,0)</f>
        <v>1677575</v>
      </c>
      <c r="D49" s="27">
        <f t="shared" si="5"/>
        <v>1022.2882388787325</v>
      </c>
      <c r="E49" s="25">
        <f>VLOOKUP(A49,[2]進出口值表查詢結果!$B$10:$D$67,3,0)</f>
        <v>2559</v>
      </c>
      <c r="F49" s="28">
        <f t="shared" si="6"/>
        <v>2.3146012536292841E-2</v>
      </c>
      <c r="G49" s="26">
        <f>VLOOKUP(A49,[2]進出口值表查詢結果!$B$10:$D$67,2,0)</f>
        <v>2606625</v>
      </c>
      <c r="H49" s="28">
        <f t="shared" si="7"/>
        <v>2.4435857800908258E-2</v>
      </c>
      <c r="I49" s="23">
        <f t="shared" si="1"/>
        <v>1018.6107854630715</v>
      </c>
    </row>
    <row r="50" spans="1:9">
      <c r="A50" s="545" t="s">
        <v>341</v>
      </c>
      <c r="B50" s="25">
        <f>VLOOKUP(A50,[1]進出口值表查詢結果!$B$10:$D$60,3,0)</f>
        <v>65</v>
      </c>
      <c r="C50" s="26">
        <f>VLOOKUP(A50,[1]進出口值表查詢結果!$B$10:$D$60,2,0)</f>
        <v>113715</v>
      </c>
      <c r="D50" s="27">
        <f t="shared" si="5"/>
        <v>1749.4615384615386</v>
      </c>
      <c r="E50" s="25">
        <f>VLOOKUP(A50,[2]進出口值表查詢結果!$B$10:$D$67,3,0)</f>
        <v>424</v>
      </c>
      <c r="F50" s="28">
        <f t="shared" si="6"/>
        <v>3.8350563952278872E-3</v>
      </c>
      <c r="G50" s="26">
        <f>VLOOKUP(A50,[2]進出口值表查詢結果!$B$10:$D$67,2,0)</f>
        <v>341467</v>
      </c>
      <c r="H50" s="28">
        <f t="shared" si="7"/>
        <v>3.2010891692141144E-3</v>
      </c>
      <c r="I50" s="23">
        <f t="shared" si="1"/>
        <v>805.34669811320759</v>
      </c>
    </row>
    <row r="51" spans="1:9">
      <c r="A51" s="24" t="s">
        <v>336</v>
      </c>
      <c r="B51" s="25">
        <f>VLOOKUP(A51,[1]進出口值表查詢結果!$B$10:$D$60,3,0)</f>
        <v>11</v>
      </c>
      <c r="C51" s="26">
        <f>VLOOKUP(A51,[1]進出口值表查詢結果!$B$10:$D$60,2,0)</f>
        <v>13114</v>
      </c>
      <c r="D51" s="27">
        <f t="shared" si="5"/>
        <v>1192.1818181818182</v>
      </c>
      <c r="E51" s="25">
        <f>VLOOKUP(A51,[2]進出口值表查詢結果!$B$10:$D$67,3,0)</f>
        <v>163</v>
      </c>
      <c r="F51" s="28">
        <f t="shared" si="6"/>
        <v>1.4743259255239284E-3</v>
      </c>
      <c r="G51" s="26">
        <f>VLOOKUP(A51,[2]進出口值表查詢結果!$B$10:$D$67,2,0)</f>
        <v>315366</v>
      </c>
      <c r="H51" s="28">
        <f t="shared" si="7"/>
        <v>2.9564048266402855E-3</v>
      </c>
      <c r="I51" s="23">
        <f t="shared" si="1"/>
        <v>1934.7607361963189</v>
      </c>
    </row>
    <row r="52" spans="1:9">
      <c r="A52" s="29" t="s">
        <v>47</v>
      </c>
      <c r="B52" s="25">
        <f>VLOOKUP(A52,[1]進出口值表查詢結果!$B$10:$D$60,3,0)</f>
        <v>269</v>
      </c>
      <c r="C52" s="26">
        <f>VLOOKUP(A52,[1]進出口值表查詢結果!$B$10:$D$60,2,0)</f>
        <v>86474</v>
      </c>
      <c r="D52" s="27">
        <f t="shared" si="5"/>
        <v>321.46468401486987</v>
      </c>
      <c r="E52" s="25">
        <f>VLOOKUP(A52,[2]進出口值表查詢結果!$B$10:$D$67,3,0)</f>
        <v>535</v>
      </c>
      <c r="F52" s="28">
        <f t="shared" si="6"/>
        <v>4.8390452156766971E-3</v>
      </c>
      <c r="G52" s="26">
        <f>VLOOKUP(A52,[2]進出口值表查詢結果!$B$10:$D$67,2,0)</f>
        <v>383524</v>
      </c>
      <c r="H52" s="28">
        <f t="shared" si="7"/>
        <v>3.5953533504955791E-3</v>
      </c>
      <c r="I52" s="23">
        <f t="shared" si="1"/>
        <v>716.86728971962611</v>
      </c>
    </row>
    <row r="53" spans="1:9">
      <c r="A53" s="24" t="s">
        <v>337</v>
      </c>
      <c r="B53" s="25">
        <f>VLOOKUP(A53,[1]進出口值表查詢結果!$B$10:$D$60,3,0)</f>
        <v>215</v>
      </c>
      <c r="C53" s="26">
        <f>VLOOKUP(A53,[1]進出口值表查詢結果!$B$10:$D$60,2,0)</f>
        <v>363985</v>
      </c>
      <c r="D53" s="27">
        <f t="shared" si="5"/>
        <v>1692.953488372093</v>
      </c>
      <c r="E53" s="25">
        <f>VLOOKUP(A53,[2]進出口值表查詢結果!$B$10:$D$67,3,0)</f>
        <v>360</v>
      </c>
      <c r="F53" s="28">
        <f t="shared" si="6"/>
        <v>3.2561799582123572E-3</v>
      </c>
      <c r="G53" s="26">
        <f>VLOOKUP(A53,[2]進出口值表查詢結果!$B$10:$D$67,2,0)</f>
        <v>581049</v>
      </c>
      <c r="H53" s="28">
        <f t="shared" si="7"/>
        <v>5.4470553836320698E-3</v>
      </c>
      <c r="I53" s="23">
        <f t="shared" si="1"/>
        <v>1614.0250000000001</v>
      </c>
    </row>
    <row r="54" spans="1:9">
      <c r="A54" s="29" t="s">
        <v>49</v>
      </c>
      <c r="B54" s="25">
        <f>VLOOKUP(A54,[1]進出口值表查詢結果!$B$10:$D$60,3,0)</f>
        <v>3324</v>
      </c>
      <c r="C54" s="26">
        <f>VLOOKUP(A54,[1]進出口值表查詢結果!$B$10:$D$60,2,0)</f>
        <v>3504783</v>
      </c>
      <c r="D54" s="27">
        <f t="shared" si="5"/>
        <v>1054.3871841155235</v>
      </c>
      <c r="E54" s="25">
        <f>VLOOKUP(A54,[2]進出口值表查詢結果!$B$10:$D$67,3,0)</f>
        <v>7015</v>
      </c>
      <c r="F54" s="28">
        <f t="shared" si="6"/>
        <v>6.3450284463499124E-2</v>
      </c>
      <c r="G54" s="26">
        <f>VLOOKUP(A54,[2]進出口值表查詢結果!$B$10:$D$67,2,0)</f>
        <v>6546361</v>
      </c>
      <c r="H54" s="28">
        <f t="shared" si="7"/>
        <v>6.1368991131985462E-2</v>
      </c>
      <c r="I54" s="23">
        <f t="shared" si="1"/>
        <v>933.19472558802568</v>
      </c>
    </row>
    <row r="55" spans="1:9">
      <c r="A55" s="29" t="s">
        <v>50</v>
      </c>
      <c r="B55" s="25">
        <f>VLOOKUP(A55,[1]進出口值表查詢結果!$B$10:$D$60,3,0)</f>
        <v>530</v>
      </c>
      <c r="C55" s="26">
        <f>VLOOKUP(A55,[1]進出口值表查詢結果!$B$10:$D$60,2,0)</f>
        <v>266075</v>
      </c>
      <c r="D55" s="27">
        <f t="shared" si="5"/>
        <v>502.02830188679246</v>
      </c>
      <c r="E55" s="25">
        <f>VLOOKUP(A55,[2]進出口值表查詢結果!$B$10:$D$67,3,0)</f>
        <v>793</v>
      </c>
      <c r="F55" s="28">
        <f t="shared" si="6"/>
        <v>7.1726408523955535E-3</v>
      </c>
      <c r="G55" s="26">
        <f>VLOOKUP(A55,[2]進出口值表查詢結果!$B$10:$D$67,2,0)</f>
        <v>559921</v>
      </c>
      <c r="H55" s="28">
        <f t="shared" si="7"/>
        <v>5.2489905282663805E-3</v>
      </c>
      <c r="I55" s="23">
        <f t="shared" si="1"/>
        <v>706.07944514501889</v>
      </c>
    </row>
    <row r="56" spans="1:9">
      <c r="A56" s="29" t="s">
        <v>51</v>
      </c>
      <c r="B56" s="25">
        <f>VLOOKUP(A56,[1]進出口值表查詢結果!$B$10:$D$60,3,0)</f>
        <v>377</v>
      </c>
      <c r="C56" s="26">
        <f>VLOOKUP(A56,[1]進出口值表查詢結果!$B$10:$D$60,2,0)</f>
        <v>835413</v>
      </c>
      <c r="D56" s="27">
        <f t="shared" si="5"/>
        <v>2215.9496021220161</v>
      </c>
      <c r="E56" s="25">
        <f>VLOOKUP(A56,[2]進出口值表查詢結果!$B$10:$D$67,3,0)</f>
        <v>575</v>
      </c>
      <c r="F56" s="28">
        <f t="shared" si="6"/>
        <v>5.2008429888114041E-3</v>
      </c>
      <c r="G56" s="26">
        <f>VLOOKUP(A56,[2]進出口值表查詢結果!$B$10:$D$67,2,0)</f>
        <v>1226309</v>
      </c>
      <c r="H56" s="28">
        <f t="shared" si="7"/>
        <v>1.1496058061276173E-2</v>
      </c>
      <c r="I56" s="23">
        <f t="shared" si="1"/>
        <v>2132.7113043478262</v>
      </c>
    </row>
    <row r="57" spans="1:9">
      <c r="A57" s="544" t="s">
        <v>340</v>
      </c>
      <c r="B57" s="25">
        <f>VLOOKUP(A57,[1]進出口值表查詢結果!$B$10:$D$60,3,0)</f>
        <v>426</v>
      </c>
      <c r="C57" s="26">
        <f>VLOOKUP(A57,[1]進出口值表查詢結果!$B$10:$D$60,2,0)</f>
        <v>989864</v>
      </c>
      <c r="D57" s="27">
        <f t="shared" si="5"/>
        <v>2323.6244131455401</v>
      </c>
      <c r="E57" s="25">
        <f>VLOOKUP(A57,[2]進出口值表查詢結果!$B$10:$D$67,3,0)</f>
        <v>1177</v>
      </c>
      <c r="F57" s="28">
        <f t="shared" si="6"/>
        <v>1.0645899474488735E-2</v>
      </c>
      <c r="G57" s="26">
        <f>VLOOKUP(A57,[2]進出口值表查詢結果!$B$10:$D$67,2,0)</f>
        <v>2198522</v>
      </c>
      <c r="H57" s="28">
        <f t="shared" si="7"/>
        <v>2.0610088127048742E-2</v>
      </c>
      <c r="I57" s="23">
        <f t="shared" si="1"/>
        <v>1867.9031435853865</v>
      </c>
    </row>
    <row r="58" spans="1:9">
      <c r="A58" s="29" t="s">
        <v>52</v>
      </c>
      <c r="B58" s="25">
        <f>VLOOKUP(A58,[1]進出口值表查詢結果!$B$10:$D$60,3,0)</f>
        <v>669</v>
      </c>
      <c r="C58" s="26">
        <f>VLOOKUP(A58,[1]進出口值表查詢結果!$B$10:$D$60,2,0)</f>
        <v>894805</v>
      </c>
      <c r="D58" s="27">
        <f t="shared" si="5"/>
        <v>1337.5261584454411</v>
      </c>
      <c r="E58" s="25">
        <f>VLOOKUP(A58,[2]進出口值表查詢結果!$B$10:$D$67,3,0)</f>
        <v>1150</v>
      </c>
      <c r="F58" s="28">
        <f t="shared" si="6"/>
        <v>1.0401685977622808E-2</v>
      </c>
      <c r="G58" s="26">
        <f>VLOOKUP(A58,[2]進出口值表查詢結果!$B$10:$D$67,2,0)</f>
        <v>1363565</v>
      </c>
      <c r="H58" s="28">
        <f t="shared" si="7"/>
        <v>1.2782767157644644E-2</v>
      </c>
      <c r="I58" s="23">
        <f t="shared" si="1"/>
        <v>1185.7086956521739</v>
      </c>
    </row>
    <row r="59" spans="1:9">
      <c r="A59" s="29" t="s">
        <v>53</v>
      </c>
      <c r="B59" s="25">
        <v>0</v>
      </c>
      <c r="C59" s="26">
        <v>0</v>
      </c>
      <c r="D59" s="27">
        <f t="shared" si="5"/>
        <v>0</v>
      </c>
      <c r="E59" s="25">
        <v>0</v>
      </c>
      <c r="F59" s="28">
        <f t="shared" si="6"/>
        <v>0</v>
      </c>
      <c r="G59" s="26">
        <v>0</v>
      </c>
      <c r="H59" s="28">
        <f t="shared" si="7"/>
        <v>0</v>
      </c>
      <c r="I59" s="23">
        <f t="shared" si="1"/>
        <v>0</v>
      </c>
    </row>
    <row r="60" spans="1:9">
      <c r="A60" s="29" t="s">
        <v>54</v>
      </c>
      <c r="B60" s="25">
        <f>VLOOKUP(A60,[1]進出口值表查詢結果!$B$10:$D$60,3,0)</f>
        <v>871</v>
      </c>
      <c r="C60" s="26">
        <f>VLOOKUP(A60,[1]進出口值表查詢結果!$B$10:$D$60,2,0)</f>
        <v>756160</v>
      </c>
      <c r="D60" s="27">
        <f t="shared" si="5"/>
        <v>868.15154994259467</v>
      </c>
      <c r="E60" s="25">
        <f>VLOOKUP(A60,[2]進出口值表查詢結果!$B$10:$D$67,3,0)</f>
        <v>990</v>
      </c>
      <c r="F60" s="28">
        <f t="shared" si="6"/>
        <v>8.9544948850839821E-3</v>
      </c>
      <c r="G60" s="26">
        <f>VLOOKUP(A60,[2]進出口值表查詢結果!$B$10:$D$67,2,0)</f>
        <v>940113</v>
      </c>
      <c r="H60" s="28">
        <f t="shared" si="7"/>
        <v>8.8131079786257192E-3</v>
      </c>
      <c r="I60" s="23">
        <f t="shared" si="1"/>
        <v>949.60909090909092</v>
      </c>
    </row>
    <row r="61" spans="1:9">
      <c r="A61" s="518" t="s">
        <v>338</v>
      </c>
      <c r="B61" s="25">
        <f>VLOOKUP(A61,[1]進出口值表查詢結果!$B$10:$D$60,3,0)</f>
        <v>193</v>
      </c>
      <c r="C61" s="26">
        <f>VLOOKUP(A61,[1]進出口值表查詢結果!$B$10:$D$60,2,0)</f>
        <v>391732</v>
      </c>
      <c r="D61" s="27">
        <f t="shared" si="5"/>
        <v>2029.699481865285</v>
      </c>
      <c r="E61" s="25">
        <f>VLOOKUP(A61,[2]進出口值表查詢結果!$B$10:$D$67,3,0)</f>
        <v>290</v>
      </c>
      <c r="F61" s="28">
        <f t="shared" si="6"/>
        <v>2.6230338552266212E-3</v>
      </c>
      <c r="G61" s="26">
        <f>VLOOKUP(A61,[2]進出口值表查詢結果!$B$10:$D$67,2,0)</f>
        <v>620149</v>
      </c>
      <c r="H61" s="28">
        <f t="shared" si="7"/>
        <v>5.8135991097205989E-3</v>
      </c>
      <c r="I61" s="23">
        <f t="shared" si="1"/>
        <v>2138.4448275862069</v>
      </c>
    </row>
    <row r="62" spans="1:9">
      <c r="A62" s="29" t="s">
        <v>55</v>
      </c>
      <c r="B62" s="25">
        <f>VLOOKUP(A62,[1]進出口值表查詢結果!$B$10:$D$60,3,0)</f>
        <v>143</v>
      </c>
      <c r="C62" s="26">
        <f>VLOOKUP(A62,[1]進出口值表查詢結果!$B$10:$D$60,2,0)</f>
        <v>212575</v>
      </c>
      <c r="D62" s="27">
        <f t="shared" si="5"/>
        <v>1486.5384615384614</v>
      </c>
      <c r="E62" s="25">
        <f>VLOOKUP(A62,[2]進出口值表查詢結果!$B$10:$D$67,3,0)</f>
        <v>250</v>
      </c>
      <c r="F62" s="28">
        <f t="shared" si="6"/>
        <v>2.2612360820919147E-3</v>
      </c>
      <c r="G62" s="26">
        <f>VLOOKUP(A62,[2]進出口值表查詢結果!$B$10:$D$67,2,0)</f>
        <v>390944</v>
      </c>
      <c r="H62" s="28">
        <f t="shared" si="7"/>
        <v>3.6649122877737608E-3</v>
      </c>
      <c r="I62" s="23">
        <f t="shared" si="1"/>
        <v>1563.7760000000001</v>
      </c>
    </row>
    <row r="63" spans="1:9">
      <c r="A63" s="543" t="s">
        <v>101</v>
      </c>
      <c r="B63" s="25">
        <v>0</v>
      </c>
      <c r="C63" s="26">
        <v>0</v>
      </c>
      <c r="D63" s="27">
        <f t="shared" si="5"/>
        <v>0</v>
      </c>
      <c r="E63" s="25">
        <v>0</v>
      </c>
      <c r="F63" s="28">
        <f t="shared" si="6"/>
        <v>0</v>
      </c>
      <c r="G63" s="26">
        <v>0</v>
      </c>
      <c r="H63" s="28">
        <f t="shared" si="7"/>
        <v>0</v>
      </c>
      <c r="I63" s="23">
        <f t="shared" si="1"/>
        <v>0</v>
      </c>
    </row>
    <row r="64" spans="1:9">
      <c r="A64" s="29" t="s">
        <v>56</v>
      </c>
      <c r="B64" s="25">
        <f>VLOOKUP(A64,[1]進出口值表查詢結果!$B$10:$D$60,3,0)</f>
        <v>48</v>
      </c>
      <c r="C64" s="26">
        <f>VLOOKUP(A64,[1]進出口值表查詢結果!$B$10:$D$60,2,0)</f>
        <v>57016</v>
      </c>
      <c r="D64" s="27">
        <f t="shared" si="5"/>
        <v>1187.8333333333333</v>
      </c>
      <c r="E64" s="25">
        <f>VLOOKUP(A64,[2]進出口值表查詢結果!$B$10:$D$67,3,0)</f>
        <v>64</v>
      </c>
      <c r="F64" s="28">
        <f t="shared" si="6"/>
        <v>5.7887643701553019E-4</v>
      </c>
      <c r="G64" s="26">
        <f>VLOOKUP(A64,[2]進出口值表查詢結果!$B$10:$D$67,2,0)</f>
        <v>91586</v>
      </c>
      <c r="H64" s="28">
        <f t="shared" si="7"/>
        <v>8.5857477487324941E-4</v>
      </c>
      <c r="I64" s="23">
        <f t="shared" si="1"/>
        <v>1431.03125</v>
      </c>
    </row>
    <row r="65" spans="1:9">
      <c r="A65" s="543" t="s">
        <v>339</v>
      </c>
      <c r="B65" s="25">
        <f>VLOOKUP(A65,[1]進出口值表查詢結果!$B$10:$D$60,3,0)</f>
        <v>51</v>
      </c>
      <c r="C65" s="26">
        <f>VLOOKUP(A65,[1]進出口值表查詢結果!$B$10:$D$60,2,0)</f>
        <v>139530</v>
      </c>
      <c r="D65" s="27">
        <f t="shared" si="5"/>
        <v>2735.8823529411766</v>
      </c>
      <c r="E65" s="25">
        <f>VLOOKUP(A65,[2]進出口值表查詢結果!$B$10:$D$67,3,0)</f>
        <v>138</v>
      </c>
      <c r="F65" s="28">
        <f t="shared" si="6"/>
        <v>1.2482023173147369E-3</v>
      </c>
      <c r="G65" s="26">
        <f>VLOOKUP(A65,[2]進出口值表查詢結果!$B$10:$D$67,2,0)</f>
        <v>257196</v>
      </c>
      <c r="H65" s="28">
        <f t="shared" si="7"/>
        <v>2.4110890070349208E-3</v>
      </c>
      <c r="I65" s="23">
        <f t="shared" si="1"/>
        <v>1863.7391304347825</v>
      </c>
    </row>
    <row r="66" spans="1:9">
      <c r="A66" s="29" t="s">
        <v>57</v>
      </c>
      <c r="B66" s="25">
        <f>B67-B7-B12-B41-B47</f>
        <v>825</v>
      </c>
      <c r="C66" s="25">
        <f>C67-C7-C12-C41-C47</f>
        <v>1112258</v>
      </c>
      <c r="D66" s="27">
        <f t="shared" si="5"/>
        <v>1348.1915151515152</v>
      </c>
      <c r="E66" s="25">
        <f>E67-E7-E12-E41-E47</f>
        <v>1537</v>
      </c>
      <c r="F66" s="28">
        <f t="shared" si="6"/>
        <v>1.3902079432701091E-2</v>
      </c>
      <c r="G66" s="25">
        <f>G67-G47-G41-G12-G7</f>
        <v>2177849</v>
      </c>
      <c r="H66" s="28">
        <f t="shared" si="7"/>
        <v>2.0416288678214264E-2</v>
      </c>
      <c r="I66" s="23">
        <f t="shared" si="1"/>
        <v>1416.9479505530253</v>
      </c>
    </row>
    <row r="67" spans="1:9">
      <c r="A67" s="30" t="s">
        <v>398</v>
      </c>
      <c r="B67" s="25">
        <f>VLOOKUP(A67,[1]進出口值表查詢結果!$B$10:$D$60,3,0)</f>
        <v>59471</v>
      </c>
      <c r="C67" s="26">
        <f>VLOOKUP(A67,[1]進出口值表查詢結果!$B$10:$D$60,2,0)</f>
        <v>56279023</v>
      </c>
      <c r="D67" s="27">
        <f t="shared" ref="D67" si="8">C67/B67</f>
        <v>946.32716786332833</v>
      </c>
      <c r="E67" s="25">
        <f>VLOOKUP(A67,[2]進出口值表查詢結果!$B$10:$D$67,3,0)</f>
        <v>110559</v>
      </c>
      <c r="F67" s="22">
        <f t="shared" si="6"/>
        <v>1</v>
      </c>
      <c r="G67" s="26">
        <f>VLOOKUP(A67,[2]進出口值表查詢結果!$B$10:$D$67,2,0)</f>
        <v>106672130</v>
      </c>
      <c r="H67" s="22">
        <f t="shared" si="7"/>
        <v>1</v>
      </c>
      <c r="I67" s="23">
        <f t="shared" ref="I67" si="9">G67/E67</f>
        <v>964.84347723839755</v>
      </c>
    </row>
    <row r="68" spans="1:9" ht="8.25" customHeight="1">
      <c r="A68" s="34"/>
      <c r="B68" s="35"/>
      <c r="C68" s="35"/>
      <c r="D68" s="5"/>
      <c r="E68" s="35"/>
      <c r="F68" s="36"/>
      <c r="G68" s="35"/>
      <c r="H68" s="37"/>
      <c r="I68" s="5"/>
    </row>
    <row r="69" spans="1:9">
      <c r="A69" s="38" t="s">
        <v>308</v>
      </c>
      <c r="B69" s="39"/>
      <c r="C69" s="39"/>
      <c r="D69" s="40"/>
      <c r="E69" s="39"/>
      <c r="F69" s="41"/>
      <c r="G69" s="39"/>
      <c r="H69" s="42"/>
      <c r="I69" s="43"/>
    </row>
    <row r="70" spans="1:9" ht="19.5">
      <c r="A70" s="6" t="s">
        <v>472</v>
      </c>
      <c r="B70" s="7" t="s">
        <v>473</v>
      </c>
      <c r="C70" s="7" t="s">
        <v>474</v>
      </c>
      <c r="D70" s="8" t="s">
        <v>1</v>
      </c>
      <c r="E70" s="9" t="s">
        <v>475</v>
      </c>
      <c r="F70" s="10" t="s">
        <v>2</v>
      </c>
      <c r="G70" s="9" t="s">
        <v>476</v>
      </c>
      <c r="H70" s="10" t="s">
        <v>2</v>
      </c>
      <c r="I70" s="11" t="s">
        <v>3</v>
      </c>
    </row>
    <row r="71" spans="1:9">
      <c r="A71" s="48"/>
      <c r="B71" s="49" t="s">
        <v>6</v>
      </c>
      <c r="C71" s="50" t="s">
        <v>5</v>
      </c>
      <c r="D71" s="45" t="s">
        <v>5</v>
      </c>
      <c r="E71" s="51" t="s">
        <v>6</v>
      </c>
      <c r="F71" s="46" t="s">
        <v>6</v>
      </c>
      <c r="G71" s="52" t="s">
        <v>5</v>
      </c>
      <c r="H71" s="53" t="s">
        <v>5</v>
      </c>
      <c r="I71" s="54" t="s">
        <v>5</v>
      </c>
    </row>
    <row r="72" spans="1:9">
      <c r="A72" s="30" t="s">
        <v>58</v>
      </c>
      <c r="B72" s="31">
        <v>2853</v>
      </c>
      <c r="C72" s="31">
        <v>736048</v>
      </c>
      <c r="D72" s="55">
        <f>C72/B72</f>
        <v>257.99088678583945</v>
      </c>
      <c r="E72" s="31">
        <v>4068</v>
      </c>
      <c r="F72" s="56">
        <v>1</v>
      </c>
      <c r="G72" s="31">
        <v>1019842</v>
      </c>
      <c r="H72" s="56">
        <v>1</v>
      </c>
      <c r="I72" s="23">
        <f>G72/E72</f>
        <v>250.69862340216324</v>
      </c>
    </row>
    <row r="73" spans="1:9">
      <c r="A73" s="57" t="s">
        <v>455</v>
      </c>
      <c r="B73" s="3"/>
      <c r="C73" s="58"/>
      <c r="D73" s="59"/>
      <c r="E73" s="3"/>
      <c r="F73" s="3"/>
      <c r="G73" s="3"/>
      <c r="H73" s="3"/>
      <c r="I73" s="59"/>
    </row>
    <row r="74" spans="1:9">
      <c r="A74" s="60" t="s">
        <v>60</v>
      </c>
      <c r="B74" s="61"/>
      <c r="C74" s="62"/>
      <c r="D74" s="63"/>
      <c r="E74" s="61"/>
      <c r="F74" s="62"/>
      <c r="G74" s="64"/>
      <c r="H74" s="60"/>
      <c r="I74" s="65"/>
    </row>
  </sheetData>
  <mergeCells count="1">
    <mergeCell ref="A3:I3"/>
  </mergeCells>
  <phoneticPr fontId="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0"/>
  <sheetViews>
    <sheetView zoomScale="130" zoomScaleNormal="130" workbookViewId="0">
      <selection activeCell="C7" sqref="C7"/>
    </sheetView>
  </sheetViews>
  <sheetFormatPr defaultRowHeight="16.5"/>
  <cols>
    <col min="1" max="1" width="14" customWidth="1"/>
    <col min="2" max="2" width="11.5" customWidth="1"/>
    <col min="3" max="3" width="13.625" customWidth="1"/>
    <col min="4" max="4" width="11.625" customWidth="1"/>
    <col min="5" max="5" width="13.5" customWidth="1"/>
    <col min="7" max="7" width="14" customWidth="1"/>
    <col min="9" max="9" width="10.875" customWidth="1"/>
  </cols>
  <sheetData>
    <row r="1" spans="1:9" ht="23.25">
      <c r="A1" s="66" t="s">
        <v>288</v>
      </c>
      <c r="B1" s="1"/>
      <c r="C1" s="1"/>
      <c r="D1" s="66"/>
      <c r="E1" s="114"/>
      <c r="F1" s="1"/>
      <c r="G1" s="114"/>
      <c r="H1" s="1"/>
      <c r="I1" s="1"/>
    </row>
    <row r="2" spans="1:9">
      <c r="A2" s="4"/>
      <c r="B2" s="4"/>
      <c r="C2" s="141"/>
      <c r="D2" s="141"/>
      <c r="E2" s="116"/>
      <c r="F2" s="141"/>
      <c r="G2" s="183"/>
      <c r="H2" s="4"/>
      <c r="I2" s="141"/>
    </row>
    <row r="3" spans="1:9">
      <c r="A3" s="184" t="s">
        <v>104</v>
      </c>
      <c r="B3" s="185"/>
      <c r="C3" s="186"/>
      <c r="D3" s="187"/>
      <c r="E3" s="188"/>
      <c r="F3" s="186"/>
      <c r="G3" s="189"/>
      <c r="H3" s="185"/>
      <c r="I3" s="187"/>
    </row>
    <row r="4" spans="1:9">
      <c r="A4" s="6" t="s">
        <v>285</v>
      </c>
      <c r="B4" s="10" t="s">
        <v>271</v>
      </c>
      <c r="C4" s="10" t="s">
        <v>270</v>
      </c>
      <c r="D4" s="7" t="s">
        <v>273</v>
      </c>
      <c r="E4" s="121" t="s">
        <v>279</v>
      </c>
      <c r="F4" s="10" t="s">
        <v>2</v>
      </c>
      <c r="G4" s="121" t="s">
        <v>280</v>
      </c>
      <c r="H4" s="10" t="s">
        <v>2</v>
      </c>
      <c r="I4" s="190" t="s">
        <v>1</v>
      </c>
    </row>
    <row r="5" spans="1:9">
      <c r="A5" s="12"/>
      <c r="B5" s="10" t="s">
        <v>6</v>
      </c>
      <c r="C5" s="6" t="s">
        <v>5</v>
      </c>
      <c r="D5" s="10" t="s">
        <v>5</v>
      </c>
      <c r="E5" s="121" t="s">
        <v>6</v>
      </c>
      <c r="F5" s="10" t="s">
        <v>6</v>
      </c>
      <c r="G5" s="123" t="s">
        <v>5</v>
      </c>
      <c r="H5" s="6" t="s">
        <v>5</v>
      </c>
      <c r="I5" s="122" t="s">
        <v>5</v>
      </c>
    </row>
    <row r="6" spans="1:9">
      <c r="A6" s="158" t="s">
        <v>7</v>
      </c>
      <c r="B6" s="16"/>
      <c r="C6" s="171"/>
      <c r="D6" s="171"/>
      <c r="E6" s="124"/>
      <c r="F6" s="171"/>
      <c r="G6" s="191"/>
      <c r="H6" s="16"/>
      <c r="I6" s="172"/>
    </row>
    <row r="7" spans="1:9">
      <c r="A7" s="19" t="s">
        <v>8</v>
      </c>
      <c r="B7" s="21">
        <f>SUM(B8:B10)</f>
        <v>12</v>
      </c>
      <c r="C7" s="192">
        <f>SUM(C8:C10)</f>
        <v>13291</v>
      </c>
      <c r="D7" s="174">
        <f>C7/B7</f>
        <v>1107.5833333333333</v>
      </c>
      <c r="E7" s="128">
        <f>SUM(E8:E10)</f>
        <v>14</v>
      </c>
      <c r="F7" s="193">
        <f>E7/$E$68</f>
        <v>3.9237668161434978E-3</v>
      </c>
      <c r="G7" s="194">
        <f>SUM(G8:G10)</f>
        <v>13386</v>
      </c>
      <c r="H7" s="129">
        <f>G7/$G$68</f>
        <v>8.4379568117306895E-3</v>
      </c>
      <c r="I7" s="180">
        <f>G7/E7</f>
        <v>956.14285714285711</v>
      </c>
    </row>
    <row r="8" spans="1:9">
      <c r="A8" s="24" t="s">
        <v>66</v>
      </c>
      <c r="B8" s="177">
        <v>12</v>
      </c>
      <c r="C8" s="26">
        <v>13291</v>
      </c>
      <c r="D8" s="174">
        <f>C8/B8</f>
        <v>1107.5833333333333</v>
      </c>
      <c r="E8" s="132">
        <f>B8+折疊車出口!B8</f>
        <v>14</v>
      </c>
      <c r="F8" s="195">
        <f>E8/$E$68</f>
        <v>3.9237668161434978E-3</v>
      </c>
      <c r="G8" s="196">
        <f>C8+折疊車出口!C8</f>
        <v>13386</v>
      </c>
      <c r="H8" s="133">
        <f>G8/$G$68</f>
        <v>8.4379568117306895E-3</v>
      </c>
      <c r="I8" s="180">
        <f>G8/E8</f>
        <v>956.14285714285711</v>
      </c>
    </row>
    <row r="9" spans="1:9">
      <c r="A9" s="29" t="s">
        <v>9</v>
      </c>
      <c r="B9" s="177">
        <v>0</v>
      </c>
      <c r="C9" s="26">
        <v>0</v>
      </c>
      <c r="D9" s="174">
        <v>0</v>
      </c>
      <c r="E9" s="132">
        <f>B9+折疊車出口!B9</f>
        <v>0</v>
      </c>
      <c r="F9" s="195">
        <f>E9/$E$68</f>
        <v>0</v>
      </c>
      <c r="G9" s="196">
        <f>C9+折疊車出口!C9</f>
        <v>0</v>
      </c>
      <c r="H9" s="133">
        <f>G9/$G$68</f>
        <v>0</v>
      </c>
      <c r="I9" s="180">
        <v>0</v>
      </c>
    </row>
    <row r="10" spans="1:9">
      <c r="A10" s="29" t="s">
        <v>10</v>
      </c>
      <c r="B10" s="177">
        <v>0</v>
      </c>
      <c r="C10" s="26">
        <v>0</v>
      </c>
      <c r="D10" s="174">
        <v>0</v>
      </c>
      <c r="E10" s="132">
        <f>B10+折疊車出口!B10</f>
        <v>0</v>
      </c>
      <c r="F10" s="195">
        <f>E10/$E$68</f>
        <v>0</v>
      </c>
      <c r="G10" s="196">
        <f>C10+折疊車出口!C10</f>
        <v>0</v>
      </c>
      <c r="H10" s="133">
        <f>G10/$G$68</f>
        <v>0</v>
      </c>
      <c r="I10" s="180">
        <v>0</v>
      </c>
    </row>
    <row r="11" spans="1:9">
      <c r="A11" s="136"/>
      <c r="B11" s="25"/>
      <c r="C11" s="177"/>
      <c r="D11" s="179"/>
      <c r="E11" s="134"/>
      <c r="F11" s="195"/>
      <c r="G11" s="196"/>
      <c r="H11" s="133"/>
      <c r="I11" s="180"/>
    </row>
    <row r="12" spans="1:9">
      <c r="A12" s="30" t="s">
        <v>11</v>
      </c>
      <c r="B12" s="31">
        <f>SUM(B13:B40)</f>
        <v>1017</v>
      </c>
      <c r="C12" s="181">
        <f>SUM(C13:C40)</f>
        <v>213449</v>
      </c>
      <c r="D12" s="174">
        <f>C12/B12</f>
        <v>209.8810226155359</v>
      </c>
      <c r="E12" s="137">
        <f>SUM(E13:E40)</f>
        <v>1132</v>
      </c>
      <c r="F12" s="193">
        <f t="shared" ref="F12:F64" si="0">E12/$E$68</f>
        <v>0.31726457399103142</v>
      </c>
      <c r="G12" s="197">
        <f>SUM(G13:G40)</f>
        <v>274836</v>
      </c>
      <c r="H12" s="129">
        <f t="shared" ref="H12:H67" si="1">G12/$G$68</f>
        <v>0.17324475558858626</v>
      </c>
      <c r="I12" s="176">
        <f>G12/E12</f>
        <v>242.78798586572438</v>
      </c>
    </row>
    <row r="13" spans="1:9">
      <c r="A13" s="24" t="s">
        <v>12</v>
      </c>
      <c r="B13" s="177">
        <v>154</v>
      </c>
      <c r="C13" s="25">
        <v>50884</v>
      </c>
      <c r="D13" s="174">
        <f>C13/B13</f>
        <v>330.41558441558442</v>
      </c>
      <c r="E13" s="132">
        <f>B13+折疊車出口!B13</f>
        <v>269</v>
      </c>
      <c r="F13" s="195">
        <f t="shared" si="0"/>
        <v>7.5392376681614345E-2</v>
      </c>
      <c r="G13" s="196">
        <f>C13+折疊車出口!C13</f>
        <v>112271</v>
      </c>
      <c r="H13" s="133">
        <f t="shared" si="1"/>
        <v>7.0770794054222042E-2</v>
      </c>
      <c r="I13" s="176">
        <f>G13/E13</f>
        <v>417.36431226765797</v>
      </c>
    </row>
    <row r="14" spans="1:9">
      <c r="A14" s="24" t="s">
        <v>13</v>
      </c>
      <c r="B14" s="177">
        <v>223</v>
      </c>
      <c r="C14" s="25">
        <v>79331</v>
      </c>
      <c r="D14" s="174">
        <f>C14/B14</f>
        <v>355.74439461883406</v>
      </c>
      <c r="E14" s="132">
        <f>B14+折疊車出口!B14</f>
        <v>223</v>
      </c>
      <c r="F14" s="195">
        <f t="shared" si="0"/>
        <v>6.25E-2</v>
      </c>
      <c r="G14" s="196">
        <f>C14+折疊車出口!C14</f>
        <v>79331</v>
      </c>
      <c r="H14" s="133">
        <f t="shared" si="1"/>
        <v>5.0006839371836788E-2</v>
      </c>
      <c r="I14" s="180">
        <f>G14/E14</f>
        <v>355.74439461883406</v>
      </c>
    </row>
    <row r="15" spans="1:9">
      <c r="A15" s="29" t="s">
        <v>14</v>
      </c>
      <c r="B15" s="177">
        <v>640</v>
      </c>
      <c r="C15" s="25">
        <v>83234</v>
      </c>
      <c r="D15" s="174">
        <f>C15/B15</f>
        <v>130.05312499999999</v>
      </c>
      <c r="E15" s="132">
        <f>B15+折疊車出口!B15</f>
        <v>640</v>
      </c>
      <c r="F15" s="195">
        <f t="shared" si="0"/>
        <v>0.17937219730941703</v>
      </c>
      <c r="G15" s="196">
        <f>C15+折疊車出口!C15</f>
        <v>83234</v>
      </c>
      <c r="H15" s="133">
        <f t="shared" si="1"/>
        <v>5.2467122162527427E-2</v>
      </c>
      <c r="I15" s="180">
        <f>G15/E15</f>
        <v>130.05312499999999</v>
      </c>
    </row>
    <row r="16" spans="1:9">
      <c r="A16" s="24" t="s">
        <v>15</v>
      </c>
      <c r="B16" s="177">
        <v>0</v>
      </c>
      <c r="C16" s="25">
        <v>0</v>
      </c>
      <c r="D16" s="174">
        <v>0</v>
      </c>
      <c r="E16" s="132">
        <f>B16+折疊車出口!B48</f>
        <v>0</v>
      </c>
      <c r="F16" s="195">
        <f t="shared" si="0"/>
        <v>0</v>
      </c>
      <c r="G16" s="196">
        <f>C16+折疊車出口!C48</f>
        <v>0</v>
      </c>
      <c r="H16" s="133">
        <f t="shared" si="1"/>
        <v>0</v>
      </c>
      <c r="I16" s="176">
        <v>0</v>
      </c>
    </row>
    <row r="17" spans="1:9">
      <c r="A17" s="24" t="s">
        <v>16</v>
      </c>
      <c r="B17" s="177">
        <v>0</v>
      </c>
      <c r="C17" s="25">
        <v>0</v>
      </c>
      <c r="D17" s="174">
        <v>0</v>
      </c>
      <c r="E17" s="132">
        <f>B17+折疊車出口!B16</f>
        <v>0</v>
      </c>
      <c r="F17" s="195">
        <f t="shared" si="0"/>
        <v>0</v>
      </c>
      <c r="G17" s="196">
        <f>C17+折疊車出口!C16</f>
        <v>0</v>
      </c>
      <c r="H17" s="133">
        <f t="shared" si="1"/>
        <v>0</v>
      </c>
      <c r="I17" s="176">
        <v>0</v>
      </c>
    </row>
    <row r="18" spans="1:9">
      <c r="A18" s="29" t="s">
        <v>17</v>
      </c>
      <c r="B18" s="177">
        <v>0</v>
      </c>
      <c r="C18" s="25">
        <v>0</v>
      </c>
      <c r="D18" s="174">
        <v>0</v>
      </c>
      <c r="E18" s="132">
        <f>B18+折疊車出口!B17</f>
        <v>0</v>
      </c>
      <c r="F18" s="195">
        <f t="shared" si="0"/>
        <v>0</v>
      </c>
      <c r="G18" s="196">
        <f>C18+折疊車出口!C17</f>
        <v>0</v>
      </c>
      <c r="H18" s="133">
        <f t="shared" si="1"/>
        <v>0</v>
      </c>
      <c r="I18" s="176">
        <v>0</v>
      </c>
    </row>
    <row r="19" spans="1:9">
      <c r="A19" s="29" t="s">
        <v>18</v>
      </c>
      <c r="B19" s="177">
        <v>0</v>
      </c>
      <c r="C19" s="25">
        <v>0</v>
      </c>
      <c r="D19" s="174">
        <v>0</v>
      </c>
      <c r="E19" s="132">
        <f>B19+折疊車出口!B18</f>
        <v>0</v>
      </c>
      <c r="F19" s="195">
        <f t="shared" si="0"/>
        <v>0</v>
      </c>
      <c r="G19" s="196">
        <f>C19+折疊車出口!C18</f>
        <v>0</v>
      </c>
      <c r="H19" s="133">
        <f t="shared" si="1"/>
        <v>0</v>
      </c>
      <c r="I19" s="176">
        <v>0</v>
      </c>
    </row>
    <row r="20" spans="1:9">
      <c r="A20" s="24" t="s">
        <v>19</v>
      </c>
      <c r="B20" s="177">
        <v>0</v>
      </c>
      <c r="C20" s="25">
        <v>0</v>
      </c>
      <c r="D20" s="174">
        <v>0</v>
      </c>
      <c r="E20" s="132">
        <f>B20+折疊車出口!B19</f>
        <v>0</v>
      </c>
      <c r="F20" s="195">
        <f t="shared" si="0"/>
        <v>0</v>
      </c>
      <c r="G20" s="196">
        <f>C20+折疊車出口!C19</f>
        <v>0</v>
      </c>
      <c r="H20" s="133">
        <f t="shared" si="1"/>
        <v>0</v>
      </c>
      <c r="I20" s="176">
        <v>0</v>
      </c>
    </row>
    <row r="21" spans="1:9">
      <c r="A21" s="29" t="s">
        <v>67</v>
      </c>
      <c r="B21" s="177">
        <v>0</v>
      </c>
      <c r="C21" s="25">
        <v>0</v>
      </c>
      <c r="D21" s="174">
        <v>0</v>
      </c>
      <c r="E21" s="132">
        <f>B21+折疊車出口!B20</f>
        <v>0</v>
      </c>
      <c r="F21" s="195">
        <f t="shared" si="0"/>
        <v>0</v>
      </c>
      <c r="G21" s="196">
        <f>C21+折疊車出口!C20</f>
        <v>0</v>
      </c>
      <c r="H21" s="133">
        <f t="shared" si="1"/>
        <v>0</v>
      </c>
      <c r="I21" s="176">
        <v>0</v>
      </c>
    </row>
    <row r="22" spans="1:9">
      <c r="A22" s="24" t="s">
        <v>21</v>
      </c>
      <c r="B22" s="177">
        <v>0</v>
      </c>
      <c r="C22" s="25">
        <v>0</v>
      </c>
      <c r="D22" s="174">
        <v>0</v>
      </c>
      <c r="E22" s="132">
        <f>B22+折疊車出口!B21</f>
        <v>0</v>
      </c>
      <c r="F22" s="195">
        <f t="shared" si="0"/>
        <v>0</v>
      </c>
      <c r="G22" s="196">
        <f>C22+折疊車出口!C21</f>
        <v>0</v>
      </c>
      <c r="H22" s="133">
        <f t="shared" si="1"/>
        <v>0</v>
      </c>
      <c r="I22" s="176">
        <v>0</v>
      </c>
    </row>
    <row r="23" spans="1:9">
      <c r="A23" s="29" t="s">
        <v>22</v>
      </c>
      <c r="B23" s="177">
        <v>0</v>
      </c>
      <c r="C23" s="25">
        <v>0</v>
      </c>
      <c r="D23" s="174">
        <v>0</v>
      </c>
      <c r="E23" s="132">
        <f>B23+折疊車出口!B22</f>
        <v>0</v>
      </c>
      <c r="F23" s="195">
        <f t="shared" si="0"/>
        <v>0</v>
      </c>
      <c r="G23" s="196">
        <f>C23+折疊車出口!C22</f>
        <v>0</v>
      </c>
      <c r="H23" s="133">
        <f t="shared" si="1"/>
        <v>0</v>
      </c>
      <c r="I23" s="176">
        <v>0</v>
      </c>
    </row>
    <row r="24" spans="1:9">
      <c r="A24" s="29" t="s">
        <v>23</v>
      </c>
      <c r="B24" s="177">
        <v>0</v>
      </c>
      <c r="C24" s="25">
        <v>0</v>
      </c>
      <c r="D24" s="174">
        <v>0</v>
      </c>
      <c r="E24" s="132">
        <f>B24+折疊車出口!B23</f>
        <v>0</v>
      </c>
      <c r="F24" s="195">
        <f t="shared" si="0"/>
        <v>0</v>
      </c>
      <c r="G24" s="196">
        <f>C24+折疊車出口!C23</f>
        <v>0</v>
      </c>
      <c r="H24" s="133">
        <f t="shared" si="1"/>
        <v>0</v>
      </c>
      <c r="I24" s="176">
        <v>0</v>
      </c>
    </row>
    <row r="25" spans="1:9">
      <c r="A25" s="29" t="s">
        <v>24</v>
      </c>
      <c r="B25" s="177">
        <v>0</v>
      </c>
      <c r="C25" s="25">
        <v>0</v>
      </c>
      <c r="D25" s="174">
        <v>0</v>
      </c>
      <c r="E25" s="132">
        <f>B25+折疊車出口!B24</f>
        <v>0</v>
      </c>
      <c r="F25" s="195">
        <f t="shared" si="0"/>
        <v>0</v>
      </c>
      <c r="G25" s="196">
        <f>C25+折疊車出口!C24</f>
        <v>0</v>
      </c>
      <c r="H25" s="133">
        <f t="shared" si="1"/>
        <v>0</v>
      </c>
      <c r="I25" s="176">
        <v>0</v>
      </c>
    </row>
    <row r="26" spans="1:9">
      <c r="A26" s="24" t="s">
        <v>25</v>
      </c>
      <c r="B26" s="177">
        <v>0</v>
      </c>
      <c r="C26" s="25">
        <v>0</v>
      </c>
      <c r="D26" s="174">
        <v>0</v>
      </c>
      <c r="E26" s="132">
        <f>B26+折疊車出口!B25</f>
        <v>0</v>
      </c>
      <c r="F26" s="195">
        <f t="shared" si="0"/>
        <v>0</v>
      </c>
      <c r="G26" s="196">
        <f>C26+折疊車出口!C25</f>
        <v>0</v>
      </c>
      <c r="H26" s="133">
        <f t="shared" si="1"/>
        <v>0</v>
      </c>
      <c r="I26" s="176">
        <v>0</v>
      </c>
    </row>
    <row r="27" spans="1:9">
      <c r="A27" s="24" t="s">
        <v>26</v>
      </c>
      <c r="B27" s="177">
        <v>0</v>
      </c>
      <c r="C27" s="25">
        <v>0</v>
      </c>
      <c r="D27" s="174">
        <v>0</v>
      </c>
      <c r="E27" s="132">
        <f>B27+折疊車出口!B26</f>
        <v>0</v>
      </c>
      <c r="F27" s="195">
        <f t="shared" si="0"/>
        <v>0</v>
      </c>
      <c r="G27" s="196">
        <f>C27+折疊車出口!C26</f>
        <v>0</v>
      </c>
      <c r="H27" s="133">
        <f t="shared" si="1"/>
        <v>0</v>
      </c>
      <c r="I27" s="176">
        <v>0</v>
      </c>
    </row>
    <row r="28" spans="1:9">
      <c r="A28" s="29" t="s">
        <v>76</v>
      </c>
      <c r="B28" s="177">
        <v>0</v>
      </c>
      <c r="C28" s="25">
        <v>0</v>
      </c>
      <c r="D28" s="174">
        <v>0</v>
      </c>
      <c r="E28" s="132">
        <f>B28+折疊車出口!B27</f>
        <v>0</v>
      </c>
      <c r="F28" s="195">
        <f t="shared" si="0"/>
        <v>0</v>
      </c>
      <c r="G28" s="196">
        <f>C28+折疊車出口!C27</f>
        <v>0</v>
      </c>
      <c r="H28" s="133">
        <f t="shared" si="1"/>
        <v>0</v>
      </c>
      <c r="I28" s="176">
        <v>0</v>
      </c>
    </row>
    <row r="29" spans="1:9">
      <c r="A29" s="29" t="s">
        <v>77</v>
      </c>
      <c r="B29" s="177">
        <v>0</v>
      </c>
      <c r="C29" s="25">
        <v>0</v>
      </c>
      <c r="D29" s="174">
        <v>0</v>
      </c>
      <c r="E29" s="132">
        <f>B29+折疊車出口!B28</f>
        <v>0</v>
      </c>
      <c r="F29" s="195">
        <f t="shared" si="0"/>
        <v>0</v>
      </c>
      <c r="G29" s="196">
        <f>C29+折疊車出口!C28</f>
        <v>0</v>
      </c>
      <c r="H29" s="133">
        <f t="shared" si="1"/>
        <v>0</v>
      </c>
      <c r="I29" s="176">
        <v>0</v>
      </c>
    </row>
    <row r="30" spans="1:9">
      <c r="A30" s="29" t="s">
        <v>27</v>
      </c>
      <c r="B30" s="177">
        <v>0</v>
      </c>
      <c r="C30" s="25">
        <v>0</v>
      </c>
      <c r="D30" s="174">
        <v>0</v>
      </c>
      <c r="E30" s="132">
        <f>B30+折疊車出口!B29</f>
        <v>0</v>
      </c>
      <c r="F30" s="195">
        <f t="shared" si="0"/>
        <v>0</v>
      </c>
      <c r="G30" s="196">
        <f>C30+折疊車出口!C29</f>
        <v>0</v>
      </c>
      <c r="H30" s="133">
        <f t="shared" si="1"/>
        <v>0</v>
      </c>
      <c r="I30" s="176">
        <v>0</v>
      </c>
    </row>
    <row r="31" spans="1:9">
      <c r="A31" s="29" t="s">
        <v>28</v>
      </c>
      <c r="B31" s="177">
        <v>0</v>
      </c>
      <c r="C31" s="25">
        <v>0</v>
      </c>
      <c r="D31" s="174">
        <v>0</v>
      </c>
      <c r="E31" s="132">
        <f>B31+折疊車出口!B30</f>
        <v>0</v>
      </c>
      <c r="F31" s="195">
        <f t="shared" si="0"/>
        <v>0</v>
      </c>
      <c r="G31" s="196">
        <f>C31+折疊車出口!C30</f>
        <v>0</v>
      </c>
      <c r="H31" s="133">
        <f t="shared" si="1"/>
        <v>0</v>
      </c>
      <c r="I31" s="176">
        <v>0</v>
      </c>
    </row>
    <row r="32" spans="1:9">
      <c r="A32" s="29" t="s">
        <v>29</v>
      </c>
      <c r="B32" s="177">
        <v>0</v>
      </c>
      <c r="C32" s="25">
        <v>0</v>
      </c>
      <c r="D32" s="174">
        <v>0</v>
      </c>
      <c r="E32" s="132">
        <f>B32+折疊車出口!B31</f>
        <v>0</v>
      </c>
      <c r="F32" s="195">
        <f t="shared" si="0"/>
        <v>0</v>
      </c>
      <c r="G32" s="196">
        <f>C32+折疊車出口!C31</f>
        <v>0</v>
      </c>
      <c r="H32" s="133">
        <f t="shared" si="1"/>
        <v>0</v>
      </c>
      <c r="I32" s="176">
        <v>0</v>
      </c>
    </row>
    <row r="33" spans="1:9">
      <c r="A33" s="29" t="s">
        <v>30</v>
      </c>
      <c r="B33" s="177">
        <v>0</v>
      </c>
      <c r="C33" s="25">
        <v>0</v>
      </c>
      <c r="D33" s="174">
        <v>0</v>
      </c>
      <c r="E33" s="132">
        <f>B33+折疊車出口!B32</f>
        <v>0</v>
      </c>
      <c r="F33" s="195">
        <f t="shared" si="0"/>
        <v>0</v>
      </c>
      <c r="G33" s="196">
        <f>C33+折疊車出口!C32</f>
        <v>0</v>
      </c>
      <c r="H33" s="133">
        <f t="shared" si="1"/>
        <v>0</v>
      </c>
      <c r="I33" s="176">
        <v>0</v>
      </c>
    </row>
    <row r="34" spans="1:9">
      <c r="A34" s="29" t="s">
        <v>31</v>
      </c>
      <c r="B34" s="177">
        <v>0</v>
      </c>
      <c r="C34" s="25">
        <v>0</v>
      </c>
      <c r="D34" s="174">
        <v>0</v>
      </c>
      <c r="E34" s="132">
        <f>B34+折疊車出口!B33</f>
        <v>0</v>
      </c>
      <c r="F34" s="195">
        <f t="shared" si="0"/>
        <v>0</v>
      </c>
      <c r="G34" s="196">
        <f>C34+折疊車出口!C33</f>
        <v>0</v>
      </c>
      <c r="H34" s="133">
        <f t="shared" si="1"/>
        <v>0</v>
      </c>
      <c r="I34" s="176">
        <v>0</v>
      </c>
    </row>
    <row r="35" spans="1:9">
      <c r="A35" s="29" t="s">
        <v>32</v>
      </c>
      <c r="B35" s="177">
        <v>0</v>
      </c>
      <c r="C35" s="25">
        <v>0</v>
      </c>
      <c r="D35" s="174">
        <v>0</v>
      </c>
      <c r="E35" s="132">
        <f>B35+折疊車出口!B34</f>
        <v>0</v>
      </c>
      <c r="F35" s="195">
        <f t="shared" si="0"/>
        <v>0</v>
      </c>
      <c r="G35" s="196">
        <f>C35+折疊車出口!C34</f>
        <v>0</v>
      </c>
      <c r="H35" s="133">
        <f t="shared" si="1"/>
        <v>0</v>
      </c>
      <c r="I35" s="176">
        <v>0</v>
      </c>
    </row>
    <row r="36" spans="1:9">
      <c r="A36" s="29" t="s">
        <v>33</v>
      </c>
      <c r="B36" s="177">
        <v>0</v>
      </c>
      <c r="C36" s="25">
        <v>0</v>
      </c>
      <c r="D36" s="174">
        <v>0</v>
      </c>
      <c r="E36" s="132">
        <f>B36+折疊車出口!B35</f>
        <v>0</v>
      </c>
      <c r="F36" s="195">
        <f t="shared" si="0"/>
        <v>0</v>
      </c>
      <c r="G36" s="196">
        <f>C36+折疊車出口!C35</f>
        <v>0</v>
      </c>
      <c r="H36" s="133">
        <f t="shared" si="1"/>
        <v>0</v>
      </c>
      <c r="I36" s="176">
        <v>0</v>
      </c>
    </row>
    <row r="37" spans="1:9">
      <c r="A37" s="29" t="s">
        <v>78</v>
      </c>
      <c r="B37" s="177">
        <v>0</v>
      </c>
      <c r="C37" s="25">
        <v>0</v>
      </c>
      <c r="D37" s="174">
        <v>0</v>
      </c>
      <c r="E37" s="132">
        <f>B37+折疊車出口!B36</f>
        <v>0</v>
      </c>
      <c r="F37" s="195">
        <f t="shared" si="0"/>
        <v>0</v>
      </c>
      <c r="G37" s="196">
        <f>C37+折疊車出口!C36</f>
        <v>0</v>
      </c>
      <c r="H37" s="133">
        <f t="shared" si="1"/>
        <v>0</v>
      </c>
      <c r="I37" s="176">
        <v>0</v>
      </c>
    </row>
    <row r="38" spans="1:9">
      <c r="A38" s="29" t="s">
        <v>35</v>
      </c>
      <c r="B38" s="177">
        <v>0</v>
      </c>
      <c r="C38" s="25">
        <v>0</v>
      </c>
      <c r="D38" s="174">
        <v>0</v>
      </c>
      <c r="E38" s="132">
        <f>B38+折疊車出口!B37</f>
        <v>0</v>
      </c>
      <c r="F38" s="195">
        <f t="shared" si="0"/>
        <v>0</v>
      </c>
      <c r="G38" s="196">
        <f>C38+折疊車出口!C37</f>
        <v>0</v>
      </c>
      <c r="H38" s="133">
        <f t="shared" si="1"/>
        <v>0</v>
      </c>
      <c r="I38" s="176">
        <v>0</v>
      </c>
    </row>
    <row r="39" spans="1:9">
      <c r="A39" s="29" t="s">
        <v>36</v>
      </c>
      <c r="B39" s="177">
        <v>0</v>
      </c>
      <c r="C39" s="25">
        <v>0</v>
      </c>
      <c r="D39" s="174">
        <v>0</v>
      </c>
      <c r="E39" s="132">
        <f>B39+折疊車出口!B38</f>
        <v>0</v>
      </c>
      <c r="F39" s="195">
        <f t="shared" si="0"/>
        <v>0</v>
      </c>
      <c r="G39" s="196">
        <f>C39+折疊車出口!C38</f>
        <v>0</v>
      </c>
      <c r="H39" s="133">
        <f t="shared" si="1"/>
        <v>0</v>
      </c>
      <c r="I39" s="176">
        <v>0</v>
      </c>
    </row>
    <row r="40" spans="1:9">
      <c r="A40" s="29" t="s">
        <v>79</v>
      </c>
      <c r="B40" s="177">
        <v>0</v>
      </c>
      <c r="C40" s="25">
        <v>0</v>
      </c>
      <c r="D40" s="174">
        <v>0</v>
      </c>
      <c r="E40" s="132">
        <f>B40+折疊車出口!B39</f>
        <v>0</v>
      </c>
      <c r="F40" s="195">
        <f t="shared" si="0"/>
        <v>0</v>
      </c>
      <c r="G40" s="196">
        <f>C40+折疊車出口!C39</f>
        <v>0</v>
      </c>
      <c r="H40" s="133">
        <f t="shared" si="1"/>
        <v>0</v>
      </c>
      <c r="I40" s="176">
        <v>0</v>
      </c>
    </row>
    <row r="41" spans="1:9">
      <c r="A41" s="29"/>
      <c r="B41" s="25"/>
      <c r="C41" s="177"/>
      <c r="D41" s="174"/>
      <c r="E41" s="132"/>
      <c r="F41" s="195"/>
      <c r="G41" s="196"/>
      <c r="H41" s="133"/>
      <c r="I41" s="180"/>
    </row>
    <row r="42" spans="1:9">
      <c r="A42" s="32" t="s">
        <v>38</v>
      </c>
      <c r="B42" s="31">
        <f>SUM(B43:B46)</f>
        <v>1</v>
      </c>
      <c r="C42" s="181">
        <f>SUM(C43:C46)</f>
        <v>1966</v>
      </c>
      <c r="D42" s="174">
        <f>C42/B42</f>
        <v>1966</v>
      </c>
      <c r="E42" s="137">
        <f>SUM(E43:E46)</f>
        <v>1</v>
      </c>
      <c r="F42" s="195">
        <f t="shared" si="0"/>
        <v>2.8026905829596412E-4</v>
      </c>
      <c r="G42" s="197">
        <f>SUM(G43:G46)</f>
        <v>1966</v>
      </c>
      <c r="H42" s="133">
        <f t="shared" si="1"/>
        <v>1.2392815696894168E-3</v>
      </c>
      <c r="I42" s="180">
        <f>G42/E42</f>
        <v>1966</v>
      </c>
    </row>
    <row r="43" spans="1:9">
      <c r="A43" s="24" t="s">
        <v>39</v>
      </c>
      <c r="B43" s="25">
        <v>0</v>
      </c>
      <c r="C43" s="177">
        <v>0</v>
      </c>
      <c r="D43" s="174">
        <v>0</v>
      </c>
      <c r="E43" s="132">
        <f>B43+折疊車出口!B42</f>
        <v>0</v>
      </c>
      <c r="F43" s="195">
        <f t="shared" si="0"/>
        <v>0</v>
      </c>
      <c r="G43" s="196">
        <f>C43+折疊車出口!C42</f>
        <v>0</v>
      </c>
      <c r="H43" s="133">
        <f t="shared" si="1"/>
        <v>0</v>
      </c>
      <c r="I43" s="180">
        <v>0</v>
      </c>
    </row>
    <row r="44" spans="1:9">
      <c r="A44" s="24" t="s">
        <v>40</v>
      </c>
      <c r="B44" s="25">
        <v>0</v>
      </c>
      <c r="C44" s="177">
        <v>0</v>
      </c>
      <c r="D44" s="174">
        <v>0</v>
      </c>
      <c r="E44" s="132">
        <f>B44+折疊車出口!B43</f>
        <v>0</v>
      </c>
      <c r="F44" s="195">
        <f t="shared" si="0"/>
        <v>0</v>
      </c>
      <c r="G44" s="196">
        <f>C44+折疊車出口!C43</f>
        <v>0</v>
      </c>
      <c r="H44" s="133">
        <f t="shared" si="1"/>
        <v>0</v>
      </c>
      <c r="I44" s="180">
        <v>0</v>
      </c>
    </row>
    <row r="45" spans="1:9">
      <c r="A45" s="24" t="s">
        <v>41</v>
      </c>
      <c r="B45" s="25">
        <v>1</v>
      </c>
      <c r="C45" s="177">
        <v>1966</v>
      </c>
      <c r="D45" s="174">
        <f>C45/B45</f>
        <v>1966</v>
      </c>
      <c r="E45" s="132">
        <f>B45+折疊車出口!B44</f>
        <v>1</v>
      </c>
      <c r="F45" s="195">
        <f t="shared" si="0"/>
        <v>2.8026905829596412E-4</v>
      </c>
      <c r="G45" s="196">
        <f>C45+折疊車出口!C44</f>
        <v>1966</v>
      </c>
      <c r="H45" s="133">
        <f t="shared" si="1"/>
        <v>1.2392815696894168E-3</v>
      </c>
      <c r="I45" s="180">
        <f>G45/E45</f>
        <v>1966</v>
      </c>
    </row>
    <row r="46" spans="1:9">
      <c r="A46" s="29" t="s">
        <v>42</v>
      </c>
      <c r="B46" s="25">
        <v>0</v>
      </c>
      <c r="C46" s="177">
        <v>0</v>
      </c>
      <c r="D46" s="174">
        <v>0</v>
      </c>
      <c r="E46" s="132">
        <f>B46+折疊車出口!B45</f>
        <v>0</v>
      </c>
      <c r="F46" s="195">
        <f t="shared" si="0"/>
        <v>0</v>
      </c>
      <c r="G46" s="196">
        <f>C46+折疊車出口!C45</f>
        <v>0</v>
      </c>
      <c r="H46" s="133">
        <f t="shared" si="1"/>
        <v>0</v>
      </c>
      <c r="I46" s="180">
        <v>0</v>
      </c>
    </row>
    <row r="47" spans="1:9">
      <c r="A47" s="29"/>
      <c r="B47" s="25"/>
      <c r="C47" s="177"/>
      <c r="D47" s="174"/>
      <c r="E47" s="134"/>
      <c r="F47" s="195"/>
      <c r="G47" s="196"/>
      <c r="H47" s="133"/>
      <c r="I47" s="180"/>
    </row>
    <row r="48" spans="1:9">
      <c r="A48" s="32" t="s">
        <v>43</v>
      </c>
      <c r="B48" s="31">
        <f>SUM(B49:B66)</f>
        <v>1996</v>
      </c>
      <c r="C48" s="181">
        <f>SUM(C49:C66)</f>
        <v>1110295</v>
      </c>
      <c r="D48" s="174">
        <f>C48/B48</f>
        <v>556.26002004008012</v>
      </c>
      <c r="E48" s="137">
        <f>SUM(E49:E66)</f>
        <v>2081</v>
      </c>
      <c r="F48" s="195">
        <f t="shared" si="0"/>
        <v>0.58323991031390132</v>
      </c>
      <c r="G48" s="197">
        <f>SUM(G49:G66)</f>
        <v>1160913</v>
      </c>
      <c r="H48" s="133">
        <f t="shared" si="1"/>
        <v>0.73178946333308748</v>
      </c>
      <c r="I48" s="180">
        <f>G48/E48</f>
        <v>557.86304661220572</v>
      </c>
    </row>
    <row r="49" spans="1:9">
      <c r="A49" s="24" t="s">
        <v>44</v>
      </c>
      <c r="B49" s="177">
        <v>266</v>
      </c>
      <c r="C49" s="25">
        <v>148400</v>
      </c>
      <c r="D49" s="174">
        <f>C49/B49</f>
        <v>557.89473684210532</v>
      </c>
      <c r="E49" s="132">
        <f>B49+折疊車出口!B49</f>
        <v>321</v>
      </c>
      <c r="F49" s="195">
        <f t="shared" si="0"/>
        <v>8.996636771300448E-2</v>
      </c>
      <c r="G49" s="196">
        <f>C49+折疊車出口!C49</f>
        <v>167944</v>
      </c>
      <c r="H49" s="133">
        <f t="shared" si="1"/>
        <v>0.1058646510375989</v>
      </c>
      <c r="I49" s="180">
        <f>G49/E49</f>
        <v>523.19003115264798</v>
      </c>
    </row>
    <row r="50" spans="1:9">
      <c r="A50" s="24" t="s">
        <v>45</v>
      </c>
      <c r="B50" s="177">
        <v>0</v>
      </c>
      <c r="C50" s="25">
        <v>0</v>
      </c>
      <c r="D50" s="174">
        <v>0</v>
      </c>
      <c r="E50" s="132">
        <f>B50+折疊車出口!B50</f>
        <v>0</v>
      </c>
      <c r="F50" s="195">
        <f t="shared" si="0"/>
        <v>0</v>
      </c>
      <c r="G50" s="196">
        <f>C50+折疊車出口!C50</f>
        <v>0</v>
      </c>
      <c r="H50" s="133">
        <f t="shared" si="1"/>
        <v>0</v>
      </c>
      <c r="I50" s="180" t="e">
        <f>G50/E50</f>
        <v>#DIV/0!</v>
      </c>
    </row>
    <row r="51" spans="1:9">
      <c r="A51" s="24" t="s">
        <v>46</v>
      </c>
      <c r="B51" s="177">
        <v>0</v>
      </c>
      <c r="C51" s="25">
        <v>0</v>
      </c>
      <c r="D51" s="174">
        <v>0</v>
      </c>
      <c r="E51" s="132">
        <f>B51+折疊車出口!B51</f>
        <v>0</v>
      </c>
      <c r="F51" s="195">
        <f t="shared" si="0"/>
        <v>0</v>
      </c>
      <c r="G51" s="196">
        <f>C51+折疊車出口!C51</f>
        <v>0</v>
      </c>
      <c r="H51" s="133">
        <f t="shared" si="1"/>
        <v>0</v>
      </c>
      <c r="I51" s="180">
        <v>0</v>
      </c>
    </row>
    <row r="52" spans="1:9">
      <c r="A52" s="29" t="s">
        <v>47</v>
      </c>
      <c r="B52" s="177">
        <v>0</v>
      </c>
      <c r="C52" s="25">
        <v>0</v>
      </c>
      <c r="D52" s="174">
        <v>0</v>
      </c>
      <c r="E52" s="132">
        <f>B52+折疊車出口!B52</f>
        <v>0</v>
      </c>
      <c r="F52" s="195">
        <f t="shared" si="0"/>
        <v>0</v>
      </c>
      <c r="G52" s="196">
        <f>C52+折疊車出口!C52</f>
        <v>0</v>
      </c>
      <c r="H52" s="133">
        <f t="shared" si="1"/>
        <v>0</v>
      </c>
      <c r="I52" s="180">
        <v>0</v>
      </c>
    </row>
    <row r="53" spans="1:9">
      <c r="A53" s="24" t="s">
        <v>48</v>
      </c>
      <c r="B53" s="177">
        <v>0</v>
      </c>
      <c r="C53" s="25">
        <v>0</v>
      </c>
      <c r="D53" s="174">
        <v>0</v>
      </c>
      <c r="E53" s="132">
        <f>B53+折疊車出口!B53</f>
        <v>0</v>
      </c>
      <c r="F53" s="195">
        <f t="shared" si="0"/>
        <v>0</v>
      </c>
      <c r="G53" s="196">
        <f>C53+折疊車出口!C53</f>
        <v>0</v>
      </c>
      <c r="H53" s="133">
        <f t="shared" si="1"/>
        <v>0</v>
      </c>
      <c r="I53" s="180">
        <v>0</v>
      </c>
    </row>
    <row r="54" spans="1:9">
      <c r="A54" s="24" t="s">
        <v>80</v>
      </c>
      <c r="B54" s="177">
        <v>25</v>
      </c>
      <c r="C54" s="25">
        <v>5232</v>
      </c>
      <c r="D54" s="174">
        <f>C54/B54</f>
        <v>209.28</v>
      </c>
      <c r="E54" s="132">
        <f>B54+折疊車出口!B54</f>
        <v>25</v>
      </c>
      <c r="F54" s="195">
        <f t="shared" si="0"/>
        <v>7.0067264573991034E-3</v>
      </c>
      <c r="G54" s="196">
        <f>C54+折疊車出口!C54</f>
        <v>5232</v>
      </c>
      <c r="H54" s="133">
        <f t="shared" si="1"/>
        <v>3.2980270460910626E-3</v>
      </c>
      <c r="I54" s="180">
        <f>G54/E54</f>
        <v>209.28</v>
      </c>
    </row>
    <row r="55" spans="1:9">
      <c r="A55" s="29" t="s">
        <v>50</v>
      </c>
      <c r="B55" s="177">
        <v>0</v>
      </c>
      <c r="C55" s="25">
        <v>0</v>
      </c>
      <c r="D55" s="174">
        <v>0</v>
      </c>
      <c r="E55" s="132">
        <f>B55+折疊車出口!B55</f>
        <v>0</v>
      </c>
      <c r="F55" s="195">
        <f t="shared" si="0"/>
        <v>0</v>
      </c>
      <c r="G55" s="196">
        <f>C55+折疊車出口!C55</f>
        <v>0</v>
      </c>
      <c r="H55" s="133">
        <f t="shared" si="1"/>
        <v>0</v>
      </c>
      <c r="I55" s="180">
        <v>0</v>
      </c>
    </row>
    <row r="56" spans="1:9">
      <c r="A56" s="29" t="s">
        <v>51</v>
      </c>
      <c r="B56" s="177">
        <v>147</v>
      </c>
      <c r="C56" s="25">
        <v>108181</v>
      </c>
      <c r="D56" s="174">
        <f>C56/B56</f>
        <v>735.92517006802723</v>
      </c>
      <c r="E56" s="132">
        <f>B56+折疊車出口!B56</f>
        <v>147</v>
      </c>
      <c r="F56" s="195">
        <f t="shared" si="0"/>
        <v>4.1199551569506727E-2</v>
      </c>
      <c r="G56" s="196">
        <f>C56+折疊車出口!C56</f>
        <v>108181</v>
      </c>
      <c r="H56" s="133">
        <f t="shared" si="1"/>
        <v>6.8192634532335095E-2</v>
      </c>
      <c r="I56" s="180">
        <f>G56/E56</f>
        <v>735.92517006802723</v>
      </c>
    </row>
    <row r="57" spans="1:9">
      <c r="A57" s="140" t="s">
        <v>81</v>
      </c>
      <c r="B57" s="177">
        <v>707</v>
      </c>
      <c r="C57" s="25">
        <v>394911</v>
      </c>
      <c r="D57" s="174">
        <f>C57/B57</f>
        <v>558.57284299858554</v>
      </c>
      <c r="E57" s="132">
        <f>B57+折疊車出口!B57</f>
        <v>707</v>
      </c>
      <c r="F57" s="195">
        <f t="shared" si="0"/>
        <v>0.19815022421524664</v>
      </c>
      <c r="G57" s="196">
        <f>C57+折疊車出口!C57</f>
        <v>394911</v>
      </c>
      <c r="H57" s="133">
        <f t="shared" si="1"/>
        <v>0.24893485451048694</v>
      </c>
      <c r="I57" s="180">
        <f>G57/E57</f>
        <v>558.57284299858554</v>
      </c>
    </row>
    <row r="58" spans="1:9">
      <c r="A58" s="140" t="s">
        <v>102</v>
      </c>
      <c r="B58" s="177">
        <v>451</v>
      </c>
      <c r="C58" s="25">
        <v>325118</v>
      </c>
      <c r="D58" s="174">
        <f>C58/B58</f>
        <v>720.88248337028824</v>
      </c>
      <c r="E58" s="132">
        <f>B58+折疊車出口!B58</f>
        <v>481</v>
      </c>
      <c r="F58" s="195">
        <f t="shared" si="0"/>
        <v>0.13480941704035873</v>
      </c>
      <c r="G58" s="196">
        <f>C58+折疊車出口!C58</f>
        <v>356192</v>
      </c>
      <c r="H58" s="133">
        <f t="shared" si="1"/>
        <v>0.22452806758434016</v>
      </c>
      <c r="I58" s="180">
        <f>G58/E58</f>
        <v>740.52390852390852</v>
      </c>
    </row>
    <row r="59" spans="1:9">
      <c r="A59" s="140" t="s">
        <v>52</v>
      </c>
      <c r="B59" s="177">
        <v>400</v>
      </c>
      <c r="C59" s="25">
        <v>128453</v>
      </c>
      <c r="D59" s="174">
        <f>C59/B59</f>
        <v>321.13249999999999</v>
      </c>
      <c r="E59" s="132">
        <f>B59+折疊車出口!B59</f>
        <v>400</v>
      </c>
      <c r="F59" s="195">
        <f t="shared" si="0"/>
        <v>0.11210762331838565</v>
      </c>
      <c r="G59" s="196">
        <f>C59+折疊車出口!C59</f>
        <v>128453</v>
      </c>
      <c r="H59" s="133">
        <f t="shared" si="1"/>
        <v>8.0971228622235339E-2</v>
      </c>
      <c r="I59" s="180">
        <f>G59/E59</f>
        <v>321.13249999999999</v>
      </c>
    </row>
    <row r="60" spans="1:9">
      <c r="A60" s="140" t="s">
        <v>53</v>
      </c>
      <c r="B60" s="177">
        <v>0</v>
      </c>
      <c r="C60" s="25">
        <v>0</v>
      </c>
      <c r="D60" s="174">
        <v>0</v>
      </c>
      <c r="E60" s="132">
        <f>B60+折疊車出口!B60</f>
        <v>0</v>
      </c>
      <c r="F60" s="195">
        <f t="shared" si="0"/>
        <v>0</v>
      </c>
      <c r="G60" s="196">
        <f>C60+折疊車出口!C60</f>
        <v>0</v>
      </c>
      <c r="H60" s="133">
        <f t="shared" si="1"/>
        <v>0</v>
      </c>
      <c r="I60" s="180">
        <v>0</v>
      </c>
    </row>
    <row r="61" spans="1:9">
      <c r="A61" s="140" t="s">
        <v>54</v>
      </c>
      <c r="B61" s="177">
        <v>0</v>
      </c>
      <c r="C61" s="25">
        <v>0</v>
      </c>
      <c r="D61" s="174">
        <v>0</v>
      </c>
      <c r="E61" s="132">
        <f>B61+折疊車出口!B61</f>
        <v>0</v>
      </c>
      <c r="F61" s="195">
        <f t="shared" si="0"/>
        <v>0</v>
      </c>
      <c r="G61" s="196">
        <f>C61+折疊車出口!C61</f>
        <v>0</v>
      </c>
      <c r="H61" s="133">
        <f t="shared" si="1"/>
        <v>0</v>
      </c>
      <c r="I61" s="180">
        <v>0</v>
      </c>
    </row>
    <row r="62" spans="1:9">
      <c r="A62" s="140" t="s">
        <v>82</v>
      </c>
      <c r="B62" s="177">
        <v>0</v>
      </c>
      <c r="C62" s="25">
        <v>0</v>
      </c>
      <c r="D62" s="174">
        <v>0</v>
      </c>
      <c r="E62" s="132">
        <f>B62+折疊車出口!B62</f>
        <v>0</v>
      </c>
      <c r="F62" s="195">
        <f t="shared" si="0"/>
        <v>0</v>
      </c>
      <c r="G62" s="196">
        <f>C62+折疊車出口!C62</f>
        <v>0</v>
      </c>
      <c r="H62" s="133">
        <f t="shared" si="1"/>
        <v>0</v>
      </c>
      <c r="I62" s="180">
        <v>0</v>
      </c>
    </row>
    <row r="63" spans="1:9">
      <c r="A63" s="140" t="s">
        <v>83</v>
      </c>
      <c r="B63" s="177">
        <v>0</v>
      </c>
      <c r="C63" s="25">
        <v>0</v>
      </c>
      <c r="D63" s="174">
        <v>0</v>
      </c>
      <c r="E63" s="132">
        <f>B63+折疊車出口!B63</f>
        <v>0</v>
      </c>
      <c r="F63" s="195">
        <f t="shared" si="0"/>
        <v>0</v>
      </c>
      <c r="G63" s="196">
        <f>C63+折疊車出口!C63</f>
        <v>0</v>
      </c>
      <c r="H63" s="133">
        <f t="shared" si="1"/>
        <v>0</v>
      </c>
      <c r="I63" s="180">
        <v>0</v>
      </c>
    </row>
    <row r="64" spans="1:9">
      <c r="A64" s="140" t="s">
        <v>106</v>
      </c>
      <c r="B64" s="177">
        <v>0</v>
      </c>
      <c r="C64" s="25">
        <v>0</v>
      </c>
      <c r="D64" s="174">
        <v>0</v>
      </c>
      <c r="E64" s="132">
        <f>B64+折疊車出口!B64</f>
        <v>0</v>
      </c>
      <c r="F64" s="195">
        <f t="shared" si="0"/>
        <v>0</v>
      </c>
      <c r="G64" s="196">
        <f>C64+折疊車出口!C64</f>
        <v>0</v>
      </c>
      <c r="H64" s="133">
        <f t="shared" si="1"/>
        <v>0</v>
      </c>
      <c r="I64" s="180" t="e">
        <f>G64/E64</f>
        <v>#DIV/0!</v>
      </c>
    </row>
    <row r="65" spans="1:9">
      <c r="A65" s="140" t="s">
        <v>85</v>
      </c>
      <c r="B65" s="177">
        <v>0</v>
      </c>
      <c r="C65" s="25">
        <v>0</v>
      </c>
      <c r="D65" s="174">
        <v>0</v>
      </c>
      <c r="E65" s="132">
        <f>B65+折疊車出口!B65</f>
        <v>0</v>
      </c>
      <c r="F65" s="195">
        <f>E65/$E$68</f>
        <v>0</v>
      </c>
      <c r="G65" s="196">
        <f>C65+折疊車出口!C65</f>
        <v>0</v>
      </c>
      <c r="H65" s="133">
        <f t="shared" si="1"/>
        <v>0</v>
      </c>
      <c r="I65" s="180">
        <v>0</v>
      </c>
    </row>
    <row r="66" spans="1:9">
      <c r="A66" s="140" t="s">
        <v>107</v>
      </c>
      <c r="B66" s="177">
        <v>0</v>
      </c>
      <c r="C66" s="25">
        <v>0</v>
      </c>
      <c r="D66" s="174">
        <v>0</v>
      </c>
      <c r="E66" s="132">
        <f>B66+折疊車出口!B66</f>
        <v>0</v>
      </c>
      <c r="F66" s="195">
        <f>E66/$E$68</f>
        <v>0</v>
      </c>
      <c r="G66" s="196">
        <f>C66+折疊車出口!C66</f>
        <v>0</v>
      </c>
      <c r="H66" s="133">
        <f t="shared" si="1"/>
        <v>0</v>
      </c>
      <c r="I66" s="180">
        <v>0</v>
      </c>
    </row>
    <row r="67" spans="1:9">
      <c r="A67" s="29" t="s">
        <v>57</v>
      </c>
      <c r="B67" s="25">
        <f>B68-B48-B42-B12-B7</f>
        <v>340</v>
      </c>
      <c r="C67" s="25">
        <f>C68-C48-C42-C12-C7</f>
        <v>135302</v>
      </c>
      <c r="D67" s="179">
        <f>C67/B67</f>
        <v>397.9470588235294</v>
      </c>
      <c r="E67" s="134">
        <f>E68-E48-E42-E12-E7</f>
        <v>340</v>
      </c>
      <c r="F67" s="195">
        <f>E67/$E$68</f>
        <v>9.52914798206278E-2</v>
      </c>
      <c r="G67" s="196">
        <f>G68-G48-G42-G12-G7</f>
        <v>135302</v>
      </c>
      <c r="H67" s="133">
        <f t="shared" si="1"/>
        <v>8.5288542696906139E-2</v>
      </c>
      <c r="I67" s="180">
        <f>G67/E67</f>
        <v>397.9470588235294</v>
      </c>
    </row>
    <row r="68" spans="1:9">
      <c r="A68" s="30" t="s">
        <v>58</v>
      </c>
      <c r="B68" s="181">
        <v>3366</v>
      </c>
      <c r="C68" s="31">
        <v>1474303</v>
      </c>
      <c r="D68" s="182">
        <f>C68/B68</f>
        <v>437.99851455733807</v>
      </c>
      <c r="E68" s="132">
        <f>B68+折疊車出口!B68</f>
        <v>3568</v>
      </c>
      <c r="F68" s="198">
        <f>E68/$E$68</f>
        <v>1</v>
      </c>
      <c r="G68" s="196">
        <f>C68+折疊車出口!C68</f>
        <v>1586403</v>
      </c>
      <c r="H68" s="154">
        <f>G68/$G$68</f>
        <v>1</v>
      </c>
      <c r="I68" s="182">
        <f>G68/E68</f>
        <v>444.61967488789236</v>
      </c>
    </row>
    <row r="69" spans="1:9">
      <c r="A69" s="57" t="s">
        <v>88</v>
      </c>
      <c r="B69" s="3"/>
      <c r="C69" s="3"/>
      <c r="D69" s="3"/>
      <c r="E69" s="155"/>
      <c r="F69" s="3"/>
      <c r="G69" s="155"/>
      <c r="H69" s="3"/>
      <c r="I69" s="3"/>
    </row>
    <row r="70" spans="1:9" ht="18">
      <c r="A70" s="156" t="s">
        <v>89</v>
      </c>
      <c r="B70" s="61"/>
      <c r="C70" s="64"/>
      <c r="D70" s="64"/>
      <c r="E70" s="62"/>
      <c r="F70" s="62"/>
      <c r="G70" s="62"/>
      <c r="H70" s="60"/>
      <c r="I70" s="60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70"/>
  <sheetViews>
    <sheetView zoomScaleNormal="100" workbookViewId="0">
      <selection activeCell="C14" sqref="C14"/>
    </sheetView>
  </sheetViews>
  <sheetFormatPr defaultRowHeight="16.5"/>
  <cols>
    <col min="1" max="1" width="17.75" customWidth="1"/>
    <col min="2" max="3" width="11.125" customWidth="1"/>
    <col min="4" max="4" width="10.875" customWidth="1"/>
    <col min="5" max="5" width="11.25" customWidth="1"/>
    <col min="6" max="6" width="12.5" customWidth="1"/>
    <col min="7" max="7" width="12" customWidth="1"/>
    <col min="8" max="8" width="13.625" customWidth="1"/>
    <col min="9" max="9" width="13.875" customWidth="1"/>
    <col min="10" max="10" width="11.875" customWidth="1"/>
    <col min="11" max="12" width="8.875" customWidth="1"/>
  </cols>
  <sheetData>
    <row r="1" spans="1:10" ht="23.25">
      <c r="A1" s="1" t="s">
        <v>485</v>
      </c>
      <c r="B1" s="66"/>
      <c r="C1" s="199"/>
      <c r="D1" s="200"/>
      <c r="E1" s="66"/>
      <c r="F1" s="199"/>
      <c r="G1" s="200"/>
      <c r="H1" s="201"/>
      <c r="I1" s="202"/>
      <c r="J1" s="200"/>
    </row>
    <row r="2" spans="1:10" ht="10.5" customHeight="1">
      <c r="A2" s="3"/>
      <c r="B2" s="4"/>
      <c r="C2" s="71"/>
      <c r="D2" s="72"/>
      <c r="E2" s="4"/>
      <c r="F2" s="71"/>
      <c r="G2" s="72"/>
      <c r="H2" s="73"/>
      <c r="I2" s="74"/>
      <c r="J2" s="72"/>
    </row>
    <row r="3" spans="1:10">
      <c r="A3" s="757" t="s">
        <v>108</v>
      </c>
      <c r="B3" s="758"/>
      <c r="C3" s="758"/>
      <c r="D3" s="758"/>
      <c r="E3" s="758"/>
      <c r="F3" s="758"/>
      <c r="G3" s="758"/>
      <c r="H3" s="758"/>
      <c r="I3" s="758"/>
      <c r="J3" s="759"/>
    </row>
    <row r="4" spans="1:10">
      <c r="A4" s="75" t="s">
        <v>484</v>
      </c>
      <c r="B4" s="24" t="s">
        <v>448</v>
      </c>
      <c r="C4" s="616" t="s">
        <v>449</v>
      </c>
      <c r="D4" s="77" t="s">
        <v>61</v>
      </c>
      <c r="E4" s="24" t="s">
        <v>448</v>
      </c>
      <c r="F4" s="616" t="s">
        <v>449</v>
      </c>
      <c r="G4" s="78" t="s">
        <v>317</v>
      </c>
      <c r="H4" s="24" t="s">
        <v>450</v>
      </c>
      <c r="I4" s="616" t="s">
        <v>451</v>
      </c>
      <c r="J4" s="78" t="s">
        <v>317</v>
      </c>
    </row>
    <row r="5" spans="1:10">
      <c r="A5" s="48"/>
      <c r="B5" s="24" t="s">
        <v>62</v>
      </c>
      <c r="C5" s="388" t="s">
        <v>62</v>
      </c>
      <c r="D5" s="80" t="s">
        <v>2</v>
      </c>
      <c r="E5" s="24" t="s">
        <v>63</v>
      </c>
      <c r="F5" s="388" t="s">
        <v>63</v>
      </c>
      <c r="G5" s="80" t="s">
        <v>2</v>
      </c>
      <c r="H5" s="6" t="s">
        <v>444</v>
      </c>
      <c r="I5" s="388" t="s">
        <v>444</v>
      </c>
      <c r="J5" s="80" t="s">
        <v>2</v>
      </c>
    </row>
    <row r="6" spans="1:10">
      <c r="A6" s="19" t="s">
        <v>7</v>
      </c>
      <c r="B6" s="203"/>
      <c r="C6" s="204"/>
      <c r="D6" s="205"/>
      <c r="E6" s="206"/>
      <c r="F6" s="204"/>
      <c r="G6" s="86"/>
      <c r="H6" s="207"/>
      <c r="I6" s="88"/>
      <c r="J6" s="205"/>
    </row>
    <row r="7" spans="1:10">
      <c r="A7" s="208" t="s">
        <v>8</v>
      </c>
      <c r="B7" s="126">
        <f>SUM(B8:B10)</f>
        <v>2</v>
      </c>
      <c r="C7" s="209">
        <f>SUM(C8:C10)</f>
        <v>0</v>
      </c>
      <c r="D7" s="94">
        <f>IF(C7,(B7-C7)/C7,0)</f>
        <v>0</v>
      </c>
      <c r="E7" s="126">
        <f>SUM(E8:E10)</f>
        <v>95</v>
      </c>
      <c r="F7" s="209">
        <f>SUM(F8:F10)</f>
        <v>0</v>
      </c>
      <c r="G7" s="94">
        <f>IF(F7,(E7-F7)/F7,0)</f>
        <v>0</v>
      </c>
      <c r="H7" s="96">
        <f>IF(B7,E7/B7,0)</f>
        <v>47.5</v>
      </c>
      <c r="I7" s="97">
        <f>IF(C7,F7/C7,0)</f>
        <v>0</v>
      </c>
      <c r="J7" s="90">
        <f>IF(I7,(H7-I7)/I7,0)</f>
        <v>0</v>
      </c>
    </row>
    <row r="8" spans="1:10">
      <c r="A8" s="24" t="s">
        <v>342</v>
      </c>
      <c r="B8" s="210">
        <f>折疊車出口!E8</f>
        <v>2</v>
      </c>
      <c r="C8" s="209">
        <v>0</v>
      </c>
      <c r="D8" s="94">
        <f t="shared" ref="D8:D67" si="0">IF(C8,(B8-C8)/C8,0)</f>
        <v>0</v>
      </c>
      <c r="E8" s="210">
        <f>折疊車出口!G8</f>
        <v>95</v>
      </c>
      <c r="F8" s="209">
        <v>0</v>
      </c>
      <c r="G8" s="94">
        <f t="shared" ref="G8:G67" si="1">IF(F8,(E8-F8)/F8,0)</f>
        <v>0</v>
      </c>
      <c r="H8" s="96">
        <f t="shared" ref="H8:H10" si="2">IF(B8,E8/B8,0)</f>
        <v>47.5</v>
      </c>
      <c r="I8" s="97">
        <f t="shared" ref="I8:I10" si="3">IF(C8,F8/C8,0)</f>
        <v>0</v>
      </c>
      <c r="J8" s="90">
        <f t="shared" ref="J8:J67" si="4">IF(I8,(H8-I8)/I8,0)</f>
        <v>0</v>
      </c>
    </row>
    <row r="9" spans="1:10">
      <c r="A9" s="29" t="s">
        <v>9</v>
      </c>
      <c r="B9" s="210">
        <f>折疊車出口!E9</f>
        <v>0</v>
      </c>
      <c r="C9" s="209">
        <v>0</v>
      </c>
      <c r="D9" s="94">
        <f t="shared" ref="D9:D10" si="5">IF(C9,(B9-C9)/C9,0)</f>
        <v>0</v>
      </c>
      <c r="E9" s="210">
        <f>折疊車出口!G9</f>
        <v>0</v>
      </c>
      <c r="F9" s="209">
        <v>0</v>
      </c>
      <c r="G9" s="94">
        <f t="shared" si="1"/>
        <v>0</v>
      </c>
      <c r="H9" s="96">
        <f t="shared" si="2"/>
        <v>0</v>
      </c>
      <c r="I9" s="97">
        <f t="shared" si="3"/>
        <v>0</v>
      </c>
      <c r="J9" s="90">
        <f t="shared" si="4"/>
        <v>0</v>
      </c>
    </row>
    <row r="10" spans="1:10">
      <c r="A10" s="29" t="s">
        <v>10</v>
      </c>
      <c r="B10" s="210">
        <f>折疊車出口!E10</f>
        <v>0</v>
      </c>
      <c r="C10" s="209">
        <v>0</v>
      </c>
      <c r="D10" s="94">
        <f t="shared" si="5"/>
        <v>0</v>
      </c>
      <c r="E10" s="210">
        <f>折疊車出口!G10</f>
        <v>0</v>
      </c>
      <c r="F10" s="209">
        <v>0</v>
      </c>
      <c r="G10" s="94">
        <f t="shared" si="1"/>
        <v>0</v>
      </c>
      <c r="H10" s="96">
        <f t="shared" si="2"/>
        <v>0</v>
      </c>
      <c r="I10" s="97">
        <f t="shared" si="3"/>
        <v>0</v>
      </c>
      <c r="J10" s="90">
        <f t="shared" si="4"/>
        <v>0</v>
      </c>
    </row>
    <row r="11" spans="1:10">
      <c r="A11" s="29"/>
      <c r="B11" s="25"/>
      <c r="C11" s="95"/>
      <c r="D11" s="94"/>
      <c r="E11" s="25"/>
      <c r="F11" s="95"/>
      <c r="G11" s="94"/>
      <c r="H11" s="96"/>
      <c r="I11" s="97"/>
      <c r="J11" s="90"/>
    </row>
    <row r="12" spans="1:10">
      <c r="A12" s="30" t="s">
        <v>11</v>
      </c>
      <c r="B12" s="31">
        <f>SUM(B13:B39)</f>
        <v>115</v>
      </c>
      <c r="C12" s="95">
        <f>SUM(C13:C39)</f>
        <v>97</v>
      </c>
      <c r="D12" s="94">
        <f t="shared" si="0"/>
        <v>0.18556701030927836</v>
      </c>
      <c r="E12" s="31">
        <f>SUM(E13:E39)</f>
        <v>61387</v>
      </c>
      <c r="F12" s="95">
        <f>SUM(F13:F39)</f>
        <v>40433</v>
      </c>
      <c r="G12" s="94">
        <f t="shared" si="1"/>
        <v>0.51824005144312812</v>
      </c>
      <c r="H12" s="96">
        <f t="shared" ref="H12:H67" si="6">IF(B12,E12/B12,0)</f>
        <v>533.79999999999995</v>
      </c>
      <c r="I12" s="97">
        <f t="shared" ref="I12:I67" si="7">IF(C12,F12/C12,0)</f>
        <v>416.83505154639175</v>
      </c>
      <c r="J12" s="90">
        <f t="shared" si="4"/>
        <v>0.28060247817376882</v>
      </c>
    </row>
    <row r="13" spans="1:10">
      <c r="A13" s="24" t="s">
        <v>322</v>
      </c>
      <c r="B13" s="210">
        <f>折疊車出口!E13</f>
        <v>115</v>
      </c>
      <c r="C13" s="209">
        <v>97</v>
      </c>
      <c r="D13" s="94">
        <f t="shared" si="0"/>
        <v>0.18556701030927836</v>
      </c>
      <c r="E13" s="210">
        <f>折疊車出口!G13</f>
        <v>61387</v>
      </c>
      <c r="F13" s="209">
        <v>40433</v>
      </c>
      <c r="G13" s="94">
        <f t="shared" si="1"/>
        <v>0.51824005144312812</v>
      </c>
      <c r="H13" s="96">
        <f t="shared" si="6"/>
        <v>533.79999999999995</v>
      </c>
      <c r="I13" s="97">
        <f t="shared" si="7"/>
        <v>416.83505154639175</v>
      </c>
      <c r="J13" s="90">
        <f t="shared" si="4"/>
        <v>0.28060247817376882</v>
      </c>
    </row>
    <row r="14" spans="1:10">
      <c r="A14" s="24" t="s">
        <v>323</v>
      </c>
      <c r="B14" s="210">
        <f>折疊車出口!E14</f>
        <v>0</v>
      </c>
      <c r="C14" s="209">
        <v>0</v>
      </c>
      <c r="D14" s="94">
        <f t="shared" ref="D14:D39" si="8">IF(C14,(B14-C14)/C14,0)</f>
        <v>0</v>
      </c>
      <c r="E14" s="210">
        <f>折疊車出口!G14</f>
        <v>0</v>
      </c>
      <c r="F14" s="209">
        <v>0</v>
      </c>
      <c r="G14" s="94">
        <f t="shared" si="1"/>
        <v>0</v>
      </c>
      <c r="H14" s="96">
        <f t="shared" si="6"/>
        <v>0</v>
      </c>
      <c r="I14" s="97">
        <f t="shared" si="7"/>
        <v>0</v>
      </c>
      <c r="J14" s="90">
        <f t="shared" si="4"/>
        <v>0</v>
      </c>
    </row>
    <row r="15" spans="1:10">
      <c r="A15" s="29" t="s">
        <v>14</v>
      </c>
      <c r="B15" s="210">
        <f>折疊車出口!E15</f>
        <v>0</v>
      </c>
      <c r="C15" s="209">
        <v>0</v>
      </c>
      <c r="D15" s="94">
        <f t="shared" si="8"/>
        <v>0</v>
      </c>
      <c r="E15" s="210">
        <f>折疊車出口!G15</f>
        <v>0</v>
      </c>
      <c r="F15" s="209">
        <v>0</v>
      </c>
      <c r="G15" s="94">
        <f t="shared" si="1"/>
        <v>0</v>
      </c>
      <c r="H15" s="96">
        <f t="shared" si="6"/>
        <v>0</v>
      </c>
      <c r="I15" s="97">
        <f t="shared" si="7"/>
        <v>0</v>
      </c>
      <c r="J15" s="90">
        <f t="shared" si="4"/>
        <v>0</v>
      </c>
    </row>
    <row r="16" spans="1:10">
      <c r="A16" s="24" t="s">
        <v>325</v>
      </c>
      <c r="B16" s="210">
        <f>折疊車出口!E16</f>
        <v>0</v>
      </c>
      <c r="C16" s="209">
        <v>0</v>
      </c>
      <c r="D16" s="94">
        <f t="shared" si="8"/>
        <v>0</v>
      </c>
      <c r="E16" s="210">
        <f>折疊車出口!G16</f>
        <v>0</v>
      </c>
      <c r="F16" s="209">
        <v>0</v>
      </c>
      <c r="G16" s="94">
        <f t="shared" si="1"/>
        <v>0</v>
      </c>
      <c r="H16" s="96">
        <f t="shared" si="6"/>
        <v>0</v>
      </c>
      <c r="I16" s="97">
        <f t="shared" si="7"/>
        <v>0</v>
      </c>
      <c r="J16" s="90">
        <f t="shared" si="4"/>
        <v>0</v>
      </c>
    </row>
    <row r="17" spans="1:10">
      <c r="A17" s="29" t="s">
        <v>17</v>
      </c>
      <c r="B17" s="210">
        <f>折疊車出口!E17</f>
        <v>0</v>
      </c>
      <c r="C17" s="209">
        <v>0</v>
      </c>
      <c r="D17" s="94">
        <f t="shared" si="8"/>
        <v>0</v>
      </c>
      <c r="E17" s="210">
        <f>折疊車出口!G17</f>
        <v>0</v>
      </c>
      <c r="F17" s="209">
        <v>0</v>
      </c>
      <c r="G17" s="94">
        <f t="shared" si="1"/>
        <v>0</v>
      </c>
      <c r="H17" s="96">
        <f t="shared" si="6"/>
        <v>0</v>
      </c>
      <c r="I17" s="97">
        <f t="shared" si="7"/>
        <v>0</v>
      </c>
      <c r="J17" s="90">
        <f t="shared" si="4"/>
        <v>0</v>
      </c>
    </row>
    <row r="18" spans="1:10">
      <c r="A18" s="29" t="s">
        <v>18</v>
      </c>
      <c r="B18" s="210">
        <f>折疊車出口!E18</f>
        <v>0</v>
      </c>
      <c r="C18" s="209">
        <v>0</v>
      </c>
      <c r="D18" s="94">
        <f t="shared" si="8"/>
        <v>0</v>
      </c>
      <c r="E18" s="210">
        <f>折疊車出口!G18</f>
        <v>0</v>
      </c>
      <c r="F18" s="209">
        <v>0</v>
      </c>
      <c r="G18" s="94">
        <f t="shared" si="1"/>
        <v>0</v>
      </c>
      <c r="H18" s="96">
        <f t="shared" si="6"/>
        <v>0</v>
      </c>
      <c r="I18" s="97">
        <f t="shared" si="7"/>
        <v>0</v>
      </c>
      <c r="J18" s="90">
        <f t="shared" si="4"/>
        <v>0</v>
      </c>
    </row>
    <row r="19" spans="1:10">
      <c r="A19" s="24" t="s">
        <v>326</v>
      </c>
      <c r="B19" s="210">
        <f>折疊車出口!E19</f>
        <v>0</v>
      </c>
      <c r="C19" s="209">
        <v>0</v>
      </c>
      <c r="D19" s="94">
        <f t="shared" si="8"/>
        <v>0</v>
      </c>
      <c r="E19" s="210">
        <f>折疊車出口!G19</f>
        <v>0</v>
      </c>
      <c r="F19" s="209">
        <v>0</v>
      </c>
      <c r="G19" s="94">
        <f t="shared" si="1"/>
        <v>0</v>
      </c>
      <c r="H19" s="96">
        <f t="shared" si="6"/>
        <v>0</v>
      </c>
      <c r="I19" s="97">
        <f t="shared" si="7"/>
        <v>0</v>
      </c>
      <c r="J19" s="90">
        <f t="shared" si="4"/>
        <v>0</v>
      </c>
    </row>
    <row r="20" spans="1:10">
      <c r="A20" s="29" t="s">
        <v>67</v>
      </c>
      <c r="B20" s="210">
        <f>折疊車出口!E20</f>
        <v>0</v>
      </c>
      <c r="C20" s="209">
        <v>0</v>
      </c>
      <c r="D20" s="94">
        <f t="shared" si="8"/>
        <v>0</v>
      </c>
      <c r="E20" s="210">
        <f>折疊車出口!G20</f>
        <v>0</v>
      </c>
      <c r="F20" s="209">
        <v>0</v>
      </c>
      <c r="G20" s="94">
        <f t="shared" si="1"/>
        <v>0</v>
      </c>
      <c r="H20" s="96">
        <f t="shared" si="6"/>
        <v>0</v>
      </c>
      <c r="I20" s="97">
        <f t="shared" si="7"/>
        <v>0</v>
      </c>
      <c r="J20" s="90">
        <f t="shared" si="4"/>
        <v>0</v>
      </c>
    </row>
    <row r="21" spans="1:10">
      <c r="A21" s="24" t="s">
        <v>327</v>
      </c>
      <c r="B21" s="210">
        <f>折疊車出口!E21</f>
        <v>0</v>
      </c>
      <c r="C21" s="209">
        <v>0</v>
      </c>
      <c r="D21" s="94">
        <f t="shared" si="8"/>
        <v>0</v>
      </c>
      <c r="E21" s="210">
        <f>折疊車出口!G21</f>
        <v>0</v>
      </c>
      <c r="F21" s="209">
        <v>0</v>
      </c>
      <c r="G21" s="94">
        <f t="shared" si="1"/>
        <v>0</v>
      </c>
      <c r="H21" s="96">
        <f t="shared" si="6"/>
        <v>0</v>
      </c>
      <c r="I21" s="97">
        <f t="shared" si="7"/>
        <v>0</v>
      </c>
      <c r="J21" s="90">
        <f t="shared" si="4"/>
        <v>0</v>
      </c>
    </row>
    <row r="22" spans="1:10">
      <c r="A22" s="29" t="s">
        <v>22</v>
      </c>
      <c r="B22" s="210">
        <f>折疊車出口!E22</f>
        <v>0</v>
      </c>
      <c r="C22" s="209">
        <v>0</v>
      </c>
      <c r="D22" s="94">
        <f t="shared" si="8"/>
        <v>0</v>
      </c>
      <c r="E22" s="210">
        <f>折疊車出口!G22</f>
        <v>0</v>
      </c>
      <c r="F22" s="209">
        <v>0</v>
      </c>
      <c r="G22" s="94">
        <f t="shared" si="1"/>
        <v>0</v>
      </c>
      <c r="H22" s="96">
        <f t="shared" si="6"/>
        <v>0</v>
      </c>
      <c r="I22" s="97">
        <f t="shared" si="7"/>
        <v>0</v>
      </c>
      <c r="J22" s="90">
        <f t="shared" si="4"/>
        <v>0</v>
      </c>
    </row>
    <row r="23" spans="1:10">
      <c r="A23" s="29" t="s">
        <v>23</v>
      </c>
      <c r="B23" s="210">
        <f>折疊車出口!E23</f>
        <v>0</v>
      </c>
      <c r="C23" s="209">
        <v>0</v>
      </c>
      <c r="D23" s="94">
        <f t="shared" si="8"/>
        <v>0</v>
      </c>
      <c r="E23" s="210">
        <f>折疊車出口!G23</f>
        <v>0</v>
      </c>
      <c r="F23" s="209">
        <v>0</v>
      </c>
      <c r="G23" s="94">
        <f t="shared" si="1"/>
        <v>0</v>
      </c>
      <c r="H23" s="96">
        <f t="shared" si="6"/>
        <v>0</v>
      </c>
      <c r="I23" s="97">
        <f t="shared" si="7"/>
        <v>0</v>
      </c>
      <c r="J23" s="90">
        <f t="shared" si="4"/>
        <v>0</v>
      </c>
    </row>
    <row r="24" spans="1:10">
      <c r="A24" s="29" t="s">
        <v>24</v>
      </c>
      <c r="B24" s="210">
        <f>折疊車出口!E24</f>
        <v>0</v>
      </c>
      <c r="C24" s="209">
        <v>0</v>
      </c>
      <c r="D24" s="94">
        <f t="shared" si="8"/>
        <v>0</v>
      </c>
      <c r="E24" s="210">
        <f>折疊車出口!G24</f>
        <v>0</v>
      </c>
      <c r="F24" s="209">
        <v>0</v>
      </c>
      <c r="G24" s="94">
        <f t="shared" si="1"/>
        <v>0</v>
      </c>
      <c r="H24" s="96">
        <f t="shared" si="6"/>
        <v>0</v>
      </c>
      <c r="I24" s="97">
        <f t="shared" si="7"/>
        <v>0</v>
      </c>
      <c r="J24" s="90">
        <f t="shared" si="4"/>
        <v>0</v>
      </c>
    </row>
    <row r="25" spans="1:10">
      <c r="A25" s="24" t="s">
        <v>328</v>
      </c>
      <c r="B25" s="210">
        <f>折疊車出口!E25</f>
        <v>0</v>
      </c>
      <c r="C25" s="209">
        <v>0</v>
      </c>
      <c r="D25" s="94">
        <f t="shared" si="8"/>
        <v>0</v>
      </c>
      <c r="E25" s="210">
        <f>折疊車出口!G25</f>
        <v>0</v>
      </c>
      <c r="F25" s="209">
        <v>0</v>
      </c>
      <c r="G25" s="94">
        <f t="shared" si="1"/>
        <v>0</v>
      </c>
      <c r="H25" s="96">
        <f t="shared" si="6"/>
        <v>0</v>
      </c>
      <c r="I25" s="97">
        <f t="shared" si="7"/>
        <v>0</v>
      </c>
      <c r="J25" s="90">
        <f t="shared" si="4"/>
        <v>0</v>
      </c>
    </row>
    <row r="26" spans="1:10">
      <c r="A26" s="24" t="s">
        <v>329</v>
      </c>
      <c r="B26" s="210">
        <f>折疊車出口!E26</f>
        <v>0</v>
      </c>
      <c r="C26" s="209">
        <v>0</v>
      </c>
      <c r="D26" s="94">
        <f t="shared" si="8"/>
        <v>0</v>
      </c>
      <c r="E26" s="210">
        <f>折疊車出口!G26</f>
        <v>0</v>
      </c>
      <c r="F26" s="209">
        <v>0</v>
      </c>
      <c r="G26" s="94">
        <f t="shared" si="1"/>
        <v>0</v>
      </c>
      <c r="H26" s="96">
        <f t="shared" si="6"/>
        <v>0</v>
      </c>
      <c r="I26" s="97">
        <f t="shared" si="7"/>
        <v>0</v>
      </c>
      <c r="J26" s="90">
        <f t="shared" si="4"/>
        <v>0</v>
      </c>
    </row>
    <row r="27" spans="1:10">
      <c r="A27" s="543" t="s">
        <v>330</v>
      </c>
      <c r="B27" s="210">
        <f>折疊車出口!E27</f>
        <v>0</v>
      </c>
      <c r="C27" s="209">
        <v>0</v>
      </c>
      <c r="D27" s="94">
        <f t="shared" si="8"/>
        <v>0</v>
      </c>
      <c r="E27" s="210">
        <f>折疊車出口!G27</f>
        <v>0</v>
      </c>
      <c r="F27" s="209">
        <v>0</v>
      </c>
      <c r="G27" s="94">
        <f t="shared" si="1"/>
        <v>0</v>
      </c>
      <c r="H27" s="96">
        <f t="shared" si="6"/>
        <v>0</v>
      </c>
      <c r="I27" s="97">
        <f t="shared" si="7"/>
        <v>0</v>
      </c>
      <c r="J27" s="90">
        <f t="shared" si="4"/>
        <v>0</v>
      </c>
    </row>
    <row r="28" spans="1:10">
      <c r="A28" s="543" t="s">
        <v>331</v>
      </c>
      <c r="B28" s="210">
        <f>折疊車出口!E28</f>
        <v>0</v>
      </c>
      <c r="C28" s="209">
        <v>0</v>
      </c>
      <c r="D28" s="94">
        <f t="shared" si="8"/>
        <v>0</v>
      </c>
      <c r="E28" s="210">
        <f>折疊車出口!G28</f>
        <v>0</v>
      </c>
      <c r="F28" s="209">
        <v>0</v>
      </c>
      <c r="G28" s="94">
        <f t="shared" si="1"/>
        <v>0</v>
      </c>
      <c r="H28" s="96">
        <f t="shared" si="6"/>
        <v>0</v>
      </c>
      <c r="I28" s="97">
        <f t="shared" si="7"/>
        <v>0</v>
      </c>
      <c r="J28" s="90">
        <f t="shared" si="4"/>
        <v>0</v>
      </c>
    </row>
    <row r="29" spans="1:10">
      <c r="A29" s="29" t="s">
        <v>27</v>
      </c>
      <c r="B29" s="210">
        <f>折疊車出口!E29</f>
        <v>0</v>
      </c>
      <c r="C29" s="209">
        <v>0</v>
      </c>
      <c r="D29" s="94">
        <f t="shared" si="8"/>
        <v>0</v>
      </c>
      <c r="E29" s="210">
        <f>折疊車出口!G29</f>
        <v>0</v>
      </c>
      <c r="F29" s="209">
        <v>0</v>
      </c>
      <c r="G29" s="94">
        <f t="shared" si="1"/>
        <v>0</v>
      </c>
      <c r="H29" s="96">
        <f t="shared" si="6"/>
        <v>0</v>
      </c>
      <c r="I29" s="97">
        <f t="shared" si="7"/>
        <v>0</v>
      </c>
      <c r="J29" s="90">
        <f t="shared" si="4"/>
        <v>0</v>
      </c>
    </row>
    <row r="30" spans="1:10">
      <c r="A30" s="29" t="s">
        <v>28</v>
      </c>
      <c r="B30" s="210">
        <f>折疊車出口!E30</f>
        <v>0</v>
      </c>
      <c r="C30" s="209">
        <v>0</v>
      </c>
      <c r="D30" s="94">
        <f t="shared" si="8"/>
        <v>0</v>
      </c>
      <c r="E30" s="210">
        <f>折疊車出口!G30</f>
        <v>0</v>
      </c>
      <c r="F30" s="209">
        <v>0</v>
      </c>
      <c r="G30" s="94">
        <f t="shared" si="1"/>
        <v>0</v>
      </c>
      <c r="H30" s="96">
        <f t="shared" si="6"/>
        <v>0</v>
      </c>
      <c r="I30" s="97">
        <f t="shared" si="7"/>
        <v>0</v>
      </c>
      <c r="J30" s="90">
        <f t="shared" si="4"/>
        <v>0</v>
      </c>
    </row>
    <row r="31" spans="1:10">
      <c r="A31" s="29" t="s">
        <v>29</v>
      </c>
      <c r="B31" s="210">
        <f>折疊車出口!E31</f>
        <v>0</v>
      </c>
      <c r="C31" s="209">
        <v>0</v>
      </c>
      <c r="D31" s="94">
        <f t="shared" si="8"/>
        <v>0</v>
      </c>
      <c r="E31" s="210">
        <f>折疊車出口!G31</f>
        <v>0</v>
      </c>
      <c r="F31" s="209">
        <v>0</v>
      </c>
      <c r="G31" s="94">
        <f t="shared" si="1"/>
        <v>0</v>
      </c>
      <c r="H31" s="96">
        <f t="shared" si="6"/>
        <v>0</v>
      </c>
      <c r="I31" s="97">
        <f t="shared" si="7"/>
        <v>0</v>
      </c>
      <c r="J31" s="90">
        <f t="shared" si="4"/>
        <v>0</v>
      </c>
    </row>
    <row r="32" spans="1:10">
      <c r="A32" s="29" t="s">
        <v>30</v>
      </c>
      <c r="B32" s="210">
        <f>折疊車出口!E32</f>
        <v>0</v>
      </c>
      <c r="C32" s="209">
        <v>0</v>
      </c>
      <c r="D32" s="94">
        <f t="shared" si="8"/>
        <v>0</v>
      </c>
      <c r="E32" s="210">
        <f>折疊車出口!G32</f>
        <v>0</v>
      </c>
      <c r="F32" s="209">
        <v>0</v>
      </c>
      <c r="G32" s="94">
        <f t="shared" si="1"/>
        <v>0</v>
      </c>
      <c r="H32" s="96">
        <f t="shared" si="6"/>
        <v>0</v>
      </c>
      <c r="I32" s="97">
        <f t="shared" si="7"/>
        <v>0</v>
      </c>
      <c r="J32" s="90">
        <f t="shared" si="4"/>
        <v>0</v>
      </c>
    </row>
    <row r="33" spans="1:10">
      <c r="A33" s="29" t="s">
        <v>31</v>
      </c>
      <c r="B33" s="210">
        <f>折疊車出口!E33</f>
        <v>0</v>
      </c>
      <c r="C33" s="209">
        <v>0</v>
      </c>
      <c r="D33" s="94">
        <f t="shared" si="8"/>
        <v>0</v>
      </c>
      <c r="E33" s="210">
        <f>折疊車出口!G33</f>
        <v>0</v>
      </c>
      <c r="F33" s="209">
        <v>0</v>
      </c>
      <c r="G33" s="94">
        <f t="shared" si="1"/>
        <v>0</v>
      </c>
      <c r="H33" s="96">
        <f t="shared" si="6"/>
        <v>0</v>
      </c>
      <c r="I33" s="97">
        <f t="shared" si="7"/>
        <v>0</v>
      </c>
      <c r="J33" s="90">
        <f t="shared" si="4"/>
        <v>0</v>
      </c>
    </row>
    <row r="34" spans="1:10">
      <c r="A34" s="29" t="s">
        <v>32</v>
      </c>
      <c r="B34" s="210">
        <f>折疊車出口!E34</f>
        <v>0</v>
      </c>
      <c r="C34" s="209">
        <v>0</v>
      </c>
      <c r="D34" s="94">
        <f t="shared" si="8"/>
        <v>0</v>
      </c>
      <c r="E34" s="210">
        <f>折疊車出口!G34</f>
        <v>0</v>
      </c>
      <c r="F34" s="209">
        <v>0</v>
      </c>
      <c r="G34" s="94">
        <f t="shared" si="1"/>
        <v>0</v>
      </c>
      <c r="H34" s="96">
        <f t="shared" si="6"/>
        <v>0</v>
      </c>
      <c r="I34" s="97">
        <f t="shared" si="7"/>
        <v>0</v>
      </c>
      <c r="J34" s="90">
        <f t="shared" si="4"/>
        <v>0</v>
      </c>
    </row>
    <row r="35" spans="1:10">
      <c r="A35" s="29" t="s">
        <v>33</v>
      </c>
      <c r="B35" s="210">
        <f>折疊車出口!E35</f>
        <v>0</v>
      </c>
      <c r="C35" s="209">
        <v>0</v>
      </c>
      <c r="D35" s="94">
        <f t="shared" si="8"/>
        <v>0</v>
      </c>
      <c r="E35" s="210">
        <f>折疊車出口!G35</f>
        <v>0</v>
      </c>
      <c r="F35" s="209">
        <v>0</v>
      </c>
      <c r="G35" s="94">
        <f t="shared" si="1"/>
        <v>0</v>
      </c>
      <c r="H35" s="96">
        <f t="shared" si="6"/>
        <v>0</v>
      </c>
      <c r="I35" s="97">
        <f t="shared" si="7"/>
        <v>0</v>
      </c>
      <c r="J35" s="90">
        <f t="shared" si="4"/>
        <v>0</v>
      </c>
    </row>
    <row r="36" spans="1:10">
      <c r="A36" s="29" t="s">
        <v>78</v>
      </c>
      <c r="B36" s="210">
        <f>折疊車出口!E36</f>
        <v>0</v>
      </c>
      <c r="C36" s="209">
        <v>0</v>
      </c>
      <c r="D36" s="94">
        <f t="shared" si="8"/>
        <v>0</v>
      </c>
      <c r="E36" s="210">
        <f>折疊車出口!G36</f>
        <v>0</v>
      </c>
      <c r="F36" s="209">
        <v>0</v>
      </c>
      <c r="G36" s="94">
        <f t="shared" si="1"/>
        <v>0</v>
      </c>
      <c r="H36" s="96">
        <f t="shared" si="6"/>
        <v>0</v>
      </c>
      <c r="I36" s="97">
        <f t="shared" si="7"/>
        <v>0</v>
      </c>
      <c r="J36" s="90">
        <f t="shared" si="4"/>
        <v>0</v>
      </c>
    </row>
    <row r="37" spans="1:10">
      <c r="A37" s="29" t="s">
        <v>35</v>
      </c>
      <c r="B37" s="210">
        <f>折疊車出口!E37</f>
        <v>0</v>
      </c>
      <c r="C37" s="209">
        <v>0</v>
      </c>
      <c r="D37" s="94">
        <f t="shared" si="8"/>
        <v>0</v>
      </c>
      <c r="E37" s="210">
        <f>折疊車出口!G37</f>
        <v>0</v>
      </c>
      <c r="F37" s="209">
        <v>0</v>
      </c>
      <c r="G37" s="94">
        <f t="shared" si="1"/>
        <v>0</v>
      </c>
      <c r="H37" s="96">
        <f t="shared" si="6"/>
        <v>0</v>
      </c>
      <c r="I37" s="97">
        <f t="shared" si="7"/>
        <v>0</v>
      </c>
      <c r="J37" s="90">
        <f t="shared" si="4"/>
        <v>0</v>
      </c>
    </row>
    <row r="38" spans="1:10">
      <c r="A38" s="29" t="s">
        <v>36</v>
      </c>
      <c r="B38" s="210">
        <f>折疊車出口!E38</f>
        <v>0</v>
      </c>
      <c r="C38" s="209">
        <v>0</v>
      </c>
      <c r="D38" s="94">
        <f t="shared" si="8"/>
        <v>0</v>
      </c>
      <c r="E38" s="210">
        <f>折疊車出口!G38</f>
        <v>0</v>
      </c>
      <c r="F38" s="209">
        <v>0</v>
      </c>
      <c r="G38" s="94">
        <f t="shared" si="1"/>
        <v>0</v>
      </c>
      <c r="H38" s="96">
        <f t="shared" si="6"/>
        <v>0</v>
      </c>
      <c r="I38" s="97">
        <f t="shared" si="7"/>
        <v>0</v>
      </c>
      <c r="J38" s="90">
        <f t="shared" si="4"/>
        <v>0</v>
      </c>
    </row>
    <row r="39" spans="1:10">
      <c r="A39" s="29" t="s">
        <v>37</v>
      </c>
      <c r="B39" s="210">
        <f>折疊車出口!E39</f>
        <v>0</v>
      </c>
      <c r="C39" s="209">
        <v>0</v>
      </c>
      <c r="D39" s="94">
        <f t="shared" si="8"/>
        <v>0</v>
      </c>
      <c r="E39" s="210">
        <f>折疊車出口!G39</f>
        <v>0</v>
      </c>
      <c r="F39" s="209">
        <v>0</v>
      </c>
      <c r="G39" s="94">
        <f t="shared" si="1"/>
        <v>0</v>
      </c>
      <c r="H39" s="96">
        <f t="shared" si="6"/>
        <v>0</v>
      </c>
      <c r="I39" s="97">
        <f t="shared" si="7"/>
        <v>0</v>
      </c>
      <c r="J39" s="90">
        <f t="shared" si="4"/>
        <v>0</v>
      </c>
    </row>
    <row r="40" spans="1:10">
      <c r="A40" s="24"/>
      <c r="B40" s="25"/>
      <c r="C40" s="95"/>
      <c r="D40" s="94"/>
      <c r="E40" s="25"/>
      <c r="F40" s="95"/>
      <c r="G40" s="94"/>
      <c r="H40" s="96"/>
      <c r="I40" s="97"/>
      <c r="J40" s="90"/>
    </row>
    <row r="41" spans="1:10">
      <c r="A41" s="32" t="s">
        <v>38</v>
      </c>
      <c r="B41" s="31">
        <f>SUM(B42:B45)</f>
        <v>0</v>
      </c>
      <c r="C41" s="95">
        <f>SUM(C42:C45)</f>
        <v>0</v>
      </c>
      <c r="D41" s="94">
        <f t="shared" si="0"/>
        <v>0</v>
      </c>
      <c r="E41" s="31">
        <f>SUM(E42:E45)</f>
        <v>0</v>
      </c>
      <c r="F41" s="95">
        <f>SUM(F42:F45)</f>
        <v>0</v>
      </c>
      <c r="G41" s="94">
        <f t="shared" si="1"/>
        <v>0</v>
      </c>
      <c r="H41" s="96">
        <f t="shared" si="6"/>
        <v>0</v>
      </c>
      <c r="I41" s="97">
        <f t="shared" si="7"/>
        <v>0</v>
      </c>
      <c r="J41" s="90">
        <f t="shared" si="4"/>
        <v>0</v>
      </c>
    </row>
    <row r="42" spans="1:10">
      <c r="A42" s="24" t="s">
        <v>332</v>
      </c>
      <c r="B42" s="210">
        <f>折疊車出口!E42</f>
        <v>0</v>
      </c>
      <c r="C42" s="209">
        <v>0</v>
      </c>
      <c r="D42" s="94">
        <f t="shared" si="0"/>
        <v>0</v>
      </c>
      <c r="E42" s="210">
        <f>折疊車出口!G42</f>
        <v>0</v>
      </c>
      <c r="F42" s="209">
        <v>0</v>
      </c>
      <c r="G42" s="94">
        <f t="shared" si="1"/>
        <v>0</v>
      </c>
      <c r="H42" s="96">
        <f t="shared" si="6"/>
        <v>0</v>
      </c>
      <c r="I42" s="97">
        <f t="shared" si="7"/>
        <v>0</v>
      </c>
      <c r="J42" s="90">
        <f t="shared" si="4"/>
        <v>0</v>
      </c>
    </row>
    <row r="43" spans="1:10">
      <c r="A43" s="24" t="s">
        <v>333</v>
      </c>
      <c r="B43" s="210">
        <f>折疊車出口!E43</f>
        <v>0</v>
      </c>
      <c r="C43" s="209">
        <v>0</v>
      </c>
      <c r="D43" s="94">
        <f t="shared" ref="D43:D45" si="9">IF(C43,(B43-C43)/C43,0)</f>
        <v>0</v>
      </c>
      <c r="E43" s="210">
        <f>折疊車出口!G43</f>
        <v>0</v>
      </c>
      <c r="F43" s="209">
        <v>0</v>
      </c>
      <c r="G43" s="94">
        <f t="shared" si="1"/>
        <v>0</v>
      </c>
      <c r="H43" s="96">
        <f t="shared" si="6"/>
        <v>0</v>
      </c>
      <c r="I43" s="97">
        <f t="shared" si="7"/>
        <v>0</v>
      </c>
      <c r="J43" s="90">
        <f t="shared" si="4"/>
        <v>0</v>
      </c>
    </row>
    <row r="44" spans="1:10">
      <c r="A44" s="24" t="s">
        <v>334</v>
      </c>
      <c r="B44" s="210">
        <f>折疊車出口!E44</f>
        <v>0</v>
      </c>
      <c r="C44" s="209">
        <v>0</v>
      </c>
      <c r="D44" s="94">
        <f t="shared" si="9"/>
        <v>0</v>
      </c>
      <c r="E44" s="210">
        <f>折疊車出口!G44</f>
        <v>0</v>
      </c>
      <c r="F44" s="209">
        <v>0</v>
      </c>
      <c r="G44" s="94">
        <f t="shared" si="1"/>
        <v>0</v>
      </c>
      <c r="H44" s="96">
        <f t="shared" si="6"/>
        <v>0</v>
      </c>
      <c r="I44" s="97">
        <f t="shared" si="7"/>
        <v>0</v>
      </c>
      <c r="J44" s="90">
        <f t="shared" si="4"/>
        <v>0</v>
      </c>
    </row>
    <row r="45" spans="1:10">
      <c r="A45" s="29" t="s">
        <v>42</v>
      </c>
      <c r="B45" s="210">
        <f>折疊車出口!E45</f>
        <v>0</v>
      </c>
      <c r="C45" s="209">
        <v>0</v>
      </c>
      <c r="D45" s="94">
        <f t="shared" si="9"/>
        <v>0</v>
      </c>
      <c r="E45" s="210">
        <f>折疊車出口!G45</f>
        <v>0</v>
      </c>
      <c r="F45" s="209">
        <v>0</v>
      </c>
      <c r="G45" s="94">
        <f t="shared" si="1"/>
        <v>0</v>
      </c>
      <c r="H45" s="96">
        <f t="shared" si="6"/>
        <v>0</v>
      </c>
      <c r="I45" s="97">
        <f t="shared" si="7"/>
        <v>0</v>
      </c>
      <c r="J45" s="90">
        <f t="shared" si="4"/>
        <v>0</v>
      </c>
    </row>
    <row r="46" spans="1:10">
      <c r="A46" s="29"/>
      <c r="B46" s="25"/>
      <c r="C46" s="95"/>
      <c r="D46" s="94"/>
      <c r="E46" s="25"/>
      <c r="F46" s="95"/>
      <c r="G46" s="94"/>
      <c r="H46" s="96"/>
      <c r="I46" s="97"/>
      <c r="J46" s="90"/>
    </row>
    <row r="47" spans="1:10">
      <c r="A47" s="29" t="s">
        <v>43</v>
      </c>
      <c r="B47" s="31">
        <f>SUM(B48:B66)</f>
        <v>264</v>
      </c>
      <c r="C47" s="95">
        <f>SUM(C48:C66)</f>
        <v>400</v>
      </c>
      <c r="D47" s="94">
        <f t="shared" si="0"/>
        <v>-0.34</v>
      </c>
      <c r="E47" s="31">
        <f>SUM(E48:E66)</f>
        <v>247479</v>
      </c>
      <c r="F47" s="95">
        <f>SUM(F48:F66)</f>
        <v>154715</v>
      </c>
      <c r="G47" s="94">
        <f t="shared" si="1"/>
        <v>0.59957987266910129</v>
      </c>
      <c r="H47" s="96">
        <f t="shared" si="6"/>
        <v>937.4204545454545</v>
      </c>
      <c r="I47" s="97">
        <f t="shared" si="7"/>
        <v>386.78750000000002</v>
      </c>
      <c r="J47" s="90">
        <f t="shared" si="4"/>
        <v>1.4236058676804562</v>
      </c>
    </row>
    <row r="48" spans="1:10">
      <c r="A48" s="24" t="s">
        <v>324</v>
      </c>
      <c r="B48" s="210">
        <f>折疊車出口!E48</f>
        <v>0</v>
      </c>
      <c r="C48" s="209">
        <v>0</v>
      </c>
      <c r="D48" s="94">
        <f t="shared" si="0"/>
        <v>0</v>
      </c>
      <c r="E48" s="210">
        <f>折疊車出口!G48</f>
        <v>0</v>
      </c>
      <c r="F48" s="209">
        <v>0</v>
      </c>
      <c r="G48" s="94">
        <f t="shared" si="1"/>
        <v>0</v>
      </c>
      <c r="H48" s="96">
        <f t="shared" si="6"/>
        <v>0</v>
      </c>
      <c r="I48" s="97">
        <f t="shared" si="7"/>
        <v>0</v>
      </c>
      <c r="J48" s="90">
        <f t="shared" si="4"/>
        <v>0</v>
      </c>
    </row>
    <row r="49" spans="1:10">
      <c r="A49" s="24" t="s">
        <v>335</v>
      </c>
      <c r="B49" s="210">
        <f>折疊車出口!E49</f>
        <v>55</v>
      </c>
      <c r="C49" s="209">
        <v>0</v>
      </c>
      <c r="D49" s="94">
        <f t="shared" ref="D49:D66" si="10">IF(C49,(B49-C49)/C49,0)</f>
        <v>0</v>
      </c>
      <c r="E49" s="210">
        <f>折疊車出口!G49</f>
        <v>19544</v>
      </c>
      <c r="F49" s="209">
        <v>0</v>
      </c>
      <c r="G49" s="94">
        <f t="shared" si="1"/>
        <v>0</v>
      </c>
      <c r="H49" s="96">
        <f t="shared" si="6"/>
        <v>355.34545454545457</v>
      </c>
      <c r="I49" s="97">
        <f t="shared" si="7"/>
        <v>0</v>
      </c>
      <c r="J49" s="90">
        <f t="shared" si="4"/>
        <v>0</v>
      </c>
    </row>
    <row r="50" spans="1:10">
      <c r="A50" s="545" t="s">
        <v>341</v>
      </c>
      <c r="B50" s="210">
        <f>折疊車出口!E50</f>
        <v>0</v>
      </c>
      <c r="C50" s="209">
        <v>0</v>
      </c>
      <c r="D50" s="94">
        <f t="shared" si="10"/>
        <v>0</v>
      </c>
      <c r="E50" s="210">
        <f>折疊車出口!G50</f>
        <v>0</v>
      </c>
      <c r="F50" s="209">
        <v>0</v>
      </c>
      <c r="G50" s="94">
        <f t="shared" si="1"/>
        <v>0</v>
      </c>
      <c r="H50" s="96">
        <f t="shared" si="6"/>
        <v>0</v>
      </c>
      <c r="I50" s="97">
        <f t="shared" si="7"/>
        <v>0</v>
      </c>
      <c r="J50" s="90">
        <f t="shared" si="4"/>
        <v>0</v>
      </c>
    </row>
    <row r="51" spans="1:10">
      <c r="A51" s="24" t="s">
        <v>336</v>
      </c>
      <c r="B51" s="210">
        <f>折疊車出口!E51</f>
        <v>0</v>
      </c>
      <c r="C51" s="209">
        <v>0</v>
      </c>
      <c r="D51" s="94">
        <f t="shared" si="10"/>
        <v>0</v>
      </c>
      <c r="E51" s="210">
        <f>折疊車出口!G51</f>
        <v>0</v>
      </c>
      <c r="F51" s="209">
        <v>0</v>
      </c>
      <c r="G51" s="94">
        <f t="shared" si="1"/>
        <v>0</v>
      </c>
      <c r="H51" s="96">
        <f t="shared" si="6"/>
        <v>0</v>
      </c>
      <c r="I51" s="97">
        <f t="shared" si="7"/>
        <v>0</v>
      </c>
      <c r="J51" s="90">
        <f t="shared" si="4"/>
        <v>0</v>
      </c>
    </row>
    <row r="52" spans="1:10">
      <c r="A52" s="29" t="s">
        <v>47</v>
      </c>
      <c r="B52" s="210">
        <f>折疊車出口!E52</f>
        <v>0</v>
      </c>
      <c r="C52" s="209">
        <v>0</v>
      </c>
      <c r="D52" s="94">
        <f t="shared" si="10"/>
        <v>0</v>
      </c>
      <c r="E52" s="210">
        <f>折疊車出口!G52</f>
        <v>0</v>
      </c>
      <c r="F52" s="209">
        <v>0</v>
      </c>
      <c r="G52" s="94">
        <f t="shared" si="1"/>
        <v>0</v>
      </c>
      <c r="H52" s="96">
        <f t="shared" si="6"/>
        <v>0</v>
      </c>
      <c r="I52" s="97">
        <f t="shared" si="7"/>
        <v>0</v>
      </c>
      <c r="J52" s="90">
        <f t="shared" si="4"/>
        <v>0</v>
      </c>
    </row>
    <row r="53" spans="1:10">
      <c r="A53" s="24" t="s">
        <v>337</v>
      </c>
      <c r="B53" s="210">
        <f>折疊車出口!E53</f>
        <v>0</v>
      </c>
      <c r="C53" s="209">
        <v>0</v>
      </c>
      <c r="D53" s="94">
        <f t="shared" si="10"/>
        <v>0</v>
      </c>
      <c r="E53" s="210">
        <f>折疊車出口!G53</f>
        <v>0</v>
      </c>
      <c r="F53" s="209">
        <v>0</v>
      </c>
      <c r="G53" s="94">
        <f t="shared" si="1"/>
        <v>0</v>
      </c>
      <c r="H53" s="96">
        <f t="shared" si="6"/>
        <v>0</v>
      </c>
      <c r="I53" s="97">
        <f t="shared" si="7"/>
        <v>0</v>
      </c>
      <c r="J53" s="90">
        <f t="shared" si="4"/>
        <v>0</v>
      </c>
    </row>
    <row r="54" spans="1:10">
      <c r="A54" s="29" t="s">
        <v>49</v>
      </c>
      <c r="B54" s="210">
        <f>折疊車出口!E54</f>
        <v>0</v>
      </c>
      <c r="C54" s="209">
        <v>0</v>
      </c>
      <c r="D54" s="94">
        <f t="shared" si="10"/>
        <v>0</v>
      </c>
      <c r="E54" s="210">
        <f>折疊車出口!G54</f>
        <v>0</v>
      </c>
      <c r="F54" s="209">
        <v>0</v>
      </c>
      <c r="G54" s="94">
        <f t="shared" si="1"/>
        <v>0</v>
      </c>
      <c r="H54" s="96">
        <f t="shared" si="6"/>
        <v>0</v>
      </c>
      <c r="I54" s="97">
        <f t="shared" si="7"/>
        <v>0</v>
      </c>
      <c r="J54" s="90">
        <f t="shared" si="4"/>
        <v>0</v>
      </c>
    </row>
    <row r="55" spans="1:10">
      <c r="A55" s="29" t="s">
        <v>50</v>
      </c>
      <c r="B55" s="210">
        <f>折疊車出口!E55</f>
        <v>0</v>
      </c>
      <c r="C55" s="209">
        <v>0</v>
      </c>
      <c r="D55" s="94">
        <f t="shared" si="10"/>
        <v>0</v>
      </c>
      <c r="E55" s="210">
        <f>折疊車出口!G55</f>
        <v>0</v>
      </c>
      <c r="F55" s="209">
        <v>0</v>
      </c>
      <c r="G55" s="94">
        <f t="shared" si="1"/>
        <v>0</v>
      </c>
      <c r="H55" s="96">
        <f t="shared" si="6"/>
        <v>0</v>
      </c>
      <c r="I55" s="97">
        <f t="shared" si="7"/>
        <v>0</v>
      </c>
      <c r="J55" s="90">
        <f t="shared" si="4"/>
        <v>0</v>
      </c>
    </row>
    <row r="56" spans="1:10">
      <c r="A56" s="29" t="s">
        <v>51</v>
      </c>
      <c r="B56" s="210">
        <f>折疊車出口!E56</f>
        <v>29</v>
      </c>
      <c r="C56" s="209">
        <v>0</v>
      </c>
      <c r="D56" s="94">
        <f t="shared" si="10"/>
        <v>0</v>
      </c>
      <c r="E56" s="210">
        <f>折疊車出口!G56</f>
        <v>31938</v>
      </c>
      <c r="F56" s="209">
        <v>0</v>
      </c>
      <c r="G56" s="94">
        <f t="shared" si="1"/>
        <v>0</v>
      </c>
      <c r="H56" s="96">
        <f t="shared" si="6"/>
        <v>1101.3103448275863</v>
      </c>
      <c r="I56" s="97">
        <f t="shared" si="7"/>
        <v>0</v>
      </c>
      <c r="J56" s="90">
        <f t="shared" si="4"/>
        <v>0</v>
      </c>
    </row>
    <row r="57" spans="1:10">
      <c r="A57" s="544" t="s">
        <v>340</v>
      </c>
      <c r="B57" s="210">
        <f>折疊車出口!E57</f>
        <v>140</v>
      </c>
      <c r="C57" s="209">
        <v>0</v>
      </c>
      <c r="D57" s="94">
        <f t="shared" si="10"/>
        <v>0</v>
      </c>
      <c r="E57" s="210">
        <f>折疊車出口!G57</f>
        <v>148018</v>
      </c>
      <c r="F57" s="209">
        <v>0</v>
      </c>
      <c r="G57" s="94">
        <f t="shared" si="1"/>
        <v>0</v>
      </c>
      <c r="H57" s="96">
        <f t="shared" si="6"/>
        <v>1057.2714285714285</v>
      </c>
      <c r="I57" s="97">
        <f t="shared" si="7"/>
        <v>0</v>
      </c>
      <c r="J57" s="90">
        <f t="shared" si="4"/>
        <v>0</v>
      </c>
    </row>
    <row r="58" spans="1:10">
      <c r="A58" s="543" t="s">
        <v>347</v>
      </c>
      <c r="B58" s="210">
        <f>折疊車出口!E58</f>
        <v>40</v>
      </c>
      <c r="C58" s="209">
        <v>0</v>
      </c>
      <c r="D58" s="94">
        <f t="shared" si="10"/>
        <v>0</v>
      </c>
      <c r="E58" s="210">
        <f>折疊車出口!G58</f>
        <v>47979</v>
      </c>
      <c r="F58" s="209">
        <v>0</v>
      </c>
      <c r="G58" s="94">
        <f t="shared" si="1"/>
        <v>0</v>
      </c>
      <c r="H58" s="96">
        <f t="shared" si="6"/>
        <v>1199.4749999999999</v>
      </c>
      <c r="I58" s="97">
        <f t="shared" si="7"/>
        <v>0</v>
      </c>
      <c r="J58" s="90">
        <f t="shared" si="4"/>
        <v>0</v>
      </c>
    </row>
    <row r="59" spans="1:10">
      <c r="A59" s="29" t="s">
        <v>52</v>
      </c>
      <c r="B59" s="210">
        <f>折疊車出口!E59</f>
        <v>0</v>
      </c>
      <c r="C59" s="209">
        <v>400</v>
      </c>
      <c r="D59" s="94">
        <f t="shared" si="10"/>
        <v>-1</v>
      </c>
      <c r="E59" s="210">
        <f>折疊車出口!G59</f>
        <v>0</v>
      </c>
      <c r="F59" s="209">
        <v>154715</v>
      </c>
      <c r="G59" s="94">
        <f t="shared" si="1"/>
        <v>-1</v>
      </c>
      <c r="H59" s="96">
        <f t="shared" si="6"/>
        <v>0</v>
      </c>
      <c r="I59" s="97">
        <f t="shared" si="7"/>
        <v>386.78750000000002</v>
      </c>
      <c r="J59" s="90">
        <f t="shared" si="4"/>
        <v>-1</v>
      </c>
    </row>
    <row r="60" spans="1:10">
      <c r="A60" s="29" t="s">
        <v>53</v>
      </c>
      <c r="B60" s="210">
        <f>折疊車出口!E60</f>
        <v>0</v>
      </c>
      <c r="C60" s="209">
        <v>0</v>
      </c>
      <c r="D60" s="94">
        <f t="shared" si="10"/>
        <v>0</v>
      </c>
      <c r="E60" s="210">
        <f>折疊車出口!G60</f>
        <v>0</v>
      </c>
      <c r="F60" s="209">
        <v>0</v>
      </c>
      <c r="G60" s="94">
        <f t="shared" si="1"/>
        <v>0</v>
      </c>
      <c r="H60" s="96">
        <f t="shared" si="6"/>
        <v>0</v>
      </c>
      <c r="I60" s="97">
        <f t="shared" si="7"/>
        <v>0</v>
      </c>
      <c r="J60" s="90">
        <f t="shared" si="4"/>
        <v>0</v>
      </c>
    </row>
    <row r="61" spans="1:10">
      <c r="A61" s="29" t="s">
        <v>54</v>
      </c>
      <c r="B61" s="210">
        <f>折疊車出口!E61</f>
        <v>0</v>
      </c>
      <c r="C61" s="209">
        <v>0</v>
      </c>
      <c r="D61" s="94">
        <f t="shared" si="10"/>
        <v>0</v>
      </c>
      <c r="E61" s="210">
        <f>折疊車出口!G61</f>
        <v>0</v>
      </c>
      <c r="F61" s="209">
        <v>0</v>
      </c>
      <c r="G61" s="94">
        <f t="shared" si="1"/>
        <v>0</v>
      </c>
      <c r="H61" s="96">
        <f t="shared" si="6"/>
        <v>0</v>
      </c>
      <c r="I61" s="97">
        <f t="shared" si="7"/>
        <v>0</v>
      </c>
      <c r="J61" s="90">
        <f t="shared" si="4"/>
        <v>0</v>
      </c>
    </row>
    <row r="62" spans="1:10">
      <c r="A62" s="543" t="s">
        <v>338</v>
      </c>
      <c r="B62" s="210">
        <f>折疊車出口!E62</f>
        <v>0</v>
      </c>
      <c r="C62" s="209">
        <v>0</v>
      </c>
      <c r="D62" s="94">
        <f t="shared" si="10"/>
        <v>0</v>
      </c>
      <c r="E62" s="210">
        <f>折疊車出口!G62</f>
        <v>0</v>
      </c>
      <c r="F62" s="209">
        <v>0</v>
      </c>
      <c r="G62" s="94">
        <f t="shared" si="1"/>
        <v>0</v>
      </c>
      <c r="H62" s="96">
        <f t="shared" si="6"/>
        <v>0</v>
      </c>
      <c r="I62" s="97">
        <f t="shared" si="7"/>
        <v>0</v>
      </c>
      <c r="J62" s="90">
        <f t="shared" si="4"/>
        <v>0</v>
      </c>
    </row>
    <row r="63" spans="1:10">
      <c r="A63" s="29" t="s">
        <v>55</v>
      </c>
      <c r="B63" s="210">
        <f>折疊車出口!E63</f>
        <v>0</v>
      </c>
      <c r="C63" s="209">
        <v>0</v>
      </c>
      <c r="D63" s="94">
        <f t="shared" si="10"/>
        <v>0</v>
      </c>
      <c r="E63" s="210">
        <f>折疊車出口!G63</f>
        <v>0</v>
      </c>
      <c r="F63" s="209">
        <v>0</v>
      </c>
      <c r="G63" s="94">
        <f t="shared" si="1"/>
        <v>0</v>
      </c>
      <c r="H63" s="96">
        <f t="shared" si="6"/>
        <v>0</v>
      </c>
      <c r="I63" s="97">
        <f t="shared" si="7"/>
        <v>0</v>
      </c>
      <c r="J63" s="90">
        <f t="shared" si="4"/>
        <v>0</v>
      </c>
    </row>
    <row r="64" spans="1:10">
      <c r="A64" s="543" t="s">
        <v>101</v>
      </c>
      <c r="B64" s="210">
        <f>折疊車出口!E64</f>
        <v>0</v>
      </c>
      <c r="C64" s="209">
        <v>0</v>
      </c>
      <c r="D64" s="94">
        <f t="shared" si="10"/>
        <v>0</v>
      </c>
      <c r="E64" s="210">
        <f>折疊車出口!G64</f>
        <v>0</v>
      </c>
      <c r="F64" s="209">
        <v>0</v>
      </c>
      <c r="G64" s="94">
        <f t="shared" si="1"/>
        <v>0</v>
      </c>
      <c r="H64" s="96">
        <f t="shared" si="6"/>
        <v>0</v>
      </c>
      <c r="I64" s="97">
        <f t="shared" si="7"/>
        <v>0</v>
      </c>
      <c r="J64" s="90">
        <f t="shared" si="4"/>
        <v>0</v>
      </c>
    </row>
    <row r="65" spans="1:10">
      <c r="A65" s="29" t="s">
        <v>56</v>
      </c>
      <c r="B65" s="210">
        <f>折疊車出口!E65</f>
        <v>0</v>
      </c>
      <c r="C65" s="209">
        <v>0</v>
      </c>
      <c r="D65" s="94">
        <f t="shared" si="10"/>
        <v>0</v>
      </c>
      <c r="E65" s="210">
        <f>折疊車出口!G65</f>
        <v>0</v>
      </c>
      <c r="F65" s="209">
        <v>0</v>
      </c>
      <c r="G65" s="94">
        <f t="shared" si="1"/>
        <v>0</v>
      </c>
      <c r="H65" s="96">
        <f t="shared" si="6"/>
        <v>0</v>
      </c>
      <c r="I65" s="97">
        <f t="shared" si="7"/>
        <v>0</v>
      </c>
      <c r="J65" s="90">
        <f t="shared" si="4"/>
        <v>0</v>
      </c>
    </row>
    <row r="66" spans="1:10">
      <c r="A66" s="543" t="s">
        <v>339</v>
      </c>
      <c r="B66" s="210">
        <f>折疊車出口!E66</f>
        <v>0</v>
      </c>
      <c r="C66" s="209">
        <v>0</v>
      </c>
      <c r="D66" s="94">
        <f t="shared" si="10"/>
        <v>0</v>
      </c>
      <c r="E66" s="210">
        <f>折疊車出口!G66</f>
        <v>0</v>
      </c>
      <c r="F66" s="209">
        <v>0</v>
      </c>
      <c r="G66" s="94">
        <f t="shared" si="1"/>
        <v>0</v>
      </c>
      <c r="H66" s="96">
        <f t="shared" si="6"/>
        <v>0</v>
      </c>
      <c r="I66" s="97">
        <f t="shared" si="7"/>
        <v>0</v>
      </c>
      <c r="J66" s="90">
        <f t="shared" si="4"/>
        <v>0</v>
      </c>
    </row>
    <row r="67" spans="1:10">
      <c r="A67" s="29" t="s">
        <v>57</v>
      </c>
      <c r="B67" s="25">
        <f>B68-B47-B41-B12-B7</f>
        <v>17</v>
      </c>
      <c r="C67" s="209">
        <f>C68-C47-C41-C12-C7</f>
        <v>1</v>
      </c>
      <c r="D67" s="94">
        <f t="shared" si="0"/>
        <v>16</v>
      </c>
      <c r="E67" s="210">
        <f>E68-E7-E12-E41-E47</f>
        <v>20552</v>
      </c>
      <c r="F67" s="95">
        <f>F68-F47-F41-F12-F7</f>
        <v>122</v>
      </c>
      <c r="G67" s="94">
        <f t="shared" si="1"/>
        <v>167.45901639344262</v>
      </c>
      <c r="H67" s="96">
        <f t="shared" si="6"/>
        <v>1208.9411764705883</v>
      </c>
      <c r="I67" s="97">
        <f t="shared" si="7"/>
        <v>122</v>
      </c>
      <c r="J67" s="90">
        <f t="shared" si="4"/>
        <v>8.9093539054966246</v>
      </c>
    </row>
    <row r="68" spans="1:10">
      <c r="A68" s="30" t="s">
        <v>398</v>
      </c>
      <c r="B68" s="210">
        <f>折疊車出口!E68</f>
        <v>398</v>
      </c>
      <c r="C68" s="209">
        <v>498</v>
      </c>
      <c r="D68" s="211">
        <f t="shared" ref="D68" si="11">(B68-C68)/C68</f>
        <v>-0.20080321285140562</v>
      </c>
      <c r="E68" s="210">
        <f>折疊車出口!G68</f>
        <v>329513</v>
      </c>
      <c r="F68" s="209">
        <v>195270</v>
      </c>
      <c r="G68" s="212">
        <f t="shared" ref="G68" si="12">(E68-F68)/F68</f>
        <v>0.68747375428893331</v>
      </c>
      <c r="H68" s="96">
        <f t="shared" ref="H68" si="13">E68/B68</f>
        <v>827.9221105527638</v>
      </c>
      <c r="I68" s="97">
        <f t="shared" ref="I68" si="14">F68/C68</f>
        <v>392.10843373493975</v>
      </c>
      <c r="J68" s="211">
        <f t="shared" ref="J68" si="15">(H68-I68)/I68</f>
        <v>1.1114621347635396</v>
      </c>
    </row>
    <row r="69" spans="1:10">
      <c r="A69" s="57" t="s">
        <v>75</v>
      </c>
      <c r="B69" s="3"/>
      <c r="C69" s="35"/>
      <c r="D69" s="3"/>
      <c r="E69" s="3"/>
      <c r="F69" s="3"/>
      <c r="G69" s="3"/>
      <c r="H69" s="3"/>
      <c r="I69" s="3"/>
      <c r="J69" s="3"/>
    </row>
    <row r="70" spans="1:10">
      <c r="A70" s="60" t="s">
        <v>60</v>
      </c>
      <c r="B70" s="61"/>
      <c r="C70" s="62"/>
      <c r="D70" s="64"/>
      <c r="E70" s="61"/>
      <c r="F70" s="62"/>
      <c r="G70" s="64"/>
      <c r="H70" s="60"/>
      <c r="I70" s="60"/>
      <c r="J70" s="60"/>
    </row>
  </sheetData>
  <mergeCells count="1">
    <mergeCell ref="A3:J3"/>
  </mergeCells>
  <phoneticPr fontId="3" type="noConversion"/>
  <conditionalFormatting sqref="D1:D3 D6:D1048576 G6:G1048576 J6:J1048576">
    <cfRule type="cellIs" dxfId="33" priority="11" operator="greaterThanOrEqual">
      <formula>0</formula>
    </cfRule>
  </conditionalFormatting>
  <conditionalFormatting sqref="D1:D4">
    <cfRule type="cellIs" dxfId="32" priority="5" operator="lessThan">
      <formula>0</formula>
    </cfRule>
  </conditionalFormatting>
  <conditionalFormatting sqref="D6:D1048576 G6:G1048576 J6:J1048576">
    <cfRule type="cellIs" dxfId="31" priority="12" operator="lessThan">
      <formula>0</formula>
    </cfRule>
  </conditionalFormatting>
  <conditionalFormatting sqref="G1:G4">
    <cfRule type="cellIs" dxfId="30" priority="3" operator="greaterThanOrEqual">
      <formula>0</formula>
    </cfRule>
    <cfRule type="cellIs" dxfId="29" priority="4" operator="lessThan">
      <formula>0</formula>
    </cfRule>
  </conditionalFormatting>
  <conditionalFormatting sqref="J1:J4">
    <cfRule type="cellIs" dxfId="28" priority="1" operator="greaterThanOrEqual">
      <formula>0</formula>
    </cfRule>
    <cfRule type="cellIs" dxfId="27" priority="2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45"/>
  <sheetViews>
    <sheetView zoomScaleNormal="100" workbookViewId="0">
      <selection activeCell="A2" sqref="A2"/>
    </sheetView>
  </sheetViews>
  <sheetFormatPr defaultRowHeight="16.5"/>
  <cols>
    <col min="1" max="1" width="14.625" customWidth="1"/>
    <col min="2" max="2" width="28.875" customWidth="1"/>
    <col min="3" max="3" width="15.125" customWidth="1"/>
    <col min="4" max="4" width="14.625" customWidth="1"/>
    <col min="5" max="5" width="14" customWidth="1"/>
    <col min="6" max="6" width="16.375" customWidth="1"/>
    <col min="7" max="7" width="17.75" customWidth="1"/>
    <col min="8" max="8" width="16.125" customWidth="1"/>
    <col min="9" max="9" width="15.75" customWidth="1"/>
    <col min="10" max="10" width="14.125" customWidth="1"/>
  </cols>
  <sheetData>
    <row r="1" spans="1:10" ht="19.5">
      <c r="A1" s="777" t="s">
        <v>486</v>
      </c>
      <c r="B1" s="777"/>
      <c r="C1" s="777"/>
      <c r="D1" s="777"/>
      <c r="E1" s="777"/>
      <c r="F1" s="777"/>
      <c r="G1" s="777"/>
      <c r="H1" s="777"/>
      <c r="I1" s="777"/>
      <c r="J1" s="777"/>
    </row>
    <row r="2" spans="1:10">
      <c r="A2" s="213"/>
      <c r="B2" s="4"/>
      <c r="C2" s="214"/>
      <c r="D2" s="214"/>
      <c r="E2" s="214"/>
      <c r="F2" s="214"/>
      <c r="G2" s="214"/>
      <c r="H2" s="214"/>
      <c r="I2" s="4"/>
      <c r="J2" s="4"/>
    </row>
    <row r="3" spans="1:10">
      <c r="A3" s="215" t="s">
        <v>109</v>
      </c>
      <c r="B3" s="216" t="s">
        <v>110</v>
      </c>
      <c r="C3" s="531" t="s">
        <v>487</v>
      </c>
      <c r="D3" s="217" t="s">
        <v>488</v>
      </c>
      <c r="E3" s="218" t="s">
        <v>111</v>
      </c>
      <c r="F3" s="219" t="s">
        <v>490</v>
      </c>
      <c r="G3" s="530" t="s">
        <v>489</v>
      </c>
      <c r="H3" s="218" t="s">
        <v>112</v>
      </c>
      <c r="I3" s="220" t="s">
        <v>113</v>
      </c>
      <c r="J3" s="220" t="s">
        <v>114</v>
      </c>
    </row>
    <row r="4" spans="1:10">
      <c r="A4" s="221"/>
      <c r="B4" s="222"/>
      <c r="C4" s="223" t="s">
        <v>4</v>
      </c>
      <c r="D4" s="224" t="s">
        <v>6</v>
      </c>
      <c r="E4" s="225"/>
      <c r="F4" s="226" t="s">
        <v>5</v>
      </c>
      <c r="G4" s="227" t="s">
        <v>5</v>
      </c>
      <c r="H4" s="228" t="s">
        <v>5</v>
      </c>
      <c r="I4" s="229" t="s">
        <v>5</v>
      </c>
      <c r="J4" s="230" t="s">
        <v>5</v>
      </c>
    </row>
    <row r="5" spans="1:10">
      <c r="A5" s="231" t="s">
        <v>115</v>
      </c>
      <c r="B5" s="232" t="s">
        <v>116</v>
      </c>
      <c r="C5">
        <v>8</v>
      </c>
      <c r="D5" s="234">
        <v>5903</v>
      </c>
      <c r="E5" s="628">
        <f t="shared" ref="E5:E11" si="0">C5-D5</f>
        <v>-5895</v>
      </c>
      <c r="F5" s="233">
        <v>10611</v>
      </c>
      <c r="G5" s="234">
        <v>340831</v>
      </c>
      <c r="H5" s="236">
        <f t="shared" ref="H5:H11" si="1">F5-G5</f>
        <v>-330220</v>
      </c>
      <c r="I5" s="33">
        <f t="shared" ref="I5" si="2">F5/C5</f>
        <v>1326.375</v>
      </c>
      <c r="J5" s="33">
        <f>G5/D5</f>
        <v>57.738607487718106</v>
      </c>
    </row>
    <row r="6" spans="1:10">
      <c r="A6" s="237" t="s">
        <v>117</v>
      </c>
      <c r="B6" s="238" t="s">
        <v>118</v>
      </c>
      <c r="C6" s="233">
        <v>0</v>
      </c>
      <c r="D6" s="234">
        <v>1861</v>
      </c>
      <c r="E6" s="235">
        <f t="shared" si="0"/>
        <v>-1861</v>
      </c>
      <c r="F6" s="233">
        <v>0</v>
      </c>
      <c r="G6" s="234">
        <v>230249</v>
      </c>
      <c r="H6" s="236">
        <f>F6-G7</f>
        <v>-102694</v>
      </c>
      <c r="I6" s="33">
        <f>IF(C6,F6/C6,0)</f>
        <v>0</v>
      </c>
      <c r="J6" s="33">
        <f t="shared" ref="J6:J10" si="3">G6/D6</f>
        <v>123.72326706072005</v>
      </c>
    </row>
    <row r="7" spans="1:10">
      <c r="A7" s="231" t="s">
        <v>119</v>
      </c>
      <c r="B7" s="239" t="s">
        <v>120</v>
      </c>
      <c r="C7" s="233">
        <v>0</v>
      </c>
      <c r="D7" s="234">
        <v>2104</v>
      </c>
      <c r="E7" s="236">
        <f t="shared" si="0"/>
        <v>-2104</v>
      </c>
      <c r="F7" s="233">
        <v>0</v>
      </c>
      <c r="G7" s="234">
        <v>102694</v>
      </c>
      <c r="H7" s="236">
        <f>F7-G8</f>
        <v>-331674</v>
      </c>
      <c r="I7" s="33">
        <f>IF(C7,F7/C7,0)</f>
        <v>0</v>
      </c>
      <c r="J7" s="33">
        <f t="shared" si="3"/>
        <v>48.808935361216733</v>
      </c>
    </row>
    <row r="8" spans="1:10">
      <c r="A8" s="231" t="s">
        <v>121</v>
      </c>
      <c r="B8" s="239" t="s">
        <v>122</v>
      </c>
      <c r="C8" s="233">
        <v>0</v>
      </c>
      <c r="D8" s="234">
        <v>2655</v>
      </c>
      <c r="E8" s="235">
        <f t="shared" si="0"/>
        <v>-2655</v>
      </c>
      <c r="F8" s="233">
        <v>0</v>
      </c>
      <c r="G8" s="234">
        <v>331674</v>
      </c>
      <c r="H8" s="241">
        <f t="shared" si="1"/>
        <v>-331674</v>
      </c>
      <c r="I8" s="33">
        <f t="shared" ref="I8:I10" si="4">IF(C8,F8/C8,0)</f>
        <v>0</v>
      </c>
      <c r="J8" s="33">
        <f t="shared" si="3"/>
        <v>124.92429378531074</v>
      </c>
    </row>
    <row r="9" spans="1:10">
      <c r="A9" s="231" t="s">
        <v>123</v>
      </c>
      <c r="B9" s="239" t="s">
        <v>124</v>
      </c>
      <c r="C9" s="233">
        <v>84</v>
      </c>
      <c r="D9" s="234">
        <v>1518</v>
      </c>
      <c r="E9" s="236">
        <f t="shared" si="0"/>
        <v>-1434</v>
      </c>
      <c r="F9" s="233">
        <v>137123</v>
      </c>
      <c r="G9" s="234">
        <v>166583</v>
      </c>
      <c r="H9" s="236">
        <f t="shared" si="1"/>
        <v>-29460</v>
      </c>
      <c r="I9" s="33">
        <f t="shared" si="4"/>
        <v>1632.4166666666667</v>
      </c>
      <c r="J9" s="33">
        <f t="shared" si="3"/>
        <v>109.73847167325428</v>
      </c>
    </row>
    <row r="10" spans="1:10">
      <c r="A10" s="231" t="s">
        <v>125</v>
      </c>
      <c r="B10" s="239" t="s">
        <v>126</v>
      </c>
      <c r="C10" s="233">
        <v>285</v>
      </c>
      <c r="D10" s="234">
        <v>879</v>
      </c>
      <c r="E10" s="236">
        <f t="shared" si="0"/>
        <v>-594</v>
      </c>
      <c r="F10" s="233">
        <v>687679</v>
      </c>
      <c r="G10" s="234">
        <v>337946</v>
      </c>
      <c r="H10" s="236">
        <f>F10-G10</f>
        <v>349733</v>
      </c>
      <c r="I10" s="33">
        <f t="shared" si="4"/>
        <v>2412.9087719298245</v>
      </c>
      <c r="J10" s="33">
        <f t="shared" si="3"/>
        <v>384.46643913538111</v>
      </c>
    </row>
    <row r="11" spans="1:10" ht="20.25" thickBot="1">
      <c r="A11" s="242" t="s">
        <v>127</v>
      </c>
      <c r="B11" s="243" t="s">
        <v>128</v>
      </c>
      <c r="C11" s="244">
        <f>SUM(C5:C10)</f>
        <v>377</v>
      </c>
      <c r="D11" s="245">
        <f>SUM(D5:D10)</f>
        <v>14920</v>
      </c>
      <c r="E11" s="246">
        <f t="shared" si="0"/>
        <v>-14543</v>
      </c>
      <c r="F11" s="244">
        <f>SUM(F5:F10)</f>
        <v>835413</v>
      </c>
      <c r="G11" s="245">
        <f>SUM(G5:G10)</f>
        <v>1509977</v>
      </c>
      <c r="H11" s="247">
        <f t="shared" si="1"/>
        <v>-674564</v>
      </c>
      <c r="I11" s="248">
        <f t="shared" ref="I11:J13" si="5">F11/C11</f>
        <v>2215.9496021220161</v>
      </c>
      <c r="J11" s="620">
        <f t="shared" si="5"/>
        <v>101.20489276139411</v>
      </c>
    </row>
    <row r="12" spans="1:10" ht="17.25" thickTop="1">
      <c r="A12" s="249"/>
      <c r="B12" s="250"/>
      <c r="C12" s="251"/>
      <c r="D12" s="252"/>
      <c r="E12" s="253"/>
      <c r="F12" s="251"/>
      <c r="G12" s="252"/>
      <c r="H12" s="253"/>
      <c r="I12" s="5"/>
      <c r="J12" s="5"/>
    </row>
    <row r="13" spans="1:10">
      <c r="A13" s="231" t="s">
        <v>129</v>
      </c>
      <c r="B13" s="232" t="s">
        <v>130</v>
      </c>
      <c r="C13" s="233">
        <v>2</v>
      </c>
      <c r="D13" s="254">
        <v>534</v>
      </c>
      <c r="E13" s="236">
        <f>C13-D13</f>
        <v>-532</v>
      </c>
      <c r="F13" s="549">
        <v>1996</v>
      </c>
      <c r="G13" s="234">
        <v>24833</v>
      </c>
      <c r="H13" s="236">
        <f>F13-G13</f>
        <v>-22837</v>
      </c>
      <c r="I13" s="33">
        <v>0</v>
      </c>
      <c r="J13" s="33">
        <f t="shared" si="5"/>
        <v>46.50374531835206</v>
      </c>
    </row>
    <row r="14" spans="1:10" ht="20.25" thickBot="1">
      <c r="A14" s="242" t="s">
        <v>131</v>
      </c>
      <c r="B14" s="255" t="s">
        <v>132</v>
      </c>
      <c r="C14" s="244">
        <f>C11+C13</f>
        <v>379</v>
      </c>
      <c r="D14" s="245">
        <f>D11+D13</f>
        <v>15454</v>
      </c>
      <c r="E14" s="246">
        <f>C14-D14</f>
        <v>-15075</v>
      </c>
      <c r="F14" s="244">
        <f>F11+F13</f>
        <v>837409</v>
      </c>
      <c r="G14" s="245">
        <f>G11+G13</f>
        <v>1534810</v>
      </c>
      <c r="H14" s="247">
        <f>F14-G14</f>
        <v>-697401</v>
      </c>
      <c r="I14" s="248">
        <f>F14/C14</f>
        <v>2209.5224274406332</v>
      </c>
      <c r="J14" s="621">
        <f>G14/D14</f>
        <v>99.31474052025365</v>
      </c>
    </row>
    <row r="15" spans="1:10" ht="17.25" thickTop="1">
      <c r="A15" s="256"/>
      <c r="B15" s="257"/>
      <c r="C15" s="258"/>
      <c r="D15" s="258"/>
      <c r="E15" s="259"/>
      <c r="F15" s="258"/>
      <c r="G15" s="258"/>
      <c r="H15" s="259"/>
      <c r="I15" s="260"/>
      <c r="J15" s="260"/>
    </row>
    <row r="16" spans="1:10" ht="19.5">
      <c r="A16" s="777" t="s">
        <v>491</v>
      </c>
      <c r="B16" s="777"/>
      <c r="C16" s="777"/>
      <c r="D16" s="777"/>
      <c r="E16" s="777"/>
      <c r="F16" s="777"/>
      <c r="G16" s="777"/>
      <c r="H16" s="777"/>
      <c r="I16" s="777"/>
      <c r="J16" s="777"/>
    </row>
    <row r="17" spans="1:10" ht="6.75" customHeight="1">
      <c r="A17" s="249"/>
      <c r="B17" s="250"/>
      <c r="C17" s="214"/>
      <c r="D17" s="214"/>
      <c r="E17" s="261"/>
      <c r="F17" s="214"/>
      <c r="G17" s="214"/>
      <c r="H17" s="261"/>
      <c r="I17" s="5"/>
      <c r="J17" s="5"/>
    </row>
    <row r="18" spans="1:10">
      <c r="A18" s="215" t="s">
        <v>109</v>
      </c>
      <c r="B18" s="216" t="s">
        <v>110</v>
      </c>
      <c r="C18" s="531" t="s">
        <v>487</v>
      </c>
      <c r="D18" s="217" t="s">
        <v>488</v>
      </c>
      <c r="E18" s="218" t="s">
        <v>111</v>
      </c>
      <c r="F18" s="219" t="s">
        <v>490</v>
      </c>
      <c r="G18" s="530" t="s">
        <v>489</v>
      </c>
      <c r="H18" s="218" t="s">
        <v>112</v>
      </c>
      <c r="I18" s="262"/>
      <c r="J18" s="262"/>
    </row>
    <row r="19" spans="1:10">
      <c r="A19" s="221"/>
      <c r="B19" s="222"/>
      <c r="C19" s="223" t="s">
        <v>133</v>
      </c>
      <c r="D19" s="224" t="s">
        <v>133</v>
      </c>
      <c r="E19" s="223"/>
      <c r="F19" s="226" t="s">
        <v>5</v>
      </c>
      <c r="G19" s="227" t="s">
        <v>5</v>
      </c>
      <c r="H19" s="228" t="s">
        <v>5</v>
      </c>
      <c r="I19" s="263"/>
      <c r="J19" s="262"/>
    </row>
    <row r="20" spans="1:10">
      <c r="A20" s="619">
        <v>85121010001</v>
      </c>
      <c r="B20" s="232" t="s">
        <v>135</v>
      </c>
      <c r="C20" s="233">
        <v>0</v>
      </c>
      <c r="D20" s="254">
        <v>4443</v>
      </c>
      <c r="E20" s="236">
        <f t="shared" ref="E20:E42" si="6">C20-D20</f>
        <v>-4443</v>
      </c>
      <c r="F20" s="549">
        <v>0</v>
      </c>
      <c r="G20" s="234">
        <v>192060</v>
      </c>
      <c r="H20" s="630">
        <f>F20-G20</f>
        <v>-192060</v>
      </c>
      <c r="I20" s="214"/>
      <c r="J20" s="214"/>
    </row>
    <row r="21" spans="1:10">
      <c r="A21" s="619">
        <v>85121020009</v>
      </c>
      <c r="B21" s="232" t="s">
        <v>137</v>
      </c>
      <c r="C21" s="233">
        <v>0</v>
      </c>
      <c r="D21" s="254">
        <v>1274</v>
      </c>
      <c r="E21" s="236">
        <f t="shared" si="6"/>
        <v>-1274</v>
      </c>
      <c r="F21" s="549">
        <v>0</v>
      </c>
      <c r="G21" s="234">
        <v>82209</v>
      </c>
      <c r="H21" s="630">
        <f t="shared" ref="H21:H42" si="7">F21-G21</f>
        <v>-82209</v>
      </c>
      <c r="I21" s="214"/>
      <c r="J21" s="214"/>
    </row>
    <row r="22" spans="1:10">
      <c r="A22" s="619">
        <v>87149120007</v>
      </c>
      <c r="B22" s="232" t="s">
        <v>311</v>
      </c>
      <c r="C22" s="233">
        <f>VLOOKUP(A22,[15]進出口值表查詢結果!$B$10:$E$25,4,0)</f>
        <v>25607</v>
      </c>
      <c r="D22" s="254">
        <f>VLOOKUP(A22,[16]進出口值表查詢結果!$B$10:$E$26,4,0)</f>
        <v>290287</v>
      </c>
      <c r="E22" s="236">
        <f t="shared" si="6"/>
        <v>-264680</v>
      </c>
      <c r="F22" s="736">
        <f>VLOOKUP(A22,[15]進出口值表查詢結果!$B$10:$E$25,3,0)</f>
        <v>2265031</v>
      </c>
      <c r="G22" s="234">
        <f>VLOOKUP(A22,[16]進出口值表查詢結果!$B$10:$E$26,3,0)</f>
        <v>13286191</v>
      </c>
      <c r="H22" s="630">
        <f t="shared" si="7"/>
        <v>-11021160</v>
      </c>
      <c r="I22" s="214"/>
      <c r="J22" s="214"/>
    </row>
    <row r="23" spans="1:10">
      <c r="A23" s="619">
        <v>87149200108</v>
      </c>
      <c r="B23" s="232" t="s">
        <v>141</v>
      </c>
      <c r="C23" s="233">
        <f>VLOOKUP(A23,[15]進出口值表查詢結果!$B$10:$E$25,4,0)</f>
        <v>7469</v>
      </c>
      <c r="D23" s="254">
        <f>VLOOKUP(A23,[16]進出口值表查詢結果!$B$10:$E$26,4,0)</f>
        <v>55408</v>
      </c>
      <c r="E23" s="236">
        <f t="shared" si="6"/>
        <v>-47939</v>
      </c>
      <c r="F23" s="736">
        <f>VLOOKUP(A23,[15]進出口值表查詢結果!$B$10:$E$25,3,0)</f>
        <v>164778</v>
      </c>
      <c r="G23" s="234">
        <f>VLOOKUP(A23,[16]進出口值表查詢結果!$B$10:$E$26,3,0)</f>
        <v>5283329</v>
      </c>
      <c r="H23" s="630">
        <f>F23-G23</f>
        <v>-5118551</v>
      </c>
      <c r="I23" s="629"/>
      <c r="J23" s="214"/>
    </row>
    <row r="24" spans="1:10">
      <c r="A24" s="619">
        <v>87149200206</v>
      </c>
      <c r="B24" s="232" t="s">
        <v>143</v>
      </c>
      <c r="C24" s="233">
        <f>VLOOKUP(A24,[15]進出口值表查詢結果!$B$10:$E$25,4,0)</f>
        <v>3007</v>
      </c>
      <c r="D24" s="254">
        <f>VLOOKUP(A24,[16]進出口值表查詢結果!$B$10:$E$26,4,0)</f>
        <v>10623</v>
      </c>
      <c r="E24" s="236">
        <f t="shared" si="6"/>
        <v>-7616</v>
      </c>
      <c r="F24" s="736">
        <f>VLOOKUP(A24,[15]進出口值表查詢結果!$B$10:$E$25,3,0)</f>
        <v>98763</v>
      </c>
      <c r="G24" s="234">
        <f>VLOOKUP(A24,[16]進出口值表查詢結果!$B$10:$E$26,3,0)</f>
        <v>305098</v>
      </c>
      <c r="H24" s="630">
        <f>F24-G24</f>
        <v>-206335</v>
      </c>
      <c r="I24" s="214"/>
      <c r="J24" s="214"/>
    </row>
    <row r="25" spans="1:10">
      <c r="A25" s="619">
        <v>87149200304</v>
      </c>
      <c r="B25" s="232" t="s">
        <v>145</v>
      </c>
      <c r="C25" s="233">
        <f>VLOOKUP(A25,[15]進出口值表查詢結果!$B$10:$E$25,4,0)</f>
        <v>1360</v>
      </c>
      <c r="D25" s="254">
        <f>VLOOKUP(A25,[16]進出口值表查詢結果!$B$10:$E$26,4,0)</f>
        <v>3388</v>
      </c>
      <c r="E25" s="236">
        <f t="shared" si="6"/>
        <v>-2028</v>
      </c>
      <c r="F25" s="736">
        <f>VLOOKUP(A25,[15]進出口值表查詢結果!$B$10:$E$25,3,0)</f>
        <v>257206</v>
      </c>
      <c r="G25" s="234">
        <f>VLOOKUP(A25,[16]進出口值表查詢結果!$B$10:$E$26,3,0)</f>
        <v>292240</v>
      </c>
      <c r="H25" s="630">
        <f t="shared" si="7"/>
        <v>-35034</v>
      </c>
      <c r="I25" s="214"/>
      <c r="J25" s="214"/>
    </row>
    <row r="26" spans="1:10">
      <c r="A26" s="619">
        <v>87149310007</v>
      </c>
      <c r="B26" s="232" t="s">
        <v>147</v>
      </c>
      <c r="C26" s="233">
        <f>VLOOKUP(A26,[15]進出口值表查詢結果!$B$10:$E$25,4,0)</f>
        <v>4442</v>
      </c>
      <c r="D26" s="254">
        <f>VLOOKUP(A26,[16]進出口值表查詢結果!$B$10:$E$26,4,0)</f>
        <v>30965</v>
      </c>
      <c r="E26" s="236">
        <f t="shared" si="6"/>
        <v>-26523</v>
      </c>
      <c r="F26" s="736">
        <f>VLOOKUP(A26,[15]進出口值表查詢結果!$B$10:$E$25,3,0)</f>
        <v>600412</v>
      </c>
      <c r="G26" s="234">
        <f>VLOOKUP(A26,[16]進出口值表查詢結果!$B$10:$E$26,3,0)</f>
        <v>1101582</v>
      </c>
      <c r="H26" s="630">
        <f t="shared" si="7"/>
        <v>-501170</v>
      </c>
      <c r="I26" s="214"/>
      <c r="J26" s="214"/>
    </row>
    <row r="27" spans="1:10">
      <c r="A27" s="619">
        <v>87149320103</v>
      </c>
      <c r="B27" s="232" t="s">
        <v>422</v>
      </c>
      <c r="C27" s="233">
        <v>0</v>
      </c>
      <c r="D27" s="254">
        <f>VLOOKUP(A27,[16]進出口值表查詢結果!$B$10:$E$26,4,0)</f>
        <v>123</v>
      </c>
      <c r="E27" s="236">
        <f t="shared" si="6"/>
        <v>-123</v>
      </c>
      <c r="F27" s="736">
        <v>0</v>
      </c>
      <c r="G27" s="234">
        <f>VLOOKUP(A27,[16]進出口值表查詢結果!$B$10:$E$26,3,0)</f>
        <v>6082</v>
      </c>
      <c r="H27" s="630">
        <f t="shared" si="7"/>
        <v>-6082</v>
      </c>
      <c r="I27" s="214"/>
      <c r="J27" s="214"/>
    </row>
    <row r="28" spans="1:10">
      <c r="A28" s="619">
        <v>87149410006</v>
      </c>
      <c r="B28" s="232" t="s">
        <v>151</v>
      </c>
      <c r="C28" s="233">
        <f>VLOOKUP(A28,[15]進出口值表查詢結果!$B$10:$E$25,4,0)</f>
        <v>1400</v>
      </c>
      <c r="D28" s="254">
        <f>VLOOKUP(A28,[16]進出口值表查詢結果!$B$10:$E$26,4,0)</f>
        <v>1521</v>
      </c>
      <c r="E28" s="236">
        <f t="shared" si="6"/>
        <v>-121</v>
      </c>
      <c r="F28" s="736">
        <f>VLOOKUP(A28,[15]進出口值表查詢結果!$B$10:$E$25,3,0)</f>
        <v>4435</v>
      </c>
      <c r="G28" s="234">
        <f>VLOOKUP(A28,[16]進出口值表查詢結果!$B$10:$E$26,3,0)</f>
        <v>11245</v>
      </c>
      <c r="H28" s="630">
        <f t="shared" si="7"/>
        <v>-6810</v>
      </c>
      <c r="I28" s="214"/>
      <c r="J28" s="214"/>
    </row>
    <row r="29" spans="1:10">
      <c r="A29" s="619">
        <v>87149490009</v>
      </c>
      <c r="B29" s="232" t="s">
        <v>153</v>
      </c>
      <c r="C29" s="233">
        <f>VLOOKUP(A29,[15]進出口值表查詢結果!$B$10:$E$25,4,0)</f>
        <v>33484</v>
      </c>
      <c r="D29" s="254">
        <f>VLOOKUP(A29,[16]進出口值表查詢結果!$B$10:$E$26,4,0)</f>
        <v>92781</v>
      </c>
      <c r="E29" s="236">
        <f t="shared" si="6"/>
        <v>-59297</v>
      </c>
      <c r="F29" s="736">
        <f>VLOOKUP(A29,[15]進出口值表查詢結果!$B$10:$E$25,3,0)</f>
        <v>1605101</v>
      </c>
      <c r="G29" s="234">
        <f>VLOOKUP(A29,[16]進出口值表查詢結果!$B$10:$E$26,3,0)</f>
        <v>1274888</v>
      </c>
      <c r="H29" s="630">
        <f t="shared" si="7"/>
        <v>330213</v>
      </c>
      <c r="I29" s="214"/>
      <c r="J29" s="214"/>
    </row>
    <row r="30" spans="1:10">
      <c r="A30" s="619">
        <v>87149500007</v>
      </c>
      <c r="B30" s="232" t="s">
        <v>155</v>
      </c>
      <c r="C30" s="233">
        <f>VLOOKUP(A30,[15]進出口值表查詢結果!$B$10:$E$25,4,0)</f>
        <v>492</v>
      </c>
      <c r="D30" s="254">
        <f>VLOOKUP(A30,[16]進出口值表查詢結果!$B$10:$E$26,4,0)</f>
        <v>38777</v>
      </c>
      <c r="E30" s="236">
        <f t="shared" si="6"/>
        <v>-38285</v>
      </c>
      <c r="F30" s="736">
        <f>VLOOKUP(A30,[15]進出口值表查詢結果!$B$10:$E$25,3,0)</f>
        <v>21855</v>
      </c>
      <c r="G30" s="234">
        <f>VLOOKUP(A30,[16]進出口值表查詢結果!$B$10:$E$26,3,0)</f>
        <v>437529</v>
      </c>
      <c r="H30" s="630">
        <f t="shared" si="7"/>
        <v>-415674</v>
      </c>
      <c r="I30" s="214"/>
      <c r="J30" s="265"/>
    </row>
    <row r="31" spans="1:10">
      <c r="A31" s="619">
        <v>87149610004</v>
      </c>
      <c r="B31" s="232" t="s">
        <v>157</v>
      </c>
      <c r="C31" s="233">
        <f>VLOOKUP(A31,[15]進出口值表查詢結果!$B$10:$E$25,4,0)</f>
        <v>1295</v>
      </c>
      <c r="D31" s="254">
        <f>VLOOKUP(A31,[16]進出口值表查詢結果!$B$10:$E$26,4,0)</f>
        <v>22740</v>
      </c>
      <c r="E31" s="236">
        <f t="shared" si="6"/>
        <v>-21445</v>
      </c>
      <c r="F31" s="736">
        <f>VLOOKUP(A31,[15]進出口值表查詢結果!$B$10:$E$25,3,0)</f>
        <v>17295</v>
      </c>
      <c r="G31" s="234">
        <f>VLOOKUP(A31,[16]進出口值表查詢結果!$B$10:$E$26,3,0)</f>
        <v>113824</v>
      </c>
      <c r="H31" s="630">
        <f t="shared" si="7"/>
        <v>-96529</v>
      </c>
      <c r="I31" s="214"/>
      <c r="J31" s="214"/>
    </row>
    <row r="32" spans="1:10">
      <c r="A32" s="619">
        <v>87149620002</v>
      </c>
      <c r="B32" s="232" t="s">
        <v>159</v>
      </c>
      <c r="C32" s="233">
        <f>VLOOKUP(A32,[15]進出口值表查詢結果!$B$10:$E$25,4,0)</f>
        <v>4346</v>
      </c>
      <c r="D32" s="254">
        <f>VLOOKUP(A32,[16]進出口值表查詢結果!$B$10:$E$26,4,0)</f>
        <v>74990</v>
      </c>
      <c r="E32" s="236">
        <f t="shared" si="6"/>
        <v>-70644</v>
      </c>
      <c r="F32" s="736">
        <f>VLOOKUP(A32,[15]進出口值表查詢結果!$B$10:$E$25,3,0)</f>
        <v>302217</v>
      </c>
      <c r="G32" s="234">
        <f>VLOOKUP(A32,[16]進出口值表查詢結果!$B$10:$E$26,3,0)</f>
        <v>742667</v>
      </c>
      <c r="H32" s="630">
        <f t="shared" si="7"/>
        <v>-440450</v>
      </c>
      <c r="I32" s="214"/>
      <c r="J32" s="214"/>
    </row>
    <row r="33" spans="1:10">
      <c r="A33" s="619">
        <v>73151100209</v>
      </c>
      <c r="B33" s="232" t="s">
        <v>161</v>
      </c>
      <c r="C33" s="233">
        <v>1910</v>
      </c>
      <c r="D33" s="254">
        <v>23754</v>
      </c>
      <c r="E33" s="236">
        <f t="shared" si="6"/>
        <v>-21844</v>
      </c>
      <c r="F33" s="549">
        <v>80455</v>
      </c>
      <c r="G33" s="234">
        <v>68666</v>
      </c>
      <c r="H33" s="630">
        <f t="shared" si="7"/>
        <v>11789</v>
      </c>
      <c r="I33" s="214"/>
      <c r="J33" s="214"/>
    </row>
    <row r="34" spans="1:10">
      <c r="A34" s="619">
        <v>87149990111</v>
      </c>
      <c r="B34" s="232" t="s">
        <v>163</v>
      </c>
      <c r="C34" s="233">
        <f>VLOOKUP(A34,[15]進出口值表查詢結果!$B$10:$E$25,4,0)</f>
        <v>4302</v>
      </c>
      <c r="D34" s="254">
        <f>VLOOKUP(A34,[16]進出口值表查詢結果!$B$10:$E$26,4,0)</f>
        <v>34477</v>
      </c>
      <c r="E34" s="236">
        <f t="shared" si="6"/>
        <v>-30175</v>
      </c>
      <c r="F34" s="736">
        <f>VLOOKUP(A34,[15]進出口值表查詢結果!$B$10:$E$25,3,0)</f>
        <v>710358</v>
      </c>
      <c r="G34" s="234">
        <f>VLOOKUP(A34,[16]進出口值表查詢結果!$B$10:$E$26,3,0)</f>
        <v>855907</v>
      </c>
      <c r="H34" s="630">
        <f t="shared" si="7"/>
        <v>-145549</v>
      </c>
      <c r="I34" s="214"/>
      <c r="J34" s="214"/>
    </row>
    <row r="35" spans="1:10">
      <c r="A35" s="619">
        <v>87149320906</v>
      </c>
      <c r="B35" s="232" t="s">
        <v>423</v>
      </c>
      <c r="C35" s="233">
        <f>VLOOKUP(A35,[15]進出口值表查詢結果!$B$10:$E$25,4,0)</f>
        <v>25318</v>
      </c>
      <c r="D35" s="254">
        <f>VLOOKUP(A35,[16]進出口值表查詢結果!$B$10:$E$26,4,0)</f>
        <v>10516</v>
      </c>
      <c r="E35" s="236">
        <f t="shared" si="6"/>
        <v>14802</v>
      </c>
      <c r="F35" s="736">
        <f>VLOOKUP(A35,[15]進出口值表查詢結果!$B$10:$E$25,3,0)</f>
        <v>717169</v>
      </c>
      <c r="G35" s="234">
        <f>VLOOKUP(A35,[16]進出口值表查詢結果!$B$10:$E$26,3,0)</f>
        <v>158061</v>
      </c>
      <c r="H35" s="630">
        <f t="shared" si="7"/>
        <v>559108</v>
      </c>
      <c r="I35" s="214"/>
      <c r="J35" s="214"/>
    </row>
    <row r="36" spans="1:10">
      <c r="A36" s="619">
        <v>87149990139</v>
      </c>
      <c r="B36" s="232" t="s">
        <v>167</v>
      </c>
      <c r="C36" s="233">
        <f>VLOOKUP(A36,[15]進出口值表查詢結果!$B$10:$E$25,4,0)</f>
        <v>1184</v>
      </c>
      <c r="D36" s="254">
        <f>VLOOKUP(A36,[16]進出口值表查詢結果!$B$10:$E$26,4,0)</f>
        <v>8507</v>
      </c>
      <c r="E36" s="236">
        <f t="shared" si="6"/>
        <v>-7323</v>
      </c>
      <c r="F36" s="736">
        <f>VLOOKUP(A36,[15]進出口值表查詢結果!$B$10:$E$25,3,0)</f>
        <v>14317</v>
      </c>
      <c r="G36" s="234">
        <f>VLOOKUP(A36,[16]進出口值表查詢結果!$B$10:$E$26,3,0)</f>
        <v>49445</v>
      </c>
      <c r="H36" s="630">
        <f t="shared" si="7"/>
        <v>-35128</v>
      </c>
      <c r="I36" s="214"/>
      <c r="J36" s="214"/>
    </row>
    <row r="37" spans="1:10">
      <c r="A37" s="619">
        <v>87149990148</v>
      </c>
      <c r="B37" s="232" t="s">
        <v>169</v>
      </c>
      <c r="C37" s="233">
        <f>VLOOKUP(A37,[15]進出口值表查詢結果!$B$10:$E$25,4,0)</f>
        <v>7546</v>
      </c>
      <c r="D37" s="254">
        <f>VLOOKUP(A37,[16]進出口值表查詢結果!$B$10:$E$26,4,0)</f>
        <v>7658</v>
      </c>
      <c r="E37" s="236">
        <f>C37-D37</f>
        <v>-112</v>
      </c>
      <c r="F37" s="736">
        <f>VLOOKUP(A37,[15]進出口值表查詢結果!$B$10:$E$25,3,0)</f>
        <v>168165</v>
      </c>
      <c r="G37" s="234">
        <f>VLOOKUP(A37,[16]進出口值表查詢結果!$B$10:$E$26,3,0)</f>
        <v>183151</v>
      </c>
      <c r="H37" s="630">
        <f t="shared" si="7"/>
        <v>-14986</v>
      </c>
      <c r="I37" s="214"/>
      <c r="J37" s="214"/>
    </row>
    <row r="38" spans="1:10">
      <c r="A38" s="619">
        <v>87149990157</v>
      </c>
      <c r="B38" s="232" t="s">
        <v>171</v>
      </c>
      <c r="C38" s="233">
        <f>VLOOKUP(A38,[15]進出口值表查詢結果!$B$10:$E$25,4,0)</f>
        <v>2441</v>
      </c>
      <c r="D38" s="254">
        <f>VLOOKUP(A38,[16]進出口值表查詢結果!$B$10:$E$26,4,0)</f>
        <v>19037</v>
      </c>
      <c r="E38" s="236">
        <f t="shared" si="6"/>
        <v>-16596</v>
      </c>
      <c r="F38" s="736">
        <f>VLOOKUP(A38,[15]進出口值表查詢結果!$B$10:$E$25,3,0)</f>
        <v>27715</v>
      </c>
      <c r="G38" s="234">
        <f>VLOOKUP(A38,[16]進出口值表查詢結果!$B$10:$E$26,3,0)</f>
        <v>638329</v>
      </c>
      <c r="H38" s="630">
        <f t="shared" si="7"/>
        <v>-610614</v>
      </c>
      <c r="I38" s="214"/>
      <c r="J38" s="214"/>
    </row>
    <row r="39" spans="1:10">
      <c r="A39" s="619">
        <v>87149990166</v>
      </c>
      <c r="B39" s="232" t="s">
        <v>173</v>
      </c>
      <c r="C39" s="233">
        <f>VLOOKUP(A39,[15]進出口值表查詢結果!$B$10:$E$25,4,0)</f>
        <v>8232</v>
      </c>
      <c r="D39" s="254">
        <f>VLOOKUP(A39,[16]進出口值表查詢結果!$B$10:$E$26,4,0)</f>
        <v>26179</v>
      </c>
      <c r="E39" s="236">
        <f t="shared" si="6"/>
        <v>-17947</v>
      </c>
      <c r="F39" s="736">
        <f>VLOOKUP(A39,[15]進出口值表查詢結果!$B$10:$E$25,3,0)</f>
        <v>253025</v>
      </c>
      <c r="G39" s="234">
        <f>VLOOKUP(A39,[16]進出口值表查詢結果!$B$10:$E$26,3,0)</f>
        <v>1835368</v>
      </c>
      <c r="H39" s="630">
        <f t="shared" si="7"/>
        <v>-1582343</v>
      </c>
      <c r="I39" s="214"/>
      <c r="J39" s="214"/>
    </row>
    <row r="40" spans="1:10">
      <c r="A40" s="619">
        <v>40115000008</v>
      </c>
      <c r="B40" s="232" t="s">
        <v>175</v>
      </c>
      <c r="C40" s="233">
        <v>11041</v>
      </c>
      <c r="D40" s="254">
        <v>50632</v>
      </c>
      <c r="E40" s="236">
        <f t="shared" si="6"/>
        <v>-39591</v>
      </c>
      <c r="F40" s="736">
        <v>199430</v>
      </c>
      <c r="G40" s="234">
        <v>339342</v>
      </c>
      <c r="H40" s="630">
        <f t="shared" si="7"/>
        <v>-139912</v>
      </c>
      <c r="I40" s="214"/>
      <c r="J40" s="214"/>
    </row>
    <row r="41" spans="1:10">
      <c r="A41" s="619">
        <v>40132000003</v>
      </c>
      <c r="B41" s="232" t="s">
        <v>177</v>
      </c>
      <c r="C41" s="233">
        <v>252</v>
      </c>
      <c r="D41" s="254">
        <v>20651</v>
      </c>
      <c r="E41" s="236">
        <f t="shared" si="6"/>
        <v>-20399</v>
      </c>
      <c r="F41" s="736">
        <v>4117</v>
      </c>
      <c r="G41" s="234">
        <v>147166</v>
      </c>
      <c r="H41" s="630">
        <f t="shared" si="7"/>
        <v>-143049</v>
      </c>
      <c r="I41" s="214"/>
      <c r="J41" s="214"/>
    </row>
    <row r="42" spans="1:10" ht="17.25" thickBot="1">
      <c r="A42" s="267" t="s">
        <v>131</v>
      </c>
      <c r="B42" s="268"/>
      <c r="C42" s="269">
        <f>SUM(C20:C41)</f>
        <v>145128</v>
      </c>
      <c r="D42" s="270">
        <f>SUM(D20:D41)</f>
        <v>828731</v>
      </c>
      <c r="E42" s="271">
        <f t="shared" si="6"/>
        <v>-683603</v>
      </c>
      <c r="F42" s="269">
        <f>SUM(F20:F41)</f>
        <v>7511844</v>
      </c>
      <c r="G42" s="270">
        <f>SUM(G20:G41)</f>
        <v>27404379</v>
      </c>
      <c r="H42" s="631">
        <f t="shared" si="7"/>
        <v>-19892535</v>
      </c>
      <c r="I42" s="4"/>
      <c r="J42" s="4"/>
    </row>
    <row r="43" spans="1:10" ht="7.5" customHeight="1" thickTop="1">
      <c r="A43" s="256"/>
      <c r="B43" s="272"/>
      <c r="C43" s="258"/>
      <c r="D43" s="258"/>
      <c r="E43" s="259"/>
      <c r="F43" s="258"/>
      <c r="G43" s="258"/>
      <c r="H43" s="273"/>
      <c r="I43" s="4"/>
      <c r="J43" s="4"/>
    </row>
    <row r="44" spans="1:10">
      <c r="A44" s="57" t="s">
        <v>456</v>
      </c>
      <c r="B44" s="3"/>
      <c r="C44" s="58"/>
      <c r="D44" s="3"/>
      <c r="E44" s="3"/>
      <c r="F44" s="3"/>
      <c r="G44" s="214"/>
      <c r="H44" s="214"/>
      <c r="I44" s="4"/>
      <c r="J44" s="4"/>
    </row>
    <row r="45" spans="1:10" ht="18">
      <c r="A45" s="156" t="s">
        <v>179</v>
      </c>
      <c r="B45" s="4"/>
      <c r="C45" s="214"/>
      <c r="D45" s="214"/>
      <c r="E45" s="214"/>
      <c r="F45" s="214"/>
      <c r="G45" s="214"/>
      <c r="H45" s="214"/>
      <c r="I45" s="4"/>
      <c r="J45" s="4"/>
    </row>
  </sheetData>
  <mergeCells count="2">
    <mergeCell ref="A1:J1"/>
    <mergeCell ref="A16:J16"/>
  </mergeCells>
  <phoneticPr fontId="3" type="noConversion"/>
  <printOptions horizontalCentered="1" verticalCentered="1"/>
  <pageMargins left="0.25" right="0.25" top="0.75" bottom="0.75" header="0.3" footer="0.3"/>
  <pageSetup paperSize="9" scale="68" fitToWidth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45"/>
  <sheetViews>
    <sheetView zoomScaleNormal="100" workbookViewId="0">
      <selection activeCell="A2" sqref="A2"/>
    </sheetView>
  </sheetViews>
  <sheetFormatPr defaultRowHeight="16.5"/>
  <cols>
    <col min="1" max="1" width="14.5" customWidth="1"/>
    <col min="2" max="2" width="27.625" customWidth="1"/>
    <col min="3" max="3" width="18" customWidth="1"/>
    <col min="4" max="4" width="17.875" customWidth="1"/>
    <col min="5" max="5" width="12.625" customWidth="1"/>
    <col min="6" max="6" width="17.5" customWidth="1"/>
    <col min="7" max="7" width="17.875" customWidth="1"/>
    <col min="8" max="8" width="14.125" customWidth="1"/>
    <col min="9" max="9" width="14.75" customWidth="1"/>
    <col min="10" max="10" width="13" customWidth="1"/>
    <col min="11" max="11" width="10.875" customWidth="1"/>
  </cols>
  <sheetData>
    <row r="1" spans="1:11" ht="19.5">
      <c r="A1" s="777" t="s">
        <v>492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</row>
    <row r="2" spans="1:11" ht="6.75" customHeight="1">
      <c r="A2" s="213"/>
      <c r="B2" s="4"/>
      <c r="C2" s="214"/>
      <c r="D2" s="214"/>
      <c r="E2" s="214"/>
      <c r="F2" s="214"/>
      <c r="G2" s="291"/>
      <c r="H2" s="36"/>
      <c r="I2" s="4"/>
      <c r="J2" s="4"/>
      <c r="K2" s="36"/>
    </row>
    <row r="3" spans="1:11">
      <c r="A3" s="215" t="s">
        <v>109</v>
      </c>
      <c r="B3" s="216" t="s">
        <v>110</v>
      </c>
      <c r="C3" s="275" t="s">
        <v>493</v>
      </c>
      <c r="D3" s="275" t="s">
        <v>494</v>
      </c>
      <c r="E3" s="218" t="s">
        <v>187</v>
      </c>
      <c r="F3" s="292" t="s">
        <v>495</v>
      </c>
      <c r="G3" s="293" t="s">
        <v>496</v>
      </c>
      <c r="H3" s="294" t="s">
        <v>187</v>
      </c>
      <c r="I3" s="709" t="s">
        <v>457</v>
      </c>
      <c r="J3" s="709" t="s">
        <v>458</v>
      </c>
      <c r="K3" s="510" t="s">
        <v>188</v>
      </c>
    </row>
    <row r="4" spans="1:11">
      <c r="A4" s="221"/>
      <c r="B4" s="222"/>
      <c r="C4" s="223" t="s">
        <v>180</v>
      </c>
      <c r="D4" s="223" t="s">
        <v>180</v>
      </c>
      <c r="E4" s="225" t="s">
        <v>189</v>
      </c>
      <c r="F4" s="224" t="s">
        <v>181</v>
      </c>
      <c r="G4" s="297" t="s">
        <v>181</v>
      </c>
      <c r="H4" s="298" t="s">
        <v>190</v>
      </c>
      <c r="I4" s="299" t="s">
        <v>5</v>
      </c>
      <c r="J4" s="300" t="s">
        <v>5</v>
      </c>
      <c r="K4" s="511" t="s">
        <v>191</v>
      </c>
    </row>
    <row r="5" spans="1:11">
      <c r="A5" s="231" t="s">
        <v>115</v>
      </c>
      <c r="B5" s="232" t="s">
        <v>116</v>
      </c>
      <c r="C5">
        <v>53</v>
      </c>
      <c r="D5" s="266">
        <v>253</v>
      </c>
      <c r="E5" s="625">
        <f>IF(D5,(C5-D5)/D5,0)</f>
        <v>-0.79051383399209485</v>
      </c>
      <c r="F5" s="234">
        <v>70839</v>
      </c>
      <c r="G5" s="254">
        <v>90549</v>
      </c>
      <c r="H5" s="302">
        <f>IF(G5,(F5-G5)/G5,0)</f>
        <v>-0.21767219958254647</v>
      </c>
      <c r="I5" s="303">
        <f>IF(C5,F5/C5,0)</f>
        <v>1336.5849056603774</v>
      </c>
      <c r="J5" s="303">
        <f>IF(D5,G5/D5,0)</f>
        <v>357.901185770751</v>
      </c>
      <c r="K5" s="304">
        <f>IF(J5,(I5-J5)/J5,0)</f>
        <v>2.7345081793512405</v>
      </c>
    </row>
    <row r="6" spans="1:11">
      <c r="A6" s="237" t="s">
        <v>117</v>
      </c>
      <c r="B6" s="238" t="s">
        <v>118</v>
      </c>
      <c r="C6" s="233">
        <v>29</v>
      </c>
      <c r="D6" s="266">
        <v>5</v>
      </c>
      <c r="E6" s="625">
        <f t="shared" ref="E6:E13" si="0">IF(D6,(C6-D6)/D6,0)</f>
        <v>4.8</v>
      </c>
      <c r="F6" s="234">
        <v>31938</v>
      </c>
      <c r="G6" s="254">
        <v>1190</v>
      </c>
      <c r="H6" s="302">
        <f t="shared" ref="H6:H13" si="1">IF(G6,(F6-G6)/G6,0)</f>
        <v>25.838655462184875</v>
      </c>
      <c r="I6" s="303">
        <f t="shared" ref="I6:I10" si="2">IF(C6,F6/C6,0)</f>
        <v>1101.3103448275863</v>
      </c>
      <c r="J6" s="303">
        <f t="shared" ref="I6:J11" si="3">IF(D6,G6/D6,0)</f>
        <v>238</v>
      </c>
      <c r="K6" s="304">
        <f t="shared" ref="K6:K11" si="4">IF(J6,(I6-J6)/J6,0)</f>
        <v>3.6273543900318752</v>
      </c>
    </row>
    <row r="7" spans="1:11">
      <c r="A7" s="231" t="s">
        <v>119</v>
      </c>
      <c r="B7" s="239" t="s">
        <v>120</v>
      </c>
      <c r="C7" s="233">
        <v>0</v>
      </c>
      <c r="D7" s="266">
        <v>0</v>
      </c>
      <c r="E7" s="625">
        <f t="shared" si="0"/>
        <v>0</v>
      </c>
      <c r="F7" s="234">
        <v>0</v>
      </c>
      <c r="G7" s="254">
        <v>0</v>
      </c>
      <c r="H7" s="302">
        <f t="shared" si="1"/>
        <v>0</v>
      </c>
      <c r="I7" s="303">
        <f t="shared" si="2"/>
        <v>0</v>
      </c>
      <c r="J7" s="303">
        <f t="shared" si="3"/>
        <v>0</v>
      </c>
      <c r="K7" s="304">
        <f t="shared" si="4"/>
        <v>0</v>
      </c>
    </row>
    <row r="8" spans="1:11">
      <c r="A8" s="231" t="s">
        <v>309</v>
      </c>
      <c r="B8" s="239" t="s">
        <v>122</v>
      </c>
      <c r="C8" s="233">
        <v>0</v>
      </c>
      <c r="D8" s="266">
        <v>0</v>
      </c>
      <c r="E8" s="625">
        <f t="shared" si="0"/>
        <v>0</v>
      </c>
      <c r="F8" s="234">
        <v>0</v>
      </c>
      <c r="G8" s="254">
        <v>0</v>
      </c>
      <c r="H8" s="302">
        <f t="shared" si="1"/>
        <v>0</v>
      </c>
      <c r="I8" s="303">
        <f t="shared" si="2"/>
        <v>0</v>
      </c>
      <c r="J8" s="303">
        <f t="shared" si="3"/>
        <v>0</v>
      </c>
      <c r="K8" s="304">
        <f t="shared" si="4"/>
        <v>0</v>
      </c>
    </row>
    <row r="9" spans="1:11">
      <c r="A9" s="231" t="s">
        <v>123</v>
      </c>
      <c r="B9" s="239" t="s">
        <v>124</v>
      </c>
      <c r="C9" s="233">
        <v>166</v>
      </c>
      <c r="D9" s="266">
        <v>380</v>
      </c>
      <c r="E9" s="625">
        <f t="shared" si="0"/>
        <v>-0.56315789473684208</v>
      </c>
      <c r="F9" s="234">
        <v>303947</v>
      </c>
      <c r="G9" s="254">
        <v>458348</v>
      </c>
      <c r="H9" s="302">
        <f t="shared" si="1"/>
        <v>-0.33686412943876703</v>
      </c>
      <c r="I9" s="303">
        <f t="shared" si="2"/>
        <v>1831.0060240963855</v>
      </c>
      <c r="J9" s="303">
        <f t="shared" si="3"/>
        <v>1206.1789473684209</v>
      </c>
      <c r="K9" s="304">
        <f t="shared" si="4"/>
        <v>0.51802187236908759</v>
      </c>
    </row>
    <row r="10" spans="1:11">
      <c r="A10" s="231" t="s">
        <v>125</v>
      </c>
      <c r="B10" s="239" t="s">
        <v>126</v>
      </c>
      <c r="C10" s="233">
        <v>327</v>
      </c>
      <c r="D10" s="266">
        <v>8273</v>
      </c>
      <c r="E10" s="625">
        <f t="shared" si="0"/>
        <v>-0.96047383053305935</v>
      </c>
      <c r="F10" s="234">
        <v>819585</v>
      </c>
      <c r="G10" s="254">
        <v>13047479</v>
      </c>
      <c r="H10" s="302">
        <f t="shared" si="1"/>
        <v>-0.93718441700500155</v>
      </c>
      <c r="I10" s="303">
        <f t="shared" si="2"/>
        <v>2506.3761467889908</v>
      </c>
      <c r="J10" s="303">
        <f t="shared" si="3"/>
        <v>1577.1157983802732</v>
      </c>
      <c r="K10" s="304">
        <f t="shared" si="4"/>
        <v>0.58921504011505366</v>
      </c>
    </row>
    <row r="11" spans="1:11" ht="22.5" customHeight="1" thickBot="1">
      <c r="A11" s="242" t="s">
        <v>127</v>
      </c>
      <c r="B11" s="243" t="s">
        <v>128</v>
      </c>
      <c r="C11" s="244">
        <f>SUM(C5:C10)</f>
        <v>575</v>
      </c>
      <c r="D11" s="244">
        <f>SUM(D5:D10)</f>
        <v>8911</v>
      </c>
      <c r="E11" s="626">
        <f t="shared" si="0"/>
        <v>-0.93547301088542256</v>
      </c>
      <c r="F11" s="245">
        <f>SUM(F5:F10)</f>
        <v>1226309</v>
      </c>
      <c r="G11" s="310">
        <f>SUM(G5:G10)</f>
        <v>13597566</v>
      </c>
      <c r="H11" s="622">
        <f t="shared" si="1"/>
        <v>-0.90981407996107544</v>
      </c>
      <c r="I11" s="623">
        <f t="shared" si="3"/>
        <v>2132.7113043478262</v>
      </c>
      <c r="J11" s="623">
        <f t="shared" si="3"/>
        <v>1525.9304230726068</v>
      </c>
      <c r="K11" s="622">
        <f t="shared" si="4"/>
        <v>0.39764649298583882</v>
      </c>
    </row>
    <row r="12" spans="1:11" ht="17.25" thickTop="1">
      <c r="A12" s="249"/>
      <c r="B12" s="250"/>
      <c r="C12" s="251"/>
      <c r="D12" s="251"/>
      <c r="E12" s="622"/>
      <c r="F12" s="252"/>
      <c r="G12" s="291"/>
      <c r="H12" s="622"/>
      <c r="I12" s="623"/>
      <c r="J12" s="623"/>
      <c r="K12" s="624"/>
    </row>
    <row r="13" spans="1:11">
      <c r="A13" s="237" t="s">
        <v>129</v>
      </c>
      <c r="B13" s="238" t="s">
        <v>130</v>
      </c>
      <c r="C13" s="305">
        <v>0</v>
      </c>
      <c r="D13" s="306">
        <v>260</v>
      </c>
      <c r="E13" s="625">
        <f t="shared" si="0"/>
        <v>-1</v>
      </c>
      <c r="F13" s="307">
        <v>0</v>
      </c>
      <c r="G13" s="308">
        <v>18441</v>
      </c>
      <c r="H13" s="302">
        <f t="shared" si="1"/>
        <v>-1</v>
      </c>
      <c r="I13" s="303">
        <f t="shared" ref="I13" si="5">IF(C13,F13/C13,0)</f>
        <v>0</v>
      </c>
      <c r="J13" s="303">
        <f t="shared" ref="J13" si="6">IF(D13,G13/D13,0)</f>
        <v>70.926923076923075</v>
      </c>
      <c r="K13" s="304">
        <f t="shared" ref="K13" si="7">IF(J13,(I13-J13)/J13,0)</f>
        <v>-1</v>
      </c>
    </row>
    <row r="14" spans="1:11" ht="20.25" thickBot="1">
      <c r="A14" s="242" t="s">
        <v>131</v>
      </c>
      <c r="B14" s="255" t="s">
        <v>132</v>
      </c>
      <c r="C14" s="244">
        <f>SUM(C11+C13)</f>
        <v>575</v>
      </c>
      <c r="D14" s="244">
        <f>D11+D13</f>
        <v>9171</v>
      </c>
      <c r="E14" s="311">
        <f>(C14-D14)/D14</f>
        <v>-0.93730236615418161</v>
      </c>
      <c r="F14" s="245">
        <f>SUM(F11+F13)</f>
        <v>1226309</v>
      </c>
      <c r="G14" s="310">
        <f>G11+G13</f>
        <v>13616007</v>
      </c>
      <c r="H14" s="534">
        <f>(F14-G14)/G14</f>
        <v>-0.90993622432773424</v>
      </c>
      <c r="I14" s="312">
        <f>F14/C14</f>
        <v>2132.7113043478262</v>
      </c>
      <c r="J14" s="312">
        <f>G14/D14</f>
        <v>1484.6807327445208</v>
      </c>
      <c r="K14" s="320">
        <f>(I14-J14)/J14</f>
        <v>0.43647806380930276</v>
      </c>
    </row>
    <row r="15" spans="1:11" ht="17.25" thickTop="1">
      <c r="A15" s="256"/>
      <c r="B15" s="257"/>
      <c r="C15" s="258"/>
      <c r="D15" s="258"/>
      <c r="E15" s="259"/>
      <c r="F15" s="258"/>
      <c r="G15" s="315"/>
      <c r="H15" s="316"/>
      <c r="I15" s="260"/>
      <c r="J15" s="260"/>
      <c r="K15" s="36"/>
    </row>
    <row r="16" spans="1:11" ht="19.5">
      <c r="A16" s="777" t="s">
        <v>497</v>
      </c>
      <c r="B16" s="777"/>
      <c r="C16" s="777"/>
      <c r="D16" s="777"/>
      <c r="E16" s="777"/>
      <c r="F16" s="777"/>
      <c r="G16" s="777"/>
      <c r="H16" s="777"/>
      <c r="I16" s="317"/>
      <c r="J16" s="317"/>
      <c r="K16" s="36"/>
    </row>
    <row r="17" spans="1:11" ht="4.5" customHeight="1">
      <c r="A17" s="249"/>
      <c r="B17" s="250"/>
      <c r="C17" s="214"/>
      <c r="D17" s="214"/>
      <c r="E17" s="261"/>
      <c r="F17" s="214"/>
      <c r="G17" s="291"/>
      <c r="H17" s="72"/>
      <c r="I17" s="5"/>
      <c r="J17" s="5"/>
      <c r="K17" s="36"/>
    </row>
    <row r="18" spans="1:11">
      <c r="A18" s="215" t="s">
        <v>109</v>
      </c>
      <c r="B18" s="216" t="s">
        <v>110</v>
      </c>
      <c r="C18" s="275" t="s">
        <v>493</v>
      </c>
      <c r="D18" s="275" t="s">
        <v>494</v>
      </c>
      <c r="E18" s="218" t="s">
        <v>187</v>
      </c>
      <c r="F18" s="292" t="s">
        <v>495</v>
      </c>
      <c r="G18" s="293" t="s">
        <v>496</v>
      </c>
      <c r="H18" s="294" t="s">
        <v>187</v>
      </c>
      <c r="I18" s="262"/>
      <c r="J18" s="262"/>
      <c r="K18" s="36"/>
    </row>
    <row r="19" spans="1:11">
      <c r="A19" s="221"/>
      <c r="B19" s="222"/>
      <c r="C19" s="223" t="s">
        <v>184</v>
      </c>
      <c r="D19" s="223" t="s">
        <v>184</v>
      </c>
      <c r="E19" s="225" t="s">
        <v>189</v>
      </c>
      <c r="F19" s="224" t="s">
        <v>181</v>
      </c>
      <c r="G19" s="297" t="s">
        <v>181</v>
      </c>
      <c r="H19" s="298" t="s">
        <v>192</v>
      </c>
      <c r="I19" s="263"/>
      <c r="J19" s="542"/>
      <c r="K19" s="36"/>
    </row>
    <row r="20" spans="1:11">
      <c r="A20" s="619">
        <v>85121010001</v>
      </c>
      <c r="B20" s="232" t="s">
        <v>135</v>
      </c>
      <c r="C20" s="233">
        <v>31</v>
      </c>
      <c r="D20" s="266">
        <v>323</v>
      </c>
      <c r="E20" s="302">
        <f t="shared" ref="E20:E41" si="8">IF(D20,(C20-D20)/D20,0)</f>
        <v>-0.90402476780185759</v>
      </c>
      <c r="F20" s="234">
        <v>1649</v>
      </c>
      <c r="G20" s="254">
        <v>34503</v>
      </c>
      <c r="H20" s="304">
        <f t="shared" ref="H20:H24" si="9">IF(G20,(F20-G20)/G20,0)</f>
        <v>-0.95220705445903253</v>
      </c>
      <c r="I20" s="214"/>
      <c r="J20" s="214"/>
      <c r="K20" s="36"/>
    </row>
    <row r="21" spans="1:11" s="733" customFormat="1">
      <c r="A21" s="724">
        <v>85121020009</v>
      </c>
      <c r="B21" s="725" t="s">
        <v>137</v>
      </c>
      <c r="C21" s="726">
        <v>35</v>
      </c>
      <c r="D21" s="727">
        <v>0</v>
      </c>
      <c r="E21" s="728">
        <f t="shared" si="8"/>
        <v>0</v>
      </c>
      <c r="F21" s="729">
        <v>2854</v>
      </c>
      <c r="G21" s="730">
        <v>0</v>
      </c>
      <c r="H21" s="728">
        <f t="shared" si="9"/>
        <v>0</v>
      </c>
      <c r="I21" s="731"/>
      <c r="J21" s="731"/>
      <c r="K21" s="732"/>
    </row>
    <row r="22" spans="1:11">
      <c r="A22" s="619">
        <v>87149120007</v>
      </c>
      <c r="B22" s="232" t="s">
        <v>139</v>
      </c>
      <c r="C22" s="233">
        <f>VLOOKUP(A22,[17]進出口值表查詢結果!$B$10:$E$25,4,0)</f>
        <v>82593</v>
      </c>
      <c r="D22" s="266">
        <f>VLOOKUP(A22,[18]進出口值表查詢結果!$B$10:$E$24,4,0)</f>
        <v>134322</v>
      </c>
      <c r="E22" s="302">
        <f t="shared" si="8"/>
        <v>-0.38511189529637735</v>
      </c>
      <c r="F22" s="234">
        <f>VLOOKUP(A22,[17]進出口值表查詢結果!$B$10:$E$25,3,0)</f>
        <v>4816251</v>
      </c>
      <c r="G22" s="254">
        <f>VLOOKUP(A22,[18]進出口值表查詢結果!$B$10:$E$24,3,0)</f>
        <v>8584424</v>
      </c>
      <c r="H22" s="304">
        <f t="shared" si="9"/>
        <v>-0.43895466952704104</v>
      </c>
      <c r="I22" s="214"/>
      <c r="J22" s="214"/>
      <c r="K22" s="36"/>
    </row>
    <row r="23" spans="1:11">
      <c r="A23" s="619">
        <v>87149200108</v>
      </c>
      <c r="B23" s="232" t="s">
        <v>141</v>
      </c>
      <c r="C23" s="233">
        <f>VLOOKUP(A23,[17]進出口值表查詢結果!$B$10:$E$25,4,0)</f>
        <v>22574</v>
      </c>
      <c r="D23" s="266">
        <f>VLOOKUP(A23,[18]進出口值表查詢結果!$B$10:$E$24,4,0)</f>
        <v>19690</v>
      </c>
      <c r="E23" s="304">
        <f t="shared" si="8"/>
        <v>0.14647028948704927</v>
      </c>
      <c r="F23" s="234">
        <f>VLOOKUP(A23,[17]進出口值表查詢結果!$B$10:$E$25,3,0)</f>
        <v>576447</v>
      </c>
      <c r="G23" s="254">
        <f>VLOOKUP(A23,[18]進出口值表查詢結果!$B$10:$E$24,3,0)</f>
        <v>503509</v>
      </c>
      <c r="H23" s="304">
        <f t="shared" si="9"/>
        <v>0.14485937689296516</v>
      </c>
      <c r="I23" s="214"/>
      <c r="J23" s="214"/>
      <c r="K23" s="36"/>
    </row>
    <row r="24" spans="1:11">
      <c r="A24" s="619">
        <v>87149200206</v>
      </c>
      <c r="B24" s="232" t="s">
        <v>320</v>
      </c>
      <c r="C24" s="233">
        <f>VLOOKUP(A24,[17]進出口值表查詢結果!$B$10:$E$25,4,0)</f>
        <v>8807</v>
      </c>
      <c r="D24" s="266">
        <f>VLOOKUP(A24,[18]進出口值表查詢結果!$B$10:$E$24,4,0)</f>
        <v>6588</v>
      </c>
      <c r="E24" s="304">
        <f t="shared" si="8"/>
        <v>0.33682452944748026</v>
      </c>
      <c r="F24" s="234">
        <f>VLOOKUP(A24,[17]進出口值表查詢結果!$B$10:$E$25,3,0)</f>
        <v>346464</v>
      </c>
      <c r="G24" s="254">
        <f>VLOOKUP(A24,[18]進出口值表查詢結果!$B$10:$E$24,3,0)</f>
        <v>235552</v>
      </c>
      <c r="H24" s="304">
        <f t="shared" si="9"/>
        <v>0.4708599375084907</v>
      </c>
      <c r="I24" s="214"/>
      <c r="J24" s="214"/>
      <c r="K24" s="36"/>
    </row>
    <row r="25" spans="1:11">
      <c r="A25" s="619">
        <v>87149200304</v>
      </c>
      <c r="B25" s="232" t="s">
        <v>145</v>
      </c>
      <c r="C25" s="233">
        <f>VLOOKUP(A25,[17]進出口值表查詢結果!$B$10:$E$25,4,0)</f>
        <v>1715</v>
      </c>
      <c r="D25" s="266">
        <f>VLOOKUP(A25,[18]進出口值表查詢結果!$B$10:$E$24,4,0)</f>
        <v>9962</v>
      </c>
      <c r="E25" s="304">
        <f t="shared" si="8"/>
        <v>-0.82784581409355551</v>
      </c>
      <c r="F25" s="234">
        <f>VLOOKUP(A25,[17]進出口值表查詢結果!$B$10:$E$25,3,0)</f>
        <v>419878</v>
      </c>
      <c r="G25" s="254">
        <f>VLOOKUP(A25,[18]進出口值表查詢結果!$B$10:$E$24,3,0)</f>
        <v>2673700</v>
      </c>
      <c r="H25" s="304">
        <f>IF(G25,(F25-G25)/G25,0)</f>
        <v>-0.84295994314994205</v>
      </c>
      <c r="I25" s="214"/>
      <c r="J25" s="214"/>
      <c r="K25" s="36"/>
    </row>
    <row r="26" spans="1:11">
      <c r="A26" s="619">
        <v>87149310007</v>
      </c>
      <c r="B26" s="232" t="s">
        <v>147</v>
      </c>
      <c r="C26" s="233">
        <f>VLOOKUP(A26,[17]進出口值表查詢結果!$B$10:$E$25,4,0)</f>
        <v>8576</v>
      </c>
      <c r="D26" s="266">
        <f>VLOOKUP(A26,[18]進出口值表查詢結果!$B$10:$E$24,4,0)</f>
        <v>10517</v>
      </c>
      <c r="E26" s="302">
        <f t="shared" si="8"/>
        <v>-0.18455833412570125</v>
      </c>
      <c r="F26" s="234">
        <f>VLOOKUP(A26,[17]進出口值表查詢結果!$B$10:$E$25,3,0)</f>
        <v>1085633</v>
      </c>
      <c r="G26" s="254">
        <f>VLOOKUP(A26,[18]進出口值表查詢結果!$B$10:$E$24,3,0)</f>
        <v>1893111</v>
      </c>
      <c r="H26" s="304">
        <f t="shared" ref="H26:H41" si="10">IF(G26,(F26-G26)/G26,0)</f>
        <v>-0.42653494697352662</v>
      </c>
      <c r="I26" s="214"/>
      <c r="J26" s="214"/>
      <c r="K26" s="36"/>
    </row>
    <row r="27" spans="1:11">
      <c r="A27" s="619">
        <v>87149320103</v>
      </c>
      <c r="B27" s="232" t="s">
        <v>425</v>
      </c>
      <c r="C27" s="233">
        <v>0</v>
      </c>
      <c r="D27" s="266">
        <v>0</v>
      </c>
      <c r="E27" s="304">
        <f>IF(D27,(C27-D27)/D27,0)</f>
        <v>0</v>
      </c>
      <c r="F27" s="234">
        <v>0</v>
      </c>
      <c r="G27" s="254">
        <v>0</v>
      </c>
      <c r="H27" s="304">
        <f t="shared" si="10"/>
        <v>0</v>
      </c>
      <c r="I27" s="214"/>
      <c r="J27" s="214"/>
      <c r="K27" s="36"/>
    </row>
    <row r="28" spans="1:11">
      <c r="A28" s="619">
        <v>87149410006</v>
      </c>
      <c r="B28" s="232" t="s">
        <v>151</v>
      </c>
      <c r="C28" s="233">
        <f>VLOOKUP(A28,[17]進出口值表查詢結果!$B$10:$E$25,4,0)</f>
        <v>1400</v>
      </c>
      <c r="D28" s="266">
        <v>0</v>
      </c>
      <c r="E28" s="304">
        <f t="shared" si="8"/>
        <v>0</v>
      </c>
      <c r="F28" s="234">
        <f>VLOOKUP(A28,[17]進出口值表查詢結果!$B$10:$E$25,3,0)</f>
        <v>4435</v>
      </c>
      <c r="G28" s="254">
        <v>0</v>
      </c>
      <c r="H28" s="304">
        <f t="shared" si="10"/>
        <v>0</v>
      </c>
      <c r="I28" s="214"/>
      <c r="J28" s="214"/>
      <c r="K28" s="36"/>
    </row>
    <row r="29" spans="1:11">
      <c r="A29" s="619">
        <v>87149490009</v>
      </c>
      <c r="B29" s="232" t="s">
        <v>153</v>
      </c>
      <c r="C29" s="233">
        <f>VLOOKUP(A29,[17]進出口值表查詢結果!$B$10:$E$25,4,0)</f>
        <v>74631</v>
      </c>
      <c r="D29" s="266">
        <f>VLOOKUP(A29,[18]進出口值表查詢結果!$B$10:$E$24,4,0)</f>
        <v>88749</v>
      </c>
      <c r="E29" s="304">
        <f t="shared" si="8"/>
        <v>-0.15907784876449313</v>
      </c>
      <c r="F29" s="234">
        <f>VLOOKUP(A29,[17]進出口值表查詢結果!$B$10:$E$25,3,0)</f>
        <v>3154261</v>
      </c>
      <c r="G29" s="254">
        <f>VLOOKUP(A29,[18]進出口值表查詢結果!$B$10:$E$24,3,0)</f>
        <v>2820891</v>
      </c>
      <c r="H29" s="304">
        <f t="shared" si="10"/>
        <v>0.11817897253031046</v>
      </c>
      <c r="I29" s="214"/>
      <c r="J29" s="214"/>
      <c r="K29" s="36"/>
    </row>
    <row r="30" spans="1:11">
      <c r="A30" s="619">
        <v>87149500007</v>
      </c>
      <c r="B30" s="232" t="s">
        <v>155</v>
      </c>
      <c r="C30" s="233">
        <f>VLOOKUP(A30,[17]進出口值表查詢結果!$B$10:$E$25,4,0)</f>
        <v>746</v>
      </c>
      <c r="D30" s="266">
        <f>VLOOKUP(A30,[18]進出口值表查詢結果!$B$10:$E$24,4,0)</f>
        <v>4607</v>
      </c>
      <c r="E30" s="304">
        <f t="shared" si="8"/>
        <v>-0.83807249837204256</v>
      </c>
      <c r="F30" s="234">
        <f>VLOOKUP(A30,[17]進出口值表查詢結果!$B$10:$E$25,3,0)</f>
        <v>41172</v>
      </c>
      <c r="G30" s="254">
        <f>VLOOKUP(A30,[18]進出口值表查詢結果!$B$10:$E$24,3,0)</f>
        <v>253025</v>
      </c>
      <c r="H30" s="304">
        <f t="shared" si="10"/>
        <v>-0.83728090109672959</v>
      </c>
      <c r="I30" s="214"/>
      <c r="J30" s="265"/>
      <c r="K30" s="36"/>
    </row>
    <row r="31" spans="1:11">
      <c r="A31" s="619">
        <v>87149610004</v>
      </c>
      <c r="B31" s="232" t="s">
        <v>157</v>
      </c>
      <c r="C31" s="233">
        <f>VLOOKUP(A31,[17]進出口值表查詢結果!$B$10:$E$25,4,0)</f>
        <v>6981</v>
      </c>
      <c r="D31" s="266">
        <f>VLOOKUP(A31,[18]進出口值表查詢結果!$B$10:$E$24,4,0)</f>
        <v>22433</v>
      </c>
      <c r="E31" s="304">
        <f t="shared" si="8"/>
        <v>-0.6888066687469353</v>
      </c>
      <c r="F31" s="234">
        <f>VLOOKUP(A31,[17]進出口值表查詢結果!$B$10:$E$25,3,0)</f>
        <v>278382</v>
      </c>
      <c r="G31" s="254">
        <f>VLOOKUP(A31,[18]進出口值表查詢結果!$B$10:$E$24,3,0)</f>
        <v>259410</v>
      </c>
      <c r="H31" s="304">
        <f t="shared" si="10"/>
        <v>7.3135191395859833E-2</v>
      </c>
      <c r="I31" s="214"/>
      <c r="J31" s="214"/>
      <c r="K31" s="36"/>
    </row>
    <row r="32" spans="1:11">
      <c r="A32" s="619">
        <v>87149620002</v>
      </c>
      <c r="B32" s="232" t="s">
        <v>159</v>
      </c>
      <c r="C32" s="233">
        <f>VLOOKUP(A32,[17]進出口值表查詢結果!$B$10:$E$25,4,0)</f>
        <v>8835</v>
      </c>
      <c r="D32" s="266">
        <f>VLOOKUP(A32,[18]進出口值表查詢結果!$B$10:$E$24,4,0)</f>
        <v>17344</v>
      </c>
      <c r="E32" s="304">
        <f t="shared" si="8"/>
        <v>-0.49060193726937268</v>
      </c>
      <c r="F32" s="234">
        <f>VLOOKUP(A32,[17]進出口值表查詢結果!$B$10:$E$25,3,0)</f>
        <v>574274</v>
      </c>
      <c r="G32" s="254">
        <f>VLOOKUP(A32,[18]進出口值表查詢結果!$B$10:$E$24,3,0)</f>
        <v>910636</v>
      </c>
      <c r="H32" s="304">
        <f t="shared" si="10"/>
        <v>-0.36937041803750348</v>
      </c>
      <c r="I32" s="214"/>
      <c r="J32" s="214"/>
      <c r="K32" s="36"/>
    </row>
    <row r="33" spans="1:11">
      <c r="A33" s="619">
        <v>73151100209</v>
      </c>
      <c r="B33" s="232" t="s">
        <v>161</v>
      </c>
      <c r="C33" s="233">
        <v>6761</v>
      </c>
      <c r="D33" s="266">
        <v>7581</v>
      </c>
      <c r="E33" s="302">
        <f t="shared" si="8"/>
        <v>-0.10816514971639625</v>
      </c>
      <c r="F33" s="234">
        <v>199643</v>
      </c>
      <c r="G33" s="254">
        <v>245205</v>
      </c>
      <c r="H33" s="304">
        <f t="shared" si="10"/>
        <v>-0.18581187169919047</v>
      </c>
      <c r="I33" s="214"/>
      <c r="J33" s="214"/>
      <c r="K33" s="36"/>
    </row>
    <row r="34" spans="1:11">
      <c r="A34" s="619">
        <v>87149990111</v>
      </c>
      <c r="B34" s="232" t="s">
        <v>163</v>
      </c>
      <c r="C34" s="233">
        <f>VLOOKUP(A34,[17]進出口值表查詢結果!$B$10:$E$25,4,0)</f>
        <v>6268</v>
      </c>
      <c r="D34" s="266">
        <f>VLOOKUP(A34,[18]進出口值表查詢結果!$B$10:$E$24,4,0)</f>
        <v>54857</v>
      </c>
      <c r="E34" s="302">
        <f t="shared" si="8"/>
        <v>-0.8857392857793901</v>
      </c>
      <c r="F34" s="234">
        <f>VLOOKUP(A34,[17]進出口值表查詢結果!$B$10:$E$25,3,0)</f>
        <v>1093104</v>
      </c>
      <c r="G34" s="254">
        <f>VLOOKUP(A34,[18]進出口值表查詢結果!$B$10:$E$24,3,0)</f>
        <v>2552107</v>
      </c>
      <c r="H34" s="304">
        <f t="shared" si="10"/>
        <v>-0.57168566991901204</v>
      </c>
      <c r="I34" s="214"/>
      <c r="J34" s="214"/>
      <c r="K34" s="36"/>
    </row>
    <row r="35" spans="1:11">
      <c r="A35" s="619">
        <v>87149320906</v>
      </c>
      <c r="B35" s="232" t="s">
        <v>424</v>
      </c>
      <c r="C35" s="233">
        <f>VLOOKUP(A35,[17]進出口值表查詢結果!$B$10:$E$25,4,0)</f>
        <v>35739</v>
      </c>
      <c r="D35" s="266">
        <f>VLOOKUP(A35,[18]進出口值表查詢結果!$B$10:$E$24,4,0)</f>
        <v>41029</v>
      </c>
      <c r="E35" s="302">
        <f t="shared" si="8"/>
        <v>-0.12893319359477443</v>
      </c>
      <c r="F35" s="234">
        <f>VLOOKUP(A35,[17]進出口值表查詢結果!$B$10:$E$25,3,0)</f>
        <v>1110350</v>
      </c>
      <c r="G35" s="254">
        <f>VLOOKUP(A35,[18]進出口值表查詢結果!$B$10:$E$24,3,0)</f>
        <v>998716</v>
      </c>
      <c r="H35" s="304">
        <f t="shared" si="10"/>
        <v>0.11177752233868286</v>
      </c>
      <c r="I35" s="214"/>
      <c r="J35" s="214"/>
      <c r="K35" s="36"/>
    </row>
    <row r="36" spans="1:11">
      <c r="A36" s="619">
        <v>87149990139</v>
      </c>
      <c r="B36" s="232" t="s">
        <v>167</v>
      </c>
      <c r="C36" s="233">
        <f>VLOOKUP(A36,[17]進出口值表查詢結果!$B$10:$E$25,4,0)</f>
        <v>1437</v>
      </c>
      <c r="D36" s="266">
        <f>VLOOKUP(A36,[18]進出口值表查詢結果!$B$10:$E$24,4,0)</f>
        <v>845</v>
      </c>
      <c r="E36" s="304">
        <f t="shared" si="8"/>
        <v>0.70059171597633141</v>
      </c>
      <c r="F36" s="234">
        <f>VLOOKUP(A36,[17]進出口值表查詢結果!$B$10:$E$25,3,0)</f>
        <v>16410</v>
      </c>
      <c r="G36" s="254">
        <f>VLOOKUP(A36,[18]進出口值表查詢結果!$B$10:$E$24,3,0)</f>
        <v>51255</v>
      </c>
      <c r="H36" s="304">
        <f t="shared" si="10"/>
        <v>-0.67983611354989759</v>
      </c>
      <c r="I36" s="214"/>
      <c r="J36" s="214"/>
      <c r="K36" s="36"/>
    </row>
    <row r="37" spans="1:11">
      <c r="A37" s="619">
        <v>87149990148</v>
      </c>
      <c r="B37" s="232" t="s">
        <v>169</v>
      </c>
      <c r="C37" s="233">
        <f>VLOOKUP(A37,[17]進出口值表查詢結果!$B$10:$E$25,4,0)</f>
        <v>30569</v>
      </c>
      <c r="D37" s="266">
        <f>VLOOKUP(A37,[18]進出口值表查詢結果!$B$10:$E$24,4,0)</f>
        <v>4575</v>
      </c>
      <c r="E37" s="302">
        <f t="shared" si="8"/>
        <v>5.6817486338797814</v>
      </c>
      <c r="F37" s="234">
        <f>VLOOKUP(A37,[17]進出口值表查詢結果!$B$10:$E$25,3,0)</f>
        <v>697532</v>
      </c>
      <c r="G37" s="254">
        <f>VLOOKUP(A37,[18]進出口值表查詢結果!$B$10:$E$24,3,0)</f>
        <v>170341</v>
      </c>
      <c r="H37" s="304">
        <f t="shared" si="10"/>
        <v>3.0949154930404306</v>
      </c>
      <c r="I37" s="214"/>
      <c r="J37" s="214"/>
      <c r="K37" s="36"/>
    </row>
    <row r="38" spans="1:11">
      <c r="A38" s="619">
        <v>87149990157</v>
      </c>
      <c r="B38" s="232" t="s">
        <v>171</v>
      </c>
      <c r="C38" s="233">
        <f>VLOOKUP(A38,[17]進出口值表查詢結果!$B$10:$E$25,4,0)</f>
        <v>23773</v>
      </c>
      <c r="D38" s="266">
        <f>VLOOKUP(A38,[18]進出口值表查詢結果!$B$10:$E$24,4,0)</f>
        <v>4635</v>
      </c>
      <c r="E38" s="302">
        <f t="shared" si="8"/>
        <v>4.1290183387270769</v>
      </c>
      <c r="F38" s="234">
        <f>VLOOKUP(A38,[17]進出口值表查詢結果!$B$10:$E$25,3,0)</f>
        <v>374720</v>
      </c>
      <c r="G38" s="254">
        <f>VLOOKUP(A38,[18]進出口值表查詢結果!$B$10:$E$24,3,0)</f>
        <v>369387</v>
      </c>
      <c r="H38" s="304">
        <f t="shared" si="10"/>
        <v>1.443743282790136E-2</v>
      </c>
      <c r="I38" s="214"/>
      <c r="J38" s="214"/>
      <c r="K38" s="36"/>
    </row>
    <row r="39" spans="1:11">
      <c r="A39" s="619">
        <v>87149990166</v>
      </c>
      <c r="B39" s="232" t="s">
        <v>173</v>
      </c>
      <c r="C39" s="233">
        <f>VLOOKUP(A39,[17]進出口值表查詢結果!$B$10:$E$25,4,0)</f>
        <v>35707</v>
      </c>
      <c r="D39" s="266">
        <f>VLOOKUP(A39,[18]進出口值表查詢結果!$B$10:$E$24,4,0)</f>
        <v>7578</v>
      </c>
      <c r="E39" s="304">
        <f t="shared" si="8"/>
        <v>3.711929268936395</v>
      </c>
      <c r="F39" s="234">
        <f>VLOOKUP(A39,[17]進出口值表查詢結果!$B$10:$E$25,3,0)</f>
        <v>704183</v>
      </c>
      <c r="G39" s="254">
        <f>VLOOKUP(A39,[18]進出口值表查詢結果!$B$10:$E$24,3,0)</f>
        <v>603079</v>
      </c>
      <c r="H39" s="304">
        <f t="shared" si="10"/>
        <v>0.16764636142196959</v>
      </c>
      <c r="I39" s="318"/>
      <c r="J39" s="214"/>
      <c r="K39" s="36"/>
    </row>
    <row r="40" spans="1:11">
      <c r="A40" s="619">
        <v>40115000008</v>
      </c>
      <c r="B40" s="232" t="s">
        <v>175</v>
      </c>
      <c r="C40" s="233">
        <v>43225</v>
      </c>
      <c r="D40" s="266">
        <v>56154</v>
      </c>
      <c r="E40" s="304">
        <f t="shared" si="8"/>
        <v>-0.23024183495387684</v>
      </c>
      <c r="F40" s="234">
        <v>701427</v>
      </c>
      <c r="G40" s="254">
        <v>931359</v>
      </c>
      <c r="H40" s="304">
        <f t="shared" si="10"/>
        <v>-0.24687794931922064</v>
      </c>
      <c r="I40" s="214"/>
      <c r="J40" s="214"/>
      <c r="K40" s="36"/>
    </row>
    <row r="41" spans="1:11">
      <c r="A41" s="619">
        <v>40132000003</v>
      </c>
      <c r="B41" s="232" t="s">
        <v>177</v>
      </c>
      <c r="C41" s="233">
        <v>2062</v>
      </c>
      <c r="D41" s="266">
        <v>748</v>
      </c>
      <c r="E41" s="302">
        <f t="shared" si="8"/>
        <v>1.7566844919786095</v>
      </c>
      <c r="F41" s="234">
        <v>20863</v>
      </c>
      <c r="G41" s="254">
        <v>9245</v>
      </c>
      <c r="H41" s="304">
        <f t="shared" si="10"/>
        <v>1.2566792861005949</v>
      </c>
      <c r="I41" s="214"/>
      <c r="J41" s="214"/>
      <c r="K41" s="36"/>
    </row>
    <row r="42" spans="1:11" ht="20.25" thickBot="1">
      <c r="A42" s="267" t="s">
        <v>131</v>
      </c>
      <c r="B42" s="268"/>
      <c r="C42" s="319">
        <f>SUM(C20:C41)</f>
        <v>402465</v>
      </c>
      <c r="D42" s="290">
        <f>SUM(D20:D41)</f>
        <v>492537</v>
      </c>
      <c r="E42" s="534">
        <f t="shared" ref="E42" si="11">(C42-D42)/D42</f>
        <v>-0.18287357091954512</v>
      </c>
      <c r="F42" s="321">
        <f>SUM(F20:F41)</f>
        <v>16219932</v>
      </c>
      <c r="G42" s="322">
        <f>SUM(G20:G41)</f>
        <v>24099455</v>
      </c>
      <c r="H42" s="534">
        <f t="shared" ref="H42" si="12">(F42-G42)/G42</f>
        <v>-0.32695855570177834</v>
      </c>
      <c r="I42" s="4"/>
      <c r="J42" s="4"/>
      <c r="K42" s="36"/>
    </row>
    <row r="43" spans="1:11" ht="17.25" thickTop="1">
      <c r="A43" s="256"/>
      <c r="B43" s="272"/>
      <c r="C43" s="258"/>
      <c r="D43" s="258"/>
      <c r="E43" s="259"/>
      <c r="F43" s="258"/>
      <c r="G43" s="315"/>
      <c r="H43" s="316"/>
      <c r="I43" s="4"/>
      <c r="J43" s="4"/>
      <c r="K43" s="36"/>
    </row>
    <row r="44" spans="1:11">
      <c r="A44" s="57" t="s">
        <v>193</v>
      </c>
      <c r="B44" s="3"/>
      <c r="C44" s="35"/>
      <c r="D44" s="3"/>
      <c r="E44" s="3"/>
      <c r="F44" s="3"/>
      <c r="G44" s="291"/>
      <c r="H44" s="36"/>
      <c r="I44" s="4"/>
      <c r="J44" s="4"/>
      <c r="K44" s="36"/>
    </row>
    <row r="45" spans="1:11" ht="18">
      <c r="A45" s="156" t="s">
        <v>186</v>
      </c>
      <c r="B45" s="61"/>
      <c r="C45" s="62"/>
      <c r="D45" s="64"/>
      <c r="E45" s="61"/>
      <c r="F45" s="62"/>
      <c r="G45" s="323"/>
      <c r="H45" s="324"/>
      <c r="I45" s="60"/>
      <c r="J45" s="60"/>
      <c r="K45" s="324"/>
    </row>
  </sheetData>
  <mergeCells count="2">
    <mergeCell ref="A16:H16"/>
    <mergeCell ref="A1:K1"/>
  </mergeCells>
  <phoneticPr fontId="3" type="noConversion"/>
  <conditionalFormatting sqref="H1:H1048576">
    <cfRule type="cellIs" dxfId="26" priority="1" operator="greaterThanOrEqual">
      <formula>0</formula>
    </cfRule>
    <cfRule type="cellIs" dxfId="25" priority="2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5"/>
  <sheetViews>
    <sheetView topLeftCell="B10" workbookViewId="0">
      <selection activeCell="C7" sqref="C7"/>
    </sheetView>
  </sheetViews>
  <sheetFormatPr defaultRowHeight="16.5"/>
  <cols>
    <col min="1" max="1" width="15.375" customWidth="1"/>
    <col min="2" max="2" width="23.75" customWidth="1"/>
    <col min="3" max="3" width="14.875" customWidth="1"/>
    <col min="6" max="6" width="17.25" customWidth="1"/>
    <col min="7" max="7" width="13.75" customWidth="1"/>
  </cols>
  <sheetData>
    <row r="1" spans="1:11" ht="19.5">
      <c r="A1" s="777" t="s">
        <v>292</v>
      </c>
      <c r="B1" s="777"/>
      <c r="C1" s="777"/>
      <c r="D1" s="777"/>
      <c r="E1" s="777"/>
      <c r="F1" s="777"/>
      <c r="G1" s="777"/>
      <c r="H1" s="777"/>
      <c r="I1" s="777"/>
      <c r="J1" s="777"/>
      <c r="K1" s="4"/>
    </row>
    <row r="2" spans="1:11">
      <c r="A2" s="213"/>
      <c r="B2" s="4"/>
      <c r="C2" s="214"/>
      <c r="D2" s="214"/>
      <c r="E2" s="214"/>
      <c r="F2" s="214"/>
      <c r="G2" s="214"/>
      <c r="H2" s="214"/>
      <c r="I2" s="4"/>
      <c r="J2" s="4"/>
      <c r="K2" s="4"/>
    </row>
    <row r="3" spans="1:11">
      <c r="A3" s="215" t="s">
        <v>109</v>
      </c>
      <c r="B3" s="216" t="s">
        <v>110</v>
      </c>
      <c r="C3" s="274" t="s">
        <v>293</v>
      </c>
      <c r="D3" s="274"/>
      <c r="E3" s="275"/>
      <c r="F3" s="276" t="s">
        <v>291</v>
      </c>
      <c r="G3" s="276"/>
      <c r="H3" s="275"/>
      <c r="I3" s="220"/>
      <c r="J3" s="277"/>
      <c r="K3" s="278"/>
    </row>
    <row r="4" spans="1:11">
      <c r="A4" s="221"/>
      <c r="B4" s="222"/>
      <c r="C4" s="279" t="s">
        <v>180</v>
      </c>
      <c r="D4" s="279"/>
      <c r="E4" s="223"/>
      <c r="F4" s="280" t="s">
        <v>181</v>
      </c>
      <c r="G4" s="280"/>
      <c r="H4" s="223"/>
      <c r="I4" s="229"/>
      <c r="J4" s="230"/>
      <c r="K4" s="281"/>
    </row>
    <row r="5" spans="1:11">
      <c r="A5" s="231" t="s">
        <v>115</v>
      </c>
      <c r="B5" s="232" t="s">
        <v>116</v>
      </c>
      <c r="C5" s="233">
        <v>335</v>
      </c>
      <c r="D5" s="266"/>
      <c r="E5" s="282"/>
      <c r="F5" s="266">
        <v>92758</v>
      </c>
      <c r="G5" s="266"/>
      <c r="H5" s="282"/>
      <c r="I5" s="33"/>
      <c r="J5" s="33"/>
      <c r="K5" s="283"/>
    </row>
    <row r="6" spans="1:11">
      <c r="A6" s="237" t="s">
        <v>117</v>
      </c>
      <c r="B6" s="238" t="s">
        <v>118</v>
      </c>
      <c r="C6" s="233">
        <v>147</v>
      </c>
      <c r="D6" s="266"/>
      <c r="E6" s="284"/>
      <c r="F6" s="266">
        <v>108181</v>
      </c>
      <c r="G6" s="266"/>
      <c r="H6" s="284"/>
      <c r="I6" s="33"/>
      <c r="J6" s="33"/>
      <c r="K6" s="283"/>
    </row>
    <row r="7" spans="1:11">
      <c r="A7" s="231" t="s">
        <v>119</v>
      </c>
      <c r="B7" s="239" t="s">
        <v>120</v>
      </c>
      <c r="C7" s="233">
        <v>256</v>
      </c>
      <c r="D7" s="233"/>
      <c r="E7" s="285"/>
      <c r="F7" s="266">
        <v>13098</v>
      </c>
      <c r="G7" s="240"/>
      <c r="H7" s="285"/>
      <c r="I7" s="286"/>
      <c r="J7" s="33"/>
      <c r="K7" s="287"/>
    </row>
    <row r="8" spans="1:11">
      <c r="A8" s="231" t="s">
        <v>121</v>
      </c>
      <c r="B8" s="239" t="s">
        <v>122</v>
      </c>
      <c r="C8" s="233">
        <v>75</v>
      </c>
      <c r="D8" s="233"/>
      <c r="E8" s="285"/>
      <c r="F8" s="266">
        <v>33190</v>
      </c>
      <c r="G8" s="240"/>
      <c r="H8" s="285"/>
      <c r="I8" s="286"/>
      <c r="J8" s="33"/>
      <c r="K8" s="287"/>
    </row>
    <row r="9" spans="1:11">
      <c r="A9" s="231" t="s">
        <v>123</v>
      </c>
      <c r="B9" s="239" t="s">
        <v>124</v>
      </c>
      <c r="C9" s="233">
        <v>1574</v>
      </c>
      <c r="D9" s="233"/>
      <c r="E9" s="285"/>
      <c r="F9" s="266">
        <v>1349036</v>
      </c>
      <c r="G9" s="240"/>
      <c r="H9" s="285"/>
      <c r="I9" s="286"/>
      <c r="J9" s="33"/>
      <c r="K9" s="287"/>
    </row>
    <row r="10" spans="1:11">
      <c r="A10" s="231" t="s">
        <v>125</v>
      </c>
      <c r="B10" s="239" t="s">
        <v>126</v>
      </c>
      <c r="C10" s="233">
        <v>5452</v>
      </c>
      <c r="D10" s="233"/>
      <c r="E10" s="285"/>
      <c r="F10" s="266">
        <v>6850730</v>
      </c>
      <c r="G10" s="240"/>
      <c r="H10" s="285"/>
      <c r="I10" s="286"/>
      <c r="J10" s="33"/>
      <c r="K10" s="287"/>
    </row>
    <row r="11" spans="1:11" ht="20.25" thickBot="1">
      <c r="A11" s="242" t="s">
        <v>127</v>
      </c>
      <c r="B11" s="243" t="s">
        <v>182</v>
      </c>
      <c r="C11" s="244">
        <f>SUM(C5:C10)</f>
        <v>7839</v>
      </c>
      <c r="D11" s="244"/>
      <c r="E11" s="244"/>
      <c r="F11" s="244">
        <f>SUM(F5:F10)</f>
        <v>8446993</v>
      </c>
      <c r="G11" s="244"/>
      <c r="H11" s="244"/>
      <c r="I11" s="248"/>
      <c r="J11" s="248"/>
      <c r="K11" s="288"/>
    </row>
    <row r="12" spans="1:11" ht="17.25" thickTop="1">
      <c r="A12" s="249"/>
      <c r="B12" s="250"/>
      <c r="C12" s="251"/>
      <c r="D12" s="214"/>
      <c r="E12" s="261"/>
      <c r="F12" s="214"/>
      <c r="G12" s="214"/>
      <c r="H12" s="261"/>
      <c r="I12" s="5"/>
      <c r="J12" s="5"/>
      <c r="K12" s="4"/>
    </row>
    <row r="13" spans="1:11">
      <c r="A13" s="231" t="s">
        <v>129</v>
      </c>
      <c r="B13" s="232" t="s">
        <v>130</v>
      </c>
      <c r="C13" s="233">
        <v>175</v>
      </c>
      <c r="D13" s="266"/>
      <c r="E13" s="282"/>
      <c r="F13" s="266">
        <v>42264</v>
      </c>
      <c r="G13" s="266"/>
      <c r="H13" s="282"/>
      <c r="I13" s="33"/>
      <c r="J13" s="33"/>
      <c r="K13" s="283"/>
    </row>
    <row r="14" spans="1:11" ht="20.25" thickBot="1">
      <c r="A14" s="242" t="s">
        <v>131</v>
      </c>
      <c r="B14" s="255" t="s">
        <v>183</v>
      </c>
      <c r="C14" s="244">
        <f>C11+C13</f>
        <v>8014</v>
      </c>
      <c r="D14" s="244"/>
      <c r="E14" s="244"/>
      <c r="F14" s="244">
        <f>F11+F13</f>
        <v>8489257</v>
      </c>
      <c r="G14" s="244"/>
      <c r="H14" s="244"/>
      <c r="I14" s="248"/>
      <c r="J14" s="248"/>
      <c r="K14" s="289"/>
    </row>
    <row r="15" spans="1:11" ht="17.25" thickTop="1">
      <c r="A15" s="256"/>
      <c r="B15" s="257"/>
      <c r="C15" s="258"/>
      <c r="D15" s="258"/>
      <c r="E15" s="259"/>
      <c r="F15" s="258"/>
      <c r="G15" s="258"/>
      <c r="H15" s="259"/>
      <c r="I15" s="260"/>
      <c r="J15" s="260"/>
      <c r="K15" s="4"/>
    </row>
    <row r="16" spans="1:11" ht="19.5">
      <c r="A16" s="777" t="s">
        <v>289</v>
      </c>
      <c r="B16" s="777"/>
      <c r="C16" s="777"/>
      <c r="D16" s="777"/>
      <c r="E16" s="777"/>
      <c r="F16" s="777"/>
      <c r="G16" s="777"/>
      <c r="H16" s="777"/>
      <c r="I16" s="777"/>
      <c r="J16" s="777"/>
      <c r="K16" s="4"/>
    </row>
    <row r="17" spans="1:11">
      <c r="A17" s="249"/>
      <c r="B17" s="250"/>
      <c r="C17" s="214"/>
      <c r="D17" s="214"/>
      <c r="E17" s="261"/>
      <c r="F17" s="214"/>
      <c r="G17" s="214"/>
      <c r="H17" s="261"/>
      <c r="I17" s="5"/>
      <c r="J17" s="5"/>
      <c r="K17" s="4"/>
    </row>
    <row r="18" spans="1:11">
      <c r="A18" s="215" t="s">
        <v>109</v>
      </c>
      <c r="B18" s="216" t="s">
        <v>110</v>
      </c>
      <c r="C18" s="274" t="s">
        <v>290</v>
      </c>
      <c r="D18" s="274"/>
      <c r="E18" s="275"/>
      <c r="F18" s="276" t="s">
        <v>291</v>
      </c>
      <c r="G18" s="276"/>
      <c r="H18" s="275"/>
      <c r="I18" s="262"/>
      <c r="J18" s="262"/>
      <c r="K18" s="4"/>
    </row>
    <row r="19" spans="1:11">
      <c r="A19" s="221"/>
      <c r="B19" s="222"/>
      <c r="C19" s="279" t="s">
        <v>184</v>
      </c>
      <c r="D19" s="279"/>
      <c r="E19" s="223"/>
      <c r="F19" s="280" t="s">
        <v>181</v>
      </c>
      <c r="G19" s="280"/>
      <c r="H19" s="223"/>
      <c r="I19" s="263"/>
      <c r="J19" s="262"/>
      <c r="K19" s="4"/>
    </row>
    <row r="20" spans="1:11">
      <c r="A20" s="264" t="s">
        <v>134</v>
      </c>
      <c r="B20" s="232" t="s">
        <v>135</v>
      </c>
      <c r="C20" s="233">
        <v>1716</v>
      </c>
      <c r="D20" s="266"/>
      <c r="E20" s="282"/>
      <c r="F20" s="266">
        <v>154775</v>
      </c>
      <c r="G20" s="266"/>
      <c r="H20" s="282"/>
      <c r="I20" s="214"/>
      <c r="J20" s="214"/>
      <c r="K20" s="4"/>
    </row>
    <row r="21" spans="1:11">
      <c r="A21" s="264" t="s">
        <v>136</v>
      </c>
      <c r="B21" s="232" t="s">
        <v>137</v>
      </c>
      <c r="C21" s="233">
        <v>63</v>
      </c>
      <c r="D21" s="266"/>
      <c r="E21" s="284"/>
      <c r="F21" s="266">
        <v>9527</v>
      </c>
      <c r="G21" s="266"/>
      <c r="H21" s="282"/>
      <c r="I21" s="214"/>
      <c r="J21" s="214"/>
      <c r="K21" s="4"/>
    </row>
    <row r="22" spans="1:11">
      <c r="A22" s="264" t="s">
        <v>138</v>
      </c>
      <c r="B22" s="232" t="s">
        <v>139</v>
      </c>
      <c r="C22" s="233">
        <v>479660</v>
      </c>
      <c r="D22" s="266"/>
      <c r="E22" s="282"/>
      <c r="F22" s="266">
        <v>13536932</v>
      </c>
      <c r="G22" s="266"/>
      <c r="H22" s="282"/>
      <c r="I22" s="214"/>
      <c r="J22" s="214"/>
      <c r="K22" s="4"/>
    </row>
    <row r="23" spans="1:11">
      <c r="A23" s="264" t="s">
        <v>140</v>
      </c>
      <c r="B23" s="232" t="s">
        <v>141</v>
      </c>
      <c r="C23" s="233">
        <v>67802</v>
      </c>
      <c r="D23" s="266"/>
      <c r="E23" s="282"/>
      <c r="F23" s="266">
        <v>762305</v>
      </c>
      <c r="G23" s="266"/>
      <c r="H23" s="282"/>
      <c r="I23" s="214"/>
      <c r="J23" s="214"/>
      <c r="K23" s="4"/>
    </row>
    <row r="24" spans="1:11">
      <c r="A24" s="264" t="s">
        <v>142</v>
      </c>
      <c r="B24" s="232" t="s">
        <v>143</v>
      </c>
      <c r="C24" s="233">
        <v>37756</v>
      </c>
      <c r="D24" s="266"/>
      <c r="E24" s="282"/>
      <c r="F24" s="266">
        <v>457045</v>
      </c>
      <c r="G24" s="266"/>
      <c r="H24" s="282"/>
      <c r="I24" s="214"/>
      <c r="J24" s="214"/>
      <c r="K24" s="4"/>
    </row>
    <row r="25" spans="1:11">
      <c r="A25" s="264" t="s">
        <v>144</v>
      </c>
      <c r="B25" s="232" t="s">
        <v>145</v>
      </c>
      <c r="C25" s="233">
        <v>17955</v>
      </c>
      <c r="D25" s="266"/>
      <c r="E25" s="284"/>
      <c r="F25" s="266">
        <v>616937</v>
      </c>
      <c r="G25" s="266"/>
      <c r="H25" s="282"/>
      <c r="I25" s="214"/>
      <c r="J25" s="214"/>
      <c r="K25" s="4"/>
    </row>
    <row r="26" spans="1:11">
      <c r="A26" s="264" t="s">
        <v>146</v>
      </c>
      <c r="B26" s="232" t="s">
        <v>147</v>
      </c>
      <c r="C26" s="233">
        <v>17615</v>
      </c>
      <c r="D26" s="266"/>
      <c r="E26" s="284"/>
      <c r="F26" s="266">
        <v>1172865</v>
      </c>
      <c r="G26" s="266"/>
      <c r="H26" s="284"/>
      <c r="I26" s="214"/>
      <c r="J26" s="214"/>
      <c r="K26" s="4"/>
    </row>
    <row r="27" spans="1:11">
      <c r="A27" s="264" t="s">
        <v>148</v>
      </c>
      <c r="B27" s="232" t="s">
        <v>149</v>
      </c>
      <c r="C27" s="233">
        <v>93981</v>
      </c>
      <c r="D27" s="266"/>
      <c r="E27" s="284"/>
      <c r="F27" s="266">
        <v>2466496</v>
      </c>
      <c r="G27" s="266"/>
      <c r="H27" s="282"/>
      <c r="I27" s="214"/>
      <c r="J27" s="214"/>
      <c r="K27" s="4"/>
    </row>
    <row r="28" spans="1:11">
      <c r="A28" s="264" t="s">
        <v>150</v>
      </c>
      <c r="B28" s="232" t="s">
        <v>151</v>
      </c>
      <c r="C28" s="233">
        <v>987</v>
      </c>
      <c r="D28" s="266"/>
      <c r="E28" s="284"/>
      <c r="F28" s="266">
        <v>15642</v>
      </c>
      <c r="G28" s="266"/>
      <c r="H28" s="282"/>
      <c r="I28" s="214"/>
      <c r="J28" s="214"/>
      <c r="K28" s="4"/>
    </row>
    <row r="29" spans="1:11">
      <c r="A29" s="264" t="s">
        <v>152</v>
      </c>
      <c r="B29" s="232" t="s">
        <v>153</v>
      </c>
      <c r="C29" s="233">
        <v>349454</v>
      </c>
      <c r="D29" s="266"/>
      <c r="E29" s="282"/>
      <c r="F29" s="266">
        <v>9306393</v>
      </c>
      <c r="G29" s="266"/>
      <c r="H29" s="282"/>
      <c r="I29" s="214"/>
      <c r="J29" s="214"/>
      <c r="K29" s="4"/>
    </row>
    <row r="30" spans="1:11">
      <c r="A30" s="264" t="s">
        <v>154</v>
      </c>
      <c r="B30" s="232" t="s">
        <v>155</v>
      </c>
      <c r="C30" s="233">
        <v>22690</v>
      </c>
      <c r="D30" s="266"/>
      <c r="E30" s="282"/>
      <c r="F30" s="266">
        <v>708528</v>
      </c>
      <c r="G30" s="266"/>
      <c r="H30" s="282"/>
      <c r="I30" s="214"/>
      <c r="J30" s="214"/>
      <c r="K30" s="4"/>
    </row>
    <row r="31" spans="1:11">
      <c r="A31" s="264" t="s">
        <v>156</v>
      </c>
      <c r="B31" s="232" t="s">
        <v>157</v>
      </c>
      <c r="C31" s="233">
        <v>85167</v>
      </c>
      <c r="D31" s="266"/>
      <c r="E31" s="282"/>
      <c r="F31" s="266">
        <v>890192</v>
      </c>
      <c r="G31" s="266"/>
      <c r="H31" s="282"/>
      <c r="I31" s="214"/>
      <c r="J31" s="214"/>
      <c r="K31" s="4"/>
    </row>
    <row r="32" spans="1:11">
      <c r="A32" s="264" t="s">
        <v>158</v>
      </c>
      <c r="B32" s="232" t="s">
        <v>159</v>
      </c>
      <c r="C32" s="233">
        <v>240282</v>
      </c>
      <c r="D32" s="266"/>
      <c r="E32" s="282"/>
      <c r="F32" s="266">
        <v>3516416</v>
      </c>
      <c r="G32" s="266"/>
      <c r="H32" s="282"/>
      <c r="I32" s="214"/>
      <c r="J32" s="214"/>
      <c r="K32" s="4"/>
    </row>
    <row r="33" spans="1:11">
      <c r="A33" s="264" t="s">
        <v>160</v>
      </c>
      <c r="B33" s="232" t="s">
        <v>161</v>
      </c>
      <c r="C33" s="233">
        <v>43993</v>
      </c>
      <c r="D33" s="266"/>
      <c r="E33" s="284"/>
      <c r="F33" s="266">
        <v>1023316</v>
      </c>
      <c r="G33" s="266"/>
      <c r="H33" s="282"/>
      <c r="I33" s="214"/>
      <c r="J33" s="214"/>
      <c r="K33" s="4"/>
    </row>
    <row r="34" spans="1:11">
      <c r="A34" s="264" t="s">
        <v>162</v>
      </c>
      <c r="B34" s="232" t="s">
        <v>163</v>
      </c>
      <c r="C34" s="233">
        <v>36202</v>
      </c>
      <c r="D34" s="266"/>
      <c r="E34" s="282"/>
      <c r="F34" s="266">
        <v>3107825</v>
      </c>
      <c r="G34" s="266"/>
      <c r="H34" s="282"/>
      <c r="I34" s="214"/>
      <c r="J34" s="214"/>
      <c r="K34" s="4"/>
    </row>
    <row r="35" spans="1:11">
      <c r="A35" s="264" t="s">
        <v>164</v>
      </c>
      <c r="B35" s="232" t="s">
        <v>165</v>
      </c>
      <c r="C35" s="233">
        <v>14314</v>
      </c>
      <c r="D35" s="266"/>
      <c r="E35" s="284"/>
      <c r="F35" s="266">
        <v>404905</v>
      </c>
      <c r="G35" s="266"/>
      <c r="H35" s="282"/>
      <c r="I35" s="214"/>
      <c r="J35" s="214"/>
      <c r="K35" s="4"/>
    </row>
    <row r="36" spans="1:11">
      <c r="A36" s="264" t="s">
        <v>166</v>
      </c>
      <c r="B36" s="232" t="s">
        <v>167</v>
      </c>
      <c r="C36" s="233">
        <v>30338</v>
      </c>
      <c r="D36" s="266"/>
      <c r="E36" s="284"/>
      <c r="F36" s="266">
        <v>226075</v>
      </c>
      <c r="G36" s="266"/>
      <c r="H36" s="284"/>
      <c r="I36" s="214"/>
      <c r="J36" s="214"/>
      <c r="K36" s="4"/>
    </row>
    <row r="37" spans="1:11">
      <c r="A37" s="264" t="s">
        <v>168</v>
      </c>
      <c r="B37" s="232" t="s">
        <v>169</v>
      </c>
      <c r="C37" s="233">
        <v>14398</v>
      </c>
      <c r="D37" s="266"/>
      <c r="E37" s="282"/>
      <c r="F37" s="266">
        <v>331905</v>
      </c>
      <c r="G37" s="266"/>
      <c r="H37" s="282"/>
      <c r="I37" s="214"/>
      <c r="J37" s="214"/>
      <c r="K37" s="4"/>
    </row>
    <row r="38" spans="1:11">
      <c r="A38" s="264" t="s">
        <v>170</v>
      </c>
      <c r="B38" s="232" t="s">
        <v>171</v>
      </c>
      <c r="C38" s="233">
        <v>17105</v>
      </c>
      <c r="D38" s="266"/>
      <c r="E38" s="284"/>
      <c r="F38" s="266">
        <v>634389</v>
      </c>
      <c r="G38" s="266"/>
      <c r="H38" s="282"/>
      <c r="I38" s="214"/>
      <c r="J38" s="214"/>
      <c r="K38" s="4"/>
    </row>
    <row r="39" spans="1:11">
      <c r="A39" s="264" t="s">
        <v>172</v>
      </c>
      <c r="B39" s="232" t="s">
        <v>173</v>
      </c>
      <c r="C39" s="233">
        <v>31833</v>
      </c>
      <c r="D39" s="266"/>
      <c r="E39" s="284"/>
      <c r="F39" s="266">
        <v>712865</v>
      </c>
      <c r="G39" s="266"/>
      <c r="H39" s="282"/>
      <c r="I39" s="214"/>
      <c r="J39" s="214"/>
      <c r="K39" s="4"/>
    </row>
    <row r="40" spans="1:11">
      <c r="A40" s="264" t="s">
        <v>174</v>
      </c>
      <c r="B40" s="232" t="s">
        <v>175</v>
      </c>
      <c r="C40" s="233">
        <v>230767</v>
      </c>
      <c r="D40" s="266"/>
      <c r="E40" s="282"/>
      <c r="F40" s="266">
        <v>2158321</v>
      </c>
      <c r="G40" s="266"/>
      <c r="H40" s="282"/>
      <c r="I40" s="214"/>
      <c r="J40" s="214"/>
      <c r="K40" s="4"/>
    </row>
    <row r="41" spans="1:11">
      <c r="A41" s="264" t="s">
        <v>176</v>
      </c>
      <c r="B41" s="232" t="s">
        <v>177</v>
      </c>
      <c r="C41" s="233">
        <v>19415</v>
      </c>
      <c r="D41" s="266"/>
      <c r="E41" s="282"/>
      <c r="F41" s="266">
        <v>179889</v>
      </c>
      <c r="G41" s="266"/>
      <c r="H41" s="282"/>
      <c r="I41" s="214"/>
      <c r="J41" s="214"/>
      <c r="K41" s="4"/>
    </row>
    <row r="42" spans="1:11" ht="20.25" thickBot="1">
      <c r="A42" s="267" t="s">
        <v>131</v>
      </c>
      <c r="B42" s="268"/>
      <c r="C42" s="290">
        <f>SUM(C20:C41)</f>
        <v>1853493</v>
      </c>
      <c r="D42" s="290">
        <f>SUM(D20:D41)</f>
        <v>0</v>
      </c>
      <c r="E42" s="290"/>
      <c r="F42" s="290">
        <f>SUM(F20:F41)</f>
        <v>42393543</v>
      </c>
      <c r="G42" s="290">
        <f>SUM(G20:G41)</f>
        <v>0</v>
      </c>
      <c r="H42" s="290"/>
      <c r="I42" s="4"/>
      <c r="J42" s="4"/>
      <c r="K42" s="4"/>
    </row>
    <row r="43" spans="1:11" ht="17.25" thickTop="1">
      <c r="A43" s="256"/>
      <c r="B43" s="272"/>
      <c r="C43" s="258"/>
      <c r="D43" s="258"/>
      <c r="E43" s="259"/>
      <c r="F43" s="258"/>
      <c r="G43" s="258"/>
      <c r="H43" s="259"/>
      <c r="I43" s="4"/>
      <c r="J43" s="4"/>
      <c r="K43" s="4"/>
    </row>
    <row r="44" spans="1:11">
      <c r="A44" s="57" t="s">
        <v>185</v>
      </c>
      <c r="B44" s="3"/>
      <c r="C44" s="58"/>
      <c r="D44" s="3"/>
      <c r="E44" s="3"/>
      <c r="F44" s="3"/>
      <c r="G44" s="214"/>
      <c r="H44" s="214"/>
      <c r="I44" s="4"/>
      <c r="J44" s="4"/>
      <c r="K44" s="4"/>
    </row>
    <row r="45" spans="1:11" ht="18">
      <c r="A45" s="156" t="s">
        <v>186</v>
      </c>
      <c r="B45" s="61"/>
      <c r="C45" s="62"/>
      <c r="D45" s="64"/>
      <c r="E45" s="61"/>
      <c r="F45" s="62"/>
      <c r="G45" s="64"/>
      <c r="H45" s="60"/>
      <c r="I45" s="60"/>
      <c r="J45" s="60"/>
      <c r="K45" s="60"/>
    </row>
  </sheetData>
  <mergeCells count="2">
    <mergeCell ref="A1:J1"/>
    <mergeCell ref="A16:J16"/>
  </mergeCells>
  <phoneticPr fontId="3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5"/>
  <sheetViews>
    <sheetView topLeftCell="C29" workbookViewId="0">
      <selection activeCell="C7" sqref="C7"/>
    </sheetView>
  </sheetViews>
  <sheetFormatPr defaultRowHeight="16.5"/>
  <cols>
    <col min="1" max="1" width="15" customWidth="1"/>
    <col min="2" max="2" width="29.875" customWidth="1"/>
    <col min="3" max="3" width="17.25" customWidth="1"/>
    <col min="6" max="6" width="19.625" customWidth="1"/>
  </cols>
  <sheetData>
    <row r="1" spans="1:11" ht="19.5">
      <c r="A1" s="777" t="s">
        <v>294</v>
      </c>
      <c r="B1" s="777"/>
      <c r="C1" s="777"/>
      <c r="D1" s="777"/>
      <c r="E1" s="777"/>
      <c r="F1" s="777"/>
      <c r="G1" s="777"/>
      <c r="H1" s="777"/>
      <c r="I1" s="777"/>
      <c r="J1" s="777"/>
      <c r="K1" s="4"/>
    </row>
    <row r="2" spans="1:11">
      <c r="A2" s="213"/>
      <c r="B2" s="4"/>
      <c r="C2" s="214"/>
      <c r="D2" s="214"/>
      <c r="E2" s="214"/>
      <c r="F2" s="325"/>
      <c r="G2" s="214"/>
      <c r="H2" s="214"/>
      <c r="I2" s="4"/>
      <c r="J2" s="4"/>
      <c r="K2" s="4"/>
    </row>
    <row r="3" spans="1:11">
      <c r="A3" s="215" t="s">
        <v>109</v>
      </c>
      <c r="B3" s="216" t="s">
        <v>110</v>
      </c>
      <c r="C3" s="274" t="s">
        <v>295</v>
      </c>
      <c r="D3" s="274"/>
      <c r="E3" s="275"/>
      <c r="F3" s="326" t="s">
        <v>296</v>
      </c>
      <c r="G3" s="276"/>
      <c r="H3" s="275"/>
      <c r="I3" s="220"/>
      <c r="J3" s="327"/>
      <c r="K3" s="278"/>
    </row>
    <row r="4" spans="1:11">
      <c r="A4" s="221"/>
      <c r="B4" s="222"/>
      <c r="C4" s="279" t="s">
        <v>180</v>
      </c>
      <c r="D4" s="279"/>
      <c r="E4" s="223"/>
      <c r="F4" s="328" t="s">
        <v>181</v>
      </c>
      <c r="G4" s="280"/>
      <c r="H4" s="223"/>
      <c r="I4" s="229"/>
      <c r="J4" s="329"/>
      <c r="K4" s="281"/>
    </row>
    <row r="5" spans="1:11">
      <c r="A5" s="231" t="s">
        <v>115</v>
      </c>
      <c r="B5" s="232" t="s">
        <v>116</v>
      </c>
      <c r="C5" s="233">
        <v>12244</v>
      </c>
      <c r="D5" s="266"/>
      <c r="E5" s="284"/>
      <c r="F5" s="330">
        <v>703207</v>
      </c>
      <c r="G5" s="266"/>
      <c r="H5" s="282"/>
      <c r="I5" s="33"/>
      <c r="J5" s="33"/>
      <c r="K5" s="331"/>
    </row>
    <row r="6" spans="1:11">
      <c r="A6" s="237" t="s">
        <v>117</v>
      </c>
      <c r="B6" s="238" t="s">
        <v>118</v>
      </c>
      <c r="C6" s="233">
        <v>10118</v>
      </c>
      <c r="D6" s="266"/>
      <c r="E6" s="284"/>
      <c r="F6" s="330">
        <v>1034314</v>
      </c>
      <c r="G6" s="266"/>
      <c r="H6" s="284"/>
      <c r="I6" s="33"/>
      <c r="J6" s="33"/>
      <c r="K6" s="332"/>
    </row>
    <row r="7" spans="1:11">
      <c r="A7" s="231" t="s">
        <v>119</v>
      </c>
      <c r="B7" s="239" t="s">
        <v>120</v>
      </c>
      <c r="C7" s="233">
        <v>22051</v>
      </c>
      <c r="D7" s="233"/>
      <c r="E7" s="285"/>
      <c r="F7" s="330">
        <v>1062690</v>
      </c>
      <c r="G7" s="240"/>
      <c r="H7" s="285"/>
      <c r="I7" s="286"/>
      <c r="J7" s="309"/>
      <c r="K7" s="287"/>
    </row>
    <row r="8" spans="1:11">
      <c r="A8" s="231" t="s">
        <v>121</v>
      </c>
      <c r="B8" s="239" t="s">
        <v>122</v>
      </c>
      <c r="C8" s="233">
        <v>22693</v>
      </c>
      <c r="D8" s="233"/>
      <c r="E8" s="285"/>
      <c r="F8" s="330">
        <v>2226924</v>
      </c>
      <c r="G8" s="240"/>
      <c r="H8" s="285"/>
      <c r="I8" s="286"/>
      <c r="J8" s="309"/>
      <c r="K8" s="287"/>
    </row>
    <row r="9" spans="1:11">
      <c r="A9" s="231" t="s">
        <v>123</v>
      </c>
      <c r="B9" s="239" t="s">
        <v>124</v>
      </c>
      <c r="C9" s="233">
        <v>8080</v>
      </c>
      <c r="D9" s="233"/>
      <c r="E9" s="285"/>
      <c r="F9" s="330">
        <v>788399</v>
      </c>
      <c r="G9" s="240"/>
      <c r="H9" s="285"/>
      <c r="I9" s="286"/>
      <c r="J9" s="309"/>
      <c r="K9" s="287"/>
    </row>
    <row r="10" spans="1:11">
      <c r="A10" s="231" t="s">
        <v>125</v>
      </c>
      <c r="B10" s="239" t="s">
        <v>126</v>
      </c>
      <c r="C10" s="233">
        <v>9660</v>
      </c>
      <c r="D10" s="233"/>
      <c r="E10" s="285"/>
      <c r="F10" s="330">
        <v>1105979</v>
      </c>
      <c r="G10" s="240"/>
      <c r="H10" s="285"/>
      <c r="I10" s="286"/>
      <c r="J10" s="309"/>
      <c r="K10" s="287"/>
    </row>
    <row r="11" spans="1:11" ht="20.25" thickBot="1">
      <c r="A11" s="242" t="s">
        <v>127</v>
      </c>
      <c r="B11" s="243" t="s">
        <v>182</v>
      </c>
      <c r="C11" s="244">
        <f>SUM(C5:C10)</f>
        <v>84846</v>
      </c>
      <c r="D11" s="244"/>
      <c r="E11" s="333"/>
      <c r="F11" s="334">
        <f>SUM(F5:F10)</f>
        <v>6921513</v>
      </c>
      <c r="G11" s="244">
        <f>G5+G6</f>
        <v>0</v>
      </c>
      <c r="H11" s="333"/>
      <c r="I11" s="248"/>
      <c r="J11" s="248"/>
      <c r="K11" s="289"/>
    </row>
    <row r="12" spans="1:11" ht="17.25" thickTop="1">
      <c r="A12" s="249"/>
      <c r="B12" s="250"/>
      <c r="C12" s="214"/>
      <c r="D12" s="214"/>
      <c r="E12" s="261"/>
      <c r="F12" s="325"/>
      <c r="G12" s="214"/>
      <c r="H12" s="261"/>
      <c r="I12" s="5"/>
      <c r="J12" s="5"/>
      <c r="K12" s="4"/>
    </row>
    <row r="13" spans="1:11">
      <c r="A13" s="231" t="s">
        <v>129</v>
      </c>
      <c r="B13" s="232" t="s">
        <v>130</v>
      </c>
      <c r="C13" s="233">
        <v>261</v>
      </c>
      <c r="D13" s="266"/>
      <c r="E13" s="282"/>
      <c r="F13" s="330">
        <v>57919</v>
      </c>
      <c r="G13" s="266"/>
      <c r="H13" s="282"/>
      <c r="I13" s="33"/>
      <c r="J13" s="33"/>
      <c r="K13" s="331"/>
    </row>
    <row r="14" spans="1:11" ht="20.25" thickBot="1">
      <c r="A14" s="242" t="s">
        <v>131</v>
      </c>
      <c r="B14" s="255" t="s">
        <v>183</v>
      </c>
      <c r="C14" s="244">
        <f>C11+C13</f>
        <v>85107</v>
      </c>
      <c r="D14" s="244"/>
      <c r="E14" s="333"/>
      <c r="F14" s="334">
        <f>F11+F13</f>
        <v>6979432</v>
      </c>
      <c r="G14" s="244">
        <f>G11+G13</f>
        <v>0</v>
      </c>
      <c r="H14" s="333"/>
      <c r="I14" s="248"/>
      <c r="J14" s="248"/>
      <c r="K14" s="289"/>
    </row>
    <row r="15" spans="1:11" ht="17.25" thickTop="1">
      <c r="A15" s="256"/>
      <c r="B15" s="257"/>
      <c r="C15" s="258"/>
      <c r="D15" s="258"/>
      <c r="E15" s="259"/>
      <c r="F15" s="335"/>
      <c r="G15" s="258"/>
      <c r="H15" s="259"/>
      <c r="I15" s="260"/>
      <c r="J15" s="260"/>
      <c r="K15" s="4"/>
    </row>
    <row r="16" spans="1:11" ht="19.5">
      <c r="A16" s="777" t="s">
        <v>297</v>
      </c>
      <c r="B16" s="777"/>
      <c r="C16" s="777"/>
      <c r="D16" s="777"/>
      <c r="E16" s="777"/>
      <c r="F16" s="777"/>
      <c r="G16" s="777"/>
      <c r="H16" s="777"/>
      <c r="I16" s="777"/>
      <c r="J16" s="777"/>
      <c r="K16" s="4"/>
    </row>
    <row r="17" spans="1:11">
      <c r="A17" s="249"/>
      <c r="B17" s="250"/>
      <c r="C17" s="214"/>
      <c r="D17" s="214"/>
      <c r="E17" s="261"/>
      <c r="F17" s="325"/>
      <c r="G17" s="214"/>
      <c r="H17" s="261"/>
      <c r="I17" s="5"/>
      <c r="J17" s="5"/>
      <c r="K17" s="4"/>
    </row>
    <row r="18" spans="1:11">
      <c r="A18" s="215" t="s">
        <v>109</v>
      </c>
      <c r="B18" s="216" t="s">
        <v>110</v>
      </c>
      <c r="C18" s="274" t="s">
        <v>290</v>
      </c>
      <c r="D18" s="274"/>
      <c r="E18" s="275"/>
      <c r="F18" s="326" t="s">
        <v>296</v>
      </c>
      <c r="G18" s="276"/>
      <c r="H18" s="275"/>
      <c r="I18" s="262"/>
      <c r="J18" s="262"/>
      <c r="K18" s="4"/>
    </row>
    <row r="19" spans="1:11">
      <c r="A19" s="221"/>
      <c r="B19" s="222"/>
      <c r="C19" s="279" t="s">
        <v>184</v>
      </c>
      <c r="D19" s="279"/>
      <c r="E19" s="223"/>
      <c r="F19" s="328" t="s">
        <v>181</v>
      </c>
      <c r="G19" s="280"/>
      <c r="H19" s="223"/>
      <c r="I19" s="263"/>
      <c r="J19" s="262"/>
      <c r="K19" s="4"/>
    </row>
    <row r="20" spans="1:11">
      <c r="A20" s="264" t="s">
        <v>134</v>
      </c>
      <c r="B20" s="232" t="s">
        <v>135</v>
      </c>
      <c r="C20" s="233">
        <v>13669</v>
      </c>
      <c r="D20" s="266"/>
      <c r="E20" s="284"/>
      <c r="F20" s="330">
        <v>661664</v>
      </c>
      <c r="G20" s="266"/>
      <c r="H20" s="282"/>
      <c r="I20" s="214"/>
      <c r="J20" s="214"/>
      <c r="K20" s="4"/>
    </row>
    <row r="21" spans="1:11">
      <c r="A21" s="264" t="s">
        <v>136</v>
      </c>
      <c r="B21" s="232" t="s">
        <v>137</v>
      </c>
      <c r="C21" s="233">
        <v>9042</v>
      </c>
      <c r="D21" s="266"/>
      <c r="E21" s="282"/>
      <c r="F21" s="330">
        <v>630558</v>
      </c>
      <c r="G21" s="266"/>
      <c r="H21" s="282"/>
      <c r="I21" s="214"/>
      <c r="J21" s="214"/>
      <c r="K21" s="4"/>
    </row>
    <row r="22" spans="1:11">
      <c r="A22" s="264" t="s">
        <v>138</v>
      </c>
      <c r="B22" s="232" t="s">
        <v>139</v>
      </c>
      <c r="C22" s="233">
        <v>2709250</v>
      </c>
      <c r="D22" s="266"/>
      <c r="E22" s="284"/>
      <c r="F22" s="330">
        <v>95326333</v>
      </c>
      <c r="G22" s="266"/>
      <c r="H22" s="282"/>
      <c r="I22" s="214"/>
      <c r="J22" s="214"/>
      <c r="K22" s="4"/>
    </row>
    <row r="23" spans="1:11">
      <c r="A23" s="264" t="s">
        <v>140</v>
      </c>
      <c r="B23" s="232" t="s">
        <v>141</v>
      </c>
      <c r="C23" s="233">
        <v>439723</v>
      </c>
      <c r="D23" s="266"/>
      <c r="E23" s="284"/>
      <c r="F23" s="330">
        <v>18018468</v>
      </c>
      <c r="G23" s="266"/>
      <c r="H23" s="282"/>
      <c r="I23" s="214"/>
      <c r="J23" s="214"/>
      <c r="K23" s="4"/>
    </row>
    <row r="24" spans="1:11">
      <c r="A24" s="264" t="s">
        <v>142</v>
      </c>
      <c r="B24" s="232" t="s">
        <v>143</v>
      </c>
      <c r="C24" s="233">
        <v>10602</v>
      </c>
      <c r="D24" s="266"/>
      <c r="E24" s="284"/>
      <c r="F24" s="330">
        <v>279728</v>
      </c>
      <c r="G24" s="266"/>
      <c r="H24" s="282"/>
      <c r="I24" s="214"/>
      <c r="J24" s="214"/>
      <c r="K24" s="4"/>
    </row>
    <row r="25" spans="1:11">
      <c r="A25" s="264" t="s">
        <v>144</v>
      </c>
      <c r="B25" s="232" t="s">
        <v>145</v>
      </c>
      <c r="C25" s="233">
        <v>214048</v>
      </c>
      <c r="D25" s="266"/>
      <c r="E25" s="284"/>
      <c r="F25" s="330">
        <v>1258761</v>
      </c>
      <c r="G25" s="266"/>
      <c r="H25" s="284"/>
      <c r="I25" s="214"/>
      <c r="J25" s="214"/>
      <c r="K25" s="4"/>
    </row>
    <row r="26" spans="1:11">
      <c r="A26" s="264" t="s">
        <v>146</v>
      </c>
      <c r="B26" s="232" t="s">
        <v>147</v>
      </c>
      <c r="C26" s="233">
        <v>430252</v>
      </c>
      <c r="D26" s="266"/>
      <c r="E26" s="284"/>
      <c r="F26" s="330">
        <v>7138805</v>
      </c>
      <c r="G26" s="266"/>
      <c r="H26" s="282"/>
      <c r="I26" s="214"/>
      <c r="J26" s="214"/>
      <c r="K26" s="4"/>
    </row>
    <row r="27" spans="1:11">
      <c r="A27" s="264" t="s">
        <v>148</v>
      </c>
      <c r="B27" s="232" t="s">
        <v>149</v>
      </c>
      <c r="C27" s="233">
        <v>102774</v>
      </c>
      <c r="D27" s="266"/>
      <c r="E27" s="284"/>
      <c r="F27" s="330">
        <v>761733</v>
      </c>
      <c r="G27" s="266"/>
      <c r="H27" s="282"/>
      <c r="I27" s="214"/>
      <c r="J27" s="214"/>
      <c r="K27" s="4"/>
    </row>
    <row r="28" spans="1:11">
      <c r="A28" s="264" t="s">
        <v>150</v>
      </c>
      <c r="B28" s="232" t="s">
        <v>151</v>
      </c>
      <c r="C28" s="233">
        <v>11042</v>
      </c>
      <c r="D28" s="266"/>
      <c r="E28" s="284"/>
      <c r="F28" s="330">
        <v>141379</v>
      </c>
      <c r="G28" s="266"/>
      <c r="H28" s="282"/>
      <c r="I28" s="214"/>
      <c r="J28" s="214"/>
      <c r="K28" s="4"/>
    </row>
    <row r="29" spans="1:11">
      <c r="A29" s="264" t="s">
        <v>152</v>
      </c>
      <c r="B29" s="232" t="s">
        <v>153</v>
      </c>
      <c r="C29" s="233">
        <v>441878</v>
      </c>
      <c r="D29" s="266"/>
      <c r="E29" s="284"/>
      <c r="F29" s="330">
        <v>5101774</v>
      </c>
      <c r="G29" s="266"/>
      <c r="H29" s="284"/>
      <c r="I29" s="214"/>
      <c r="J29" s="214"/>
      <c r="K29" s="4"/>
    </row>
    <row r="30" spans="1:11">
      <c r="A30" s="264" t="s">
        <v>154</v>
      </c>
      <c r="B30" s="232" t="s">
        <v>155</v>
      </c>
      <c r="C30" s="233">
        <v>483442</v>
      </c>
      <c r="D30" s="266"/>
      <c r="E30" s="284"/>
      <c r="F30" s="330">
        <v>4385997</v>
      </c>
      <c r="G30" s="266"/>
      <c r="H30" s="282"/>
      <c r="I30" s="214"/>
      <c r="J30" s="265"/>
      <c r="K30" s="4"/>
    </row>
    <row r="31" spans="1:11">
      <c r="A31" s="264" t="s">
        <v>156</v>
      </c>
      <c r="B31" s="232" t="s">
        <v>157</v>
      </c>
      <c r="C31" s="233">
        <v>230039</v>
      </c>
      <c r="D31" s="266"/>
      <c r="E31" s="284"/>
      <c r="F31" s="330">
        <v>851163</v>
      </c>
      <c r="G31" s="266"/>
      <c r="H31" s="284"/>
      <c r="I31" s="214"/>
      <c r="J31" s="214"/>
      <c r="K31" s="4"/>
    </row>
    <row r="32" spans="1:11">
      <c r="A32" s="264" t="s">
        <v>158</v>
      </c>
      <c r="B32" s="232" t="s">
        <v>159</v>
      </c>
      <c r="C32" s="233">
        <v>651139</v>
      </c>
      <c r="D32" s="266"/>
      <c r="E32" s="284"/>
      <c r="F32" s="330">
        <v>3878471</v>
      </c>
      <c r="G32" s="266"/>
      <c r="H32" s="284"/>
      <c r="I32" s="214"/>
      <c r="J32" s="214"/>
      <c r="K32" s="4"/>
    </row>
    <row r="33" spans="1:11">
      <c r="A33" s="264" t="s">
        <v>160</v>
      </c>
      <c r="B33" s="232" t="s">
        <v>161</v>
      </c>
      <c r="C33" s="233">
        <v>370450</v>
      </c>
      <c r="D33" s="266"/>
      <c r="E33" s="284"/>
      <c r="F33" s="330">
        <v>1214949</v>
      </c>
      <c r="G33" s="266"/>
      <c r="H33" s="282"/>
      <c r="I33" s="214"/>
      <c r="J33" s="214"/>
      <c r="K33" s="4"/>
    </row>
    <row r="34" spans="1:11">
      <c r="A34" s="264" t="s">
        <v>162</v>
      </c>
      <c r="B34" s="232" t="s">
        <v>163</v>
      </c>
      <c r="C34" s="233">
        <v>102620</v>
      </c>
      <c r="D34" s="266"/>
      <c r="E34" s="284"/>
      <c r="F34" s="330">
        <v>1608131</v>
      </c>
      <c r="G34" s="266"/>
      <c r="H34" s="282"/>
      <c r="I34" s="214"/>
      <c r="J34" s="214"/>
      <c r="K34" s="4"/>
    </row>
    <row r="35" spans="1:11">
      <c r="A35" s="264" t="s">
        <v>164</v>
      </c>
      <c r="B35" s="232" t="s">
        <v>165</v>
      </c>
      <c r="C35" s="233">
        <v>69032</v>
      </c>
      <c r="D35" s="266"/>
      <c r="E35" s="284"/>
      <c r="F35" s="330">
        <v>453883</v>
      </c>
      <c r="G35" s="266"/>
      <c r="H35" s="284"/>
      <c r="I35" s="214"/>
      <c r="J35" s="214"/>
      <c r="K35" s="4"/>
    </row>
    <row r="36" spans="1:11">
      <c r="A36" s="264" t="s">
        <v>166</v>
      </c>
      <c r="B36" s="232" t="s">
        <v>167</v>
      </c>
      <c r="C36" s="233">
        <v>51992</v>
      </c>
      <c r="D36" s="266"/>
      <c r="E36" s="284"/>
      <c r="F36" s="330">
        <v>115583</v>
      </c>
      <c r="G36" s="266"/>
      <c r="H36" s="284"/>
      <c r="I36" s="214"/>
      <c r="J36" s="214"/>
      <c r="K36" s="4"/>
    </row>
    <row r="37" spans="1:11">
      <c r="A37" s="264" t="s">
        <v>168</v>
      </c>
      <c r="B37" s="232" t="s">
        <v>169</v>
      </c>
      <c r="C37" s="233">
        <v>163831</v>
      </c>
      <c r="D37" s="266"/>
      <c r="E37" s="284"/>
      <c r="F37" s="330">
        <v>1583116</v>
      </c>
      <c r="G37" s="266"/>
      <c r="H37" s="284"/>
      <c r="I37" s="214"/>
      <c r="J37" s="214"/>
      <c r="K37" s="4"/>
    </row>
    <row r="38" spans="1:11">
      <c r="A38" s="264" t="s">
        <v>170</v>
      </c>
      <c r="B38" s="232" t="s">
        <v>171</v>
      </c>
      <c r="C38" s="233">
        <v>322085</v>
      </c>
      <c r="D38" s="266"/>
      <c r="E38" s="284"/>
      <c r="F38" s="330">
        <v>4468321</v>
      </c>
      <c r="G38" s="266"/>
      <c r="H38" s="282"/>
      <c r="I38" s="214"/>
      <c r="J38" s="214"/>
      <c r="K38" s="4"/>
    </row>
    <row r="39" spans="1:11">
      <c r="A39" s="264" t="s">
        <v>172</v>
      </c>
      <c r="B39" s="232" t="s">
        <v>173</v>
      </c>
      <c r="C39" s="233">
        <v>227800</v>
      </c>
      <c r="D39" s="266"/>
      <c r="E39" s="284"/>
      <c r="F39" s="330">
        <v>3943329</v>
      </c>
      <c r="G39" s="266"/>
      <c r="H39" s="282"/>
      <c r="I39" s="214"/>
      <c r="J39" s="214"/>
      <c r="K39" s="4"/>
    </row>
    <row r="40" spans="1:11">
      <c r="A40" s="264" t="s">
        <v>174</v>
      </c>
      <c r="B40" s="232" t="s">
        <v>175</v>
      </c>
      <c r="C40" s="233">
        <v>547742</v>
      </c>
      <c r="D40" s="266"/>
      <c r="E40" s="284"/>
      <c r="F40" s="330">
        <v>2776561</v>
      </c>
      <c r="G40" s="266"/>
      <c r="H40" s="282"/>
      <c r="I40" s="214"/>
      <c r="J40" s="214"/>
      <c r="K40" s="4"/>
    </row>
    <row r="41" spans="1:11">
      <c r="A41" s="264" t="s">
        <v>176</v>
      </c>
      <c r="B41" s="232" t="s">
        <v>177</v>
      </c>
      <c r="C41" s="233">
        <v>156124</v>
      </c>
      <c r="D41" s="266"/>
      <c r="E41" s="284"/>
      <c r="F41" s="330">
        <v>622390</v>
      </c>
      <c r="G41" s="266"/>
      <c r="H41" s="282"/>
      <c r="I41" s="214"/>
      <c r="J41" s="214"/>
      <c r="K41" s="4"/>
    </row>
    <row r="42" spans="1:11" ht="20.25" thickBot="1">
      <c r="A42" s="267" t="s">
        <v>131</v>
      </c>
      <c r="B42" s="268"/>
      <c r="C42" s="290">
        <f>SUM(C20:C41)</f>
        <v>7758576</v>
      </c>
      <c r="D42" s="290">
        <f>SUM(D20:D41)</f>
        <v>0</v>
      </c>
      <c r="E42" s="336"/>
      <c r="F42" s="337">
        <f>SUM(F20:F41)</f>
        <v>155221097</v>
      </c>
      <c r="G42" s="290">
        <f>SUM(G20:G41)</f>
        <v>0</v>
      </c>
      <c r="H42" s="290"/>
      <c r="I42" s="4"/>
      <c r="J42" s="4"/>
      <c r="K42" s="4"/>
    </row>
    <row r="43" spans="1:11" ht="17.25" thickTop="1">
      <c r="A43" s="256"/>
      <c r="B43" s="272"/>
      <c r="C43" s="258"/>
      <c r="D43" s="258"/>
      <c r="E43" s="259"/>
      <c r="F43" s="335"/>
      <c r="G43" s="258"/>
      <c r="H43" s="259"/>
      <c r="I43" s="4"/>
      <c r="J43" s="4"/>
      <c r="K43" s="4"/>
    </row>
    <row r="44" spans="1:11">
      <c r="A44" s="57" t="s">
        <v>194</v>
      </c>
      <c r="B44" s="3"/>
      <c r="C44" s="58"/>
      <c r="D44" s="3"/>
      <c r="E44" s="3"/>
      <c r="F44" s="338"/>
      <c r="G44" s="214"/>
      <c r="H44" s="214"/>
      <c r="I44" s="4"/>
      <c r="J44" s="4"/>
      <c r="K44" s="4"/>
    </row>
    <row r="45" spans="1:11" ht="18">
      <c r="A45" s="156" t="s">
        <v>186</v>
      </c>
      <c r="B45" s="61"/>
      <c r="C45" s="62"/>
      <c r="D45" s="64"/>
      <c r="E45" s="61"/>
      <c r="F45" s="339"/>
      <c r="G45" s="64"/>
      <c r="H45" s="60"/>
      <c r="I45" s="60"/>
      <c r="J45" s="60"/>
      <c r="K45" s="60"/>
    </row>
  </sheetData>
  <mergeCells count="2">
    <mergeCell ref="A1:J1"/>
    <mergeCell ref="A16:J16"/>
  </mergeCells>
  <phoneticPr fontId="3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45"/>
  <sheetViews>
    <sheetView zoomScaleNormal="100" workbookViewId="0">
      <selection activeCell="A2" sqref="A2"/>
    </sheetView>
  </sheetViews>
  <sheetFormatPr defaultRowHeight="16.5"/>
  <cols>
    <col min="1" max="1" width="14.875" customWidth="1"/>
    <col min="2" max="2" width="27.375" customWidth="1"/>
    <col min="3" max="3" width="17" customWidth="1"/>
    <col min="4" max="4" width="17.875" customWidth="1"/>
    <col min="5" max="5" width="11.125" customWidth="1"/>
    <col min="6" max="6" width="18.875" customWidth="1"/>
    <col min="7" max="7" width="18.5" customWidth="1"/>
    <col min="8" max="8" width="10.5" customWidth="1"/>
    <col min="9" max="9" width="11.625" customWidth="1"/>
    <col min="10" max="10" width="12" customWidth="1"/>
    <col min="11" max="11" width="11.5" customWidth="1"/>
  </cols>
  <sheetData>
    <row r="1" spans="1:11" ht="19.5">
      <c r="A1" s="777" t="s">
        <v>498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</row>
    <row r="2" spans="1:11" ht="7.5" customHeight="1">
      <c r="A2" s="213"/>
      <c r="B2" s="4"/>
      <c r="C2" s="214"/>
      <c r="D2" s="214"/>
      <c r="E2" s="36"/>
      <c r="F2" s="214"/>
      <c r="G2" s="291"/>
      <c r="H2" s="36"/>
      <c r="I2" s="4"/>
      <c r="J2" s="4"/>
      <c r="K2" s="36"/>
    </row>
    <row r="3" spans="1:11">
      <c r="A3" s="215" t="s">
        <v>109</v>
      </c>
      <c r="B3" s="216" t="s">
        <v>110</v>
      </c>
      <c r="C3" s="275" t="s">
        <v>493</v>
      </c>
      <c r="D3" s="275" t="s">
        <v>494</v>
      </c>
      <c r="E3" s="218" t="s">
        <v>195</v>
      </c>
      <c r="F3" s="292" t="s">
        <v>495</v>
      </c>
      <c r="G3" s="293" t="s">
        <v>496</v>
      </c>
      <c r="H3" s="294" t="s">
        <v>430</v>
      </c>
      <c r="I3" s="295" t="s">
        <v>457</v>
      </c>
      <c r="J3" s="295" t="s">
        <v>458</v>
      </c>
      <c r="K3" s="296" t="s">
        <v>431</v>
      </c>
    </row>
    <row r="4" spans="1:11">
      <c r="A4" s="221"/>
      <c r="B4" s="222"/>
      <c r="C4" s="223" t="s">
        <v>180</v>
      </c>
      <c r="D4" s="223" t="s">
        <v>180</v>
      </c>
      <c r="E4" s="298" t="s">
        <v>189</v>
      </c>
      <c r="F4" s="224" t="s">
        <v>181</v>
      </c>
      <c r="G4" s="297" t="s">
        <v>181</v>
      </c>
      <c r="H4" s="298" t="s">
        <v>190</v>
      </c>
      <c r="I4" s="340" t="s">
        <v>5</v>
      </c>
      <c r="J4" s="341" t="s">
        <v>5</v>
      </c>
      <c r="K4" s="301" t="s">
        <v>191</v>
      </c>
    </row>
    <row r="5" spans="1:11">
      <c r="A5" s="231" t="s">
        <v>115</v>
      </c>
      <c r="B5" s="232" t="s">
        <v>116</v>
      </c>
      <c r="C5" s="233">
        <v>9889</v>
      </c>
      <c r="D5" s="233">
        <v>7044</v>
      </c>
      <c r="E5" s="625">
        <f>IF(D5,(C5-D5)/D5,0)</f>
        <v>0.40388983532084044</v>
      </c>
      <c r="F5" s="234">
        <v>598169</v>
      </c>
      <c r="G5" s="234">
        <v>385378</v>
      </c>
      <c r="H5" s="302">
        <f t="shared" ref="H5:H11" si="0">(F5-G5)/G5</f>
        <v>0.55216177363523611</v>
      </c>
      <c r="I5" s="303">
        <f t="shared" ref="I5:J11" si="1">F5/C5</f>
        <v>60.488320355951053</v>
      </c>
      <c r="J5" s="303">
        <f t="shared" si="1"/>
        <v>54.710107893242473</v>
      </c>
      <c r="K5" s="342">
        <f t="shared" ref="K5:K11" si="2">(I5-J5)/J5</f>
        <v>0.10561508074492899</v>
      </c>
    </row>
    <row r="6" spans="1:11">
      <c r="A6" s="237" t="s">
        <v>117</v>
      </c>
      <c r="B6" s="238" t="s">
        <v>118</v>
      </c>
      <c r="C6" s="233">
        <v>3961</v>
      </c>
      <c r="D6" s="233">
        <v>3292</v>
      </c>
      <c r="E6" s="625">
        <f t="shared" ref="E6:E11" si="3">IF(D6,(C6-D6)/D6,0)</f>
        <v>0.20321992709599027</v>
      </c>
      <c r="F6" s="234">
        <v>455744</v>
      </c>
      <c r="G6" s="234">
        <v>294841</v>
      </c>
      <c r="H6" s="302">
        <f t="shared" si="0"/>
        <v>0.54572803646711276</v>
      </c>
      <c r="I6" s="303">
        <f t="shared" si="1"/>
        <v>115.05781368341329</v>
      </c>
      <c r="J6" s="303">
        <f t="shared" si="1"/>
        <v>89.56287970838396</v>
      </c>
      <c r="K6" s="342">
        <f t="shared" si="2"/>
        <v>0.28465960516277095</v>
      </c>
    </row>
    <row r="7" spans="1:11">
      <c r="A7" s="231" t="s">
        <v>119</v>
      </c>
      <c r="B7" s="239" t="s">
        <v>120</v>
      </c>
      <c r="C7" s="233">
        <v>6322</v>
      </c>
      <c r="D7" s="233">
        <v>5941</v>
      </c>
      <c r="E7" s="625">
        <f t="shared" si="3"/>
        <v>6.4130617741121027E-2</v>
      </c>
      <c r="F7" s="234">
        <v>385917</v>
      </c>
      <c r="G7" s="234">
        <v>333145</v>
      </c>
      <c r="H7" s="302">
        <f t="shared" si="0"/>
        <v>0.15840549910699545</v>
      </c>
      <c r="I7" s="303">
        <f t="shared" si="1"/>
        <v>61.043498892755458</v>
      </c>
      <c r="J7" s="303">
        <f t="shared" si="1"/>
        <v>56.075576502272348</v>
      </c>
      <c r="K7" s="342">
        <f t="shared" si="2"/>
        <v>8.8593336000420714E-2</v>
      </c>
    </row>
    <row r="8" spans="1:11">
      <c r="A8" s="231" t="s">
        <v>121</v>
      </c>
      <c r="B8" s="239" t="s">
        <v>122</v>
      </c>
      <c r="C8" s="233">
        <v>8431</v>
      </c>
      <c r="D8" s="233">
        <v>6346</v>
      </c>
      <c r="E8" s="302">
        <f t="shared" si="3"/>
        <v>0.32855341947683581</v>
      </c>
      <c r="F8" s="234">
        <v>1101668</v>
      </c>
      <c r="G8" s="234">
        <v>750846</v>
      </c>
      <c r="H8" s="302">
        <f t="shared" si="0"/>
        <v>0.46723562488179998</v>
      </c>
      <c r="I8" s="303">
        <f t="shared" si="1"/>
        <v>130.66872257146247</v>
      </c>
      <c r="J8" s="303">
        <f t="shared" si="1"/>
        <v>118.31799558777182</v>
      </c>
      <c r="K8" s="342">
        <f t="shared" si="2"/>
        <v>0.1043858706559013</v>
      </c>
    </row>
    <row r="9" spans="1:11">
      <c r="A9" s="231" t="s">
        <v>123</v>
      </c>
      <c r="B9" s="239" t="s">
        <v>124</v>
      </c>
      <c r="C9" s="233">
        <v>3040</v>
      </c>
      <c r="D9" s="233">
        <v>2468</v>
      </c>
      <c r="E9" s="302">
        <f t="shared" si="3"/>
        <v>0.23176661264181522</v>
      </c>
      <c r="F9" s="234">
        <v>335631</v>
      </c>
      <c r="G9" s="234">
        <v>305927</v>
      </c>
      <c r="H9" s="304">
        <f t="shared" si="0"/>
        <v>9.7095058625096833E-2</v>
      </c>
      <c r="I9" s="303">
        <f t="shared" si="1"/>
        <v>110.40493421052632</v>
      </c>
      <c r="J9" s="303">
        <f t="shared" si="1"/>
        <v>123.95745542949757</v>
      </c>
      <c r="K9" s="342">
        <f t="shared" si="2"/>
        <v>-0.10933203793199373</v>
      </c>
    </row>
    <row r="10" spans="1:11">
      <c r="A10" s="231" t="s">
        <v>125</v>
      </c>
      <c r="B10" s="239" t="s">
        <v>126</v>
      </c>
      <c r="C10" s="233">
        <v>4654</v>
      </c>
      <c r="D10" s="233">
        <v>5141</v>
      </c>
      <c r="E10" s="302">
        <f t="shared" si="3"/>
        <v>-9.4728652013226999E-2</v>
      </c>
      <c r="F10" s="234">
        <v>1179720</v>
      </c>
      <c r="G10" s="234">
        <v>2287508</v>
      </c>
      <c r="H10" s="287">
        <f t="shared" si="0"/>
        <v>-0.4842772134567398</v>
      </c>
      <c r="I10" s="309">
        <f t="shared" si="1"/>
        <v>253.48517404383327</v>
      </c>
      <c r="J10" s="309">
        <f t="shared" si="1"/>
        <v>444.95390001945145</v>
      </c>
      <c r="K10" s="343">
        <f t="shared" si="2"/>
        <v>-0.43031137825120314</v>
      </c>
    </row>
    <row r="11" spans="1:11" ht="20.25" thickBot="1">
      <c r="A11" s="242" t="s">
        <v>127</v>
      </c>
      <c r="B11" s="243" t="s">
        <v>128</v>
      </c>
      <c r="C11" s="244">
        <f>SUM(C5:C10)</f>
        <v>36297</v>
      </c>
      <c r="D11" s="244">
        <f>SUM(D5:D10)</f>
        <v>30232</v>
      </c>
      <c r="E11" s="302">
        <f t="shared" si="3"/>
        <v>0.20061524212754697</v>
      </c>
      <c r="F11" s="310">
        <f>SUM(F5:F10)</f>
        <v>4056849</v>
      </c>
      <c r="G11" s="310">
        <f>SUM(G5:G10)</f>
        <v>4357645</v>
      </c>
      <c r="H11" s="344">
        <f t="shared" si="0"/>
        <v>-6.9027192439953228E-2</v>
      </c>
      <c r="I11" s="312">
        <f t="shared" si="1"/>
        <v>111.76816265807092</v>
      </c>
      <c r="J11" s="312">
        <f t="shared" si="1"/>
        <v>144.14014951045249</v>
      </c>
      <c r="K11" s="345">
        <f t="shared" si="2"/>
        <v>-0.22458688271330032</v>
      </c>
    </row>
    <row r="12" spans="1:11" ht="17.25" thickTop="1">
      <c r="A12" s="249"/>
      <c r="B12" s="250"/>
      <c r="C12" s="251"/>
      <c r="D12" s="251"/>
      <c r="E12" s="72"/>
      <c r="F12" s="252"/>
      <c r="G12" s="291"/>
      <c r="H12" s="72"/>
      <c r="I12" s="313"/>
      <c r="J12" s="313"/>
      <c r="K12" s="36"/>
    </row>
    <row r="13" spans="1:11">
      <c r="A13" s="231" t="s">
        <v>129</v>
      </c>
      <c r="B13" s="232" t="s">
        <v>130</v>
      </c>
      <c r="C13" s="233">
        <v>601</v>
      </c>
      <c r="D13" s="306">
        <v>260</v>
      </c>
      <c r="E13" s="627">
        <f>(C13-D13)/D13</f>
        <v>1.3115384615384615</v>
      </c>
      <c r="F13" s="307">
        <v>31366</v>
      </c>
      <c r="G13" s="308">
        <v>18441</v>
      </c>
      <c r="H13" s="314">
        <f>(F13-G13)/G13</f>
        <v>0.70088390000542267</v>
      </c>
      <c r="I13" s="309">
        <f>F13/C13</f>
        <v>52.189683860232947</v>
      </c>
      <c r="J13" s="309">
        <f>G13/D13</f>
        <v>70.926923076923075</v>
      </c>
      <c r="K13" s="342">
        <f>(I13-J13)/J13</f>
        <v>-0.26417668219399348</v>
      </c>
    </row>
    <row r="14" spans="1:11" ht="20.25" thickBot="1">
      <c r="A14" s="242" t="s">
        <v>131</v>
      </c>
      <c r="B14" s="255" t="s">
        <v>132</v>
      </c>
      <c r="C14" s="244">
        <f>C11+C13</f>
        <v>36898</v>
      </c>
      <c r="D14" s="244">
        <f>D11+D13</f>
        <v>30492</v>
      </c>
      <c r="E14" s="638">
        <f>(C14-D14)/D14</f>
        <v>0.21008789190607371</v>
      </c>
      <c r="F14" s="310">
        <f>F11+F13</f>
        <v>4088215</v>
      </c>
      <c r="G14" s="310">
        <f>G11+G13</f>
        <v>4376086</v>
      </c>
      <c r="H14" s="311">
        <f>(F14-G14)/G14</f>
        <v>-6.5782756554601529E-2</v>
      </c>
      <c r="I14" s="312">
        <f>F14/C14</f>
        <v>110.7977397148897</v>
      </c>
      <c r="J14" s="312">
        <f>G14/D14</f>
        <v>143.51587301587301</v>
      </c>
      <c r="K14" s="345">
        <f>(I14-J14)/J14</f>
        <v>-0.22797571176928039</v>
      </c>
    </row>
    <row r="15" spans="1:11" ht="17.25" thickTop="1">
      <c r="A15" s="256"/>
      <c r="B15" s="257"/>
      <c r="C15" s="258"/>
      <c r="D15" s="258"/>
      <c r="E15" s="316"/>
      <c r="F15" s="258"/>
      <c r="G15" s="315"/>
      <c r="H15" s="316"/>
      <c r="I15" s="260"/>
      <c r="J15" s="260"/>
      <c r="K15" s="36"/>
    </row>
    <row r="16" spans="1:11" ht="19.5">
      <c r="A16" s="777" t="s">
        <v>499</v>
      </c>
      <c r="B16" s="777"/>
      <c r="C16" s="777"/>
      <c r="D16" s="777"/>
      <c r="E16" s="777"/>
      <c r="F16" s="777"/>
      <c r="G16" s="777"/>
      <c r="H16" s="777"/>
      <c r="I16" s="317"/>
      <c r="J16" s="317"/>
      <c r="K16" s="36"/>
    </row>
    <row r="17" spans="1:11" ht="8.25" customHeight="1">
      <c r="A17" s="249"/>
      <c r="B17" s="250"/>
      <c r="C17" s="214"/>
      <c r="D17" s="214"/>
      <c r="E17" s="72"/>
      <c r="F17" s="214"/>
      <c r="G17" s="291"/>
      <c r="H17" s="72"/>
      <c r="I17" s="5"/>
      <c r="J17" s="5"/>
      <c r="K17" s="36"/>
    </row>
    <row r="18" spans="1:11">
      <c r="A18" s="215" t="s">
        <v>109</v>
      </c>
      <c r="B18" s="216" t="s">
        <v>110</v>
      </c>
      <c r="C18" s="275" t="s">
        <v>493</v>
      </c>
      <c r="D18" s="275" t="s">
        <v>494</v>
      </c>
      <c r="E18" s="218" t="s">
        <v>195</v>
      </c>
      <c r="F18" s="292" t="s">
        <v>495</v>
      </c>
      <c r="G18" s="293" t="s">
        <v>496</v>
      </c>
      <c r="H18" s="294" t="s">
        <v>195</v>
      </c>
      <c r="I18" s="262"/>
      <c r="J18" s="262"/>
      <c r="K18" s="36"/>
    </row>
    <row r="19" spans="1:11">
      <c r="A19" s="221"/>
      <c r="B19" s="222"/>
      <c r="C19" s="223" t="s">
        <v>184</v>
      </c>
      <c r="D19" s="223" t="s">
        <v>184</v>
      </c>
      <c r="E19" s="298" t="s">
        <v>189</v>
      </c>
      <c r="F19" s="224" t="s">
        <v>181</v>
      </c>
      <c r="G19" s="297" t="s">
        <v>181</v>
      </c>
      <c r="H19" s="298" t="s">
        <v>190</v>
      </c>
      <c r="I19" s="263"/>
      <c r="J19" s="262"/>
      <c r="K19" s="36"/>
    </row>
    <row r="20" spans="1:11">
      <c r="A20" s="619">
        <v>85121010001</v>
      </c>
      <c r="B20" s="232" t="s">
        <v>135</v>
      </c>
      <c r="C20" s="233">
        <v>8907</v>
      </c>
      <c r="D20" s="266">
        <v>6419</v>
      </c>
      <c r="E20" s="302">
        <f>(C20-D20)/D20</f>
        <v>0.38759931453497432</v>
      </c>
      <c r="F20" s="234">
        <v>361416</v>
      </c>
      <c r="G20" s="254">
        <v>277389</v>
      </c>
      <c r="H20" s="302">
        <f t="shared" ref="H20:H24" si="4">IF(G20,(F20-G20)/G20,0)</f>
        <v>0.30292116846738698</v>
      </c>
      <c r="I20" s="214"/>
      <c r="J20" s="214"/>
      <c r="K20" s="36"/>
    </row>
    <row r="21" spans="1:11">
      <c r="A21" s="619">
        <v>85121020009</v>
      </c>
      <c r="B21" s="232" t="s">
        <v>137</v>
      </c>
      <c r="C21" s="233">
        <v>2504</v>
      </c>
      <c r="D21" s="266">
        <v>2896</v>
      </c>
      <c r="E21" s="302">
        <f t="shared" ref="E21:E41" si="5">IF(D21,(C21-D21)/D21,0)</f>
        <v>-0.13535911602209943</v>
      </c>
      <c r="F21" s="234">
        <v>199631</v>
      </c>
      <c r="G21" s="254">
        <v>223745</v>
      </c>
      <c r="H21" s="302">
        <f t="shared" si="4"/>
        <v>-0.10777447540727167</v>
      </c>
      <c r="I21" s="214"/>
      <c r="J21" s="214"/>
      <c r="K21" s="36"/>
    </row>
    <row r="22" spans="1:11">
      <c r="A22" s="619">
        <v>87149120007</v>
      </c>
      <c r="B22" s="232" t="s">
        <v>139</v>
      </c>
      <c r="C22" s="233">
        <f>VLOOKUP(A22,[21]進出口值表查詢結果!$B$10:$E$26,4,0)</f>
        <v>597600</v>
      </c>
      <c r="D22" s="266">
        <f>VLOOKUP(A22,[22]進出口值表查詢結果!$B$10:$E$26,4,0)</f>
        <v>495238</v>
      </c>
      <c r="E22" s="302">
        <f t="shared" si="5"/>
        <v>0.20669253974856533</v>
      </c>
      <c r="F22" s="234">
        <f>VLOOKUP(A22,[21]進出口值表查詢結果!$B$10:$E$26,3,0)</f>
        <v>29370378</v>
      </c>
      <c r="G22" s="254">
        <f>VLOOKUP(A22,[22]進出口值表查詢結果!$B$10:$E$26,3,0)</f>
        <v>28248562</v>
      </c>
      <c r="H22" s="302">
        <f t="shared" si="4"/>
        <v>3.9712322347594191E-2</v>
      </c>
      <c r="I22" s="214"/>
      <c r="J22" s="214"/>
      <c r="K22" s="36"/>
    </row>
    <row r="23" spans="1:11">
      <c r="A23" s="619">
        <v>87149200108</v>
      </c>
      <c r="B23" s="232" t="s">
        <v>141</v>
      </c>
      <c r="C23" s="233">
        <f>VLOOKUP(A23,[21]進出口值表查詢結果!$B$10:$E$26,4,0)</f>
        <v>112527</v>
      </c>
      <c r="D23" s="266">
        <f>VLOOKUP(A23,[22]進出口值表查詢結果!$B$10:$E$26,4,0)</f>
        <v>81271</v>
      </c>
      <c r="E23" s="302">
        <f t="shared" si="5"/>
        <v>0.38458982909032741</v>
      </c>
      <c r="F23" s="234">
        <f>VLOOKUP(A23,[21]進出口值表查詢結果!$B$10:$E$26,3,0)</f>
        <v>10133074</v>
      </c>
      <c r="G23" s="254">
        <f>VLOOKUP(A23,[22]進出口值表查詢結果!$B$10:$E$26,3,0)</f>
        <v>8241437</v>
      </c>
      <c r="H23" s="302">
        <f t="shared" si="4"/>
        <v>0.2295275690392343</v>
      </c>
      <c r="I23" s="214"/>
      <c r="J23" s="214"/>
      <c r="K23" s="36"/>
    </row>
    <row r="24" spans="1:11">
      <c r="A24" s="619">
        <v>87149200206</v>
      </c>
      <c r="B24" s="232" t="s">
        <v>143</v>
      </c>
      <c r="C24" s="233">
        <f>VLOOKUP(A24,[21]進出口值表查詢結果!$B$10:$E$26,4,0)</f>
        <v>17486</v>
      </c>
      <c r="D24" s="266">
        <f>VLOOKUP(A24,[22]進出口值表查詢結果!$B$10:$E$26,4,0)</f>
        <v>8519</v>
      </c>
      <c r="E24" s="302">
        <f t="shared" si="5"/>
        <v>1.0525883319638456</v>
      </c>
      <c r="F24" s="234">
        <f>VLOOKUP(A24,[21]進出口值表查詢結果!$B$10:$E$26,3,0)</f>
        <v>973890</v>
      </c>
      <c r="G24" s="254">
        <f>VLOOKUP(A24,[22]進出口值表查詢結果!$B$10:$E$26,3,0)</f>
        <v>769682</v>
      </c>
      <c r="H24" s="302">
        <f t="shared" si="4"/>
        <v>0.26531476635805434</v>
      </c>
      <c r="I24" s="214"/>
      <c r="J24" s="214"/>
      <c r="K24" s="36"/>
    </row>
    <row r="25" spans="1:11">
      <c r="A25" s="619">
        <v>87149200304</v>
      </c>
      <c r="B25" s="232" t="s">
        <v>145</v>
      </c>
      <c r="C25" s="233">
        <f>VLOOKUP(A25,[21]進出口值表查詢結果!$B$10:$E$26,4,0)</f>
        <v>18151</v>
      </c>
      <c r="D25" s="266">
        <f>VLOOKUP(A25,[22]進出口值表查詢結果!$B$10:$E$26,4,0)</f>
        <v>4439</v>
      </c>
      <c r="E25" s="302">
        <f t="shared" si="5"/>
        <v>3.0889840054066231</v>
      </c>
      <c r="F25" s="234">
        <f>VLOOKUP(A25,[21]進出口值表查詢結果!$B$10:$E$26,3,0)</f>
        <v>885199</v>
      </c>
      <c r="G25" s="254">
        <f>VLOOKUP(A25,[22]進出口值表查詢結果!$B$10:$E$26,3,0)</f>
        <v>445558</v>
      </c>
      <c r="H25" s="302">
        <f>IF(G25,(F25-G25)/G25,0)</f>
        <v>0.98672002298241757</v>
      </c>
      <c r="I25" s="214"/>
      <c r="J25" s="214"/>
      <c r="K25" s="36"/>
    </row>
    <row r="26" spans="1:11">
      <c r="A26" s="619">
        <v>87149310007</v>
      </c>
      <c r="B26" s="232" t="s">
        <v>147</v>
      </c>
      <c r="C26" s="233">
        <f>VLOOKUP(A26,[21]進出口值表查詢結果!$B$10:$E$26,4,0)</f>
        <v>66907</v>
      </c>
      <c r="D26" s="266">
        <f>VLOOKUP(A26,[22]進出口值表查詢結果!$B$10:$E$26,4,0)</f>
        <v>57291</v>
      </c>
      <c r="E26" s="302">
        <f t="shared" si="5"/>
        <v>0.16784486219476008</v>
      </c>
      <c r="F26" s="234">
        <f>VLOOKUP(A26,[21]進出口值表查詢結果!$B$10:$E$26,3,0)</f>
        <v>2477062</v>
      </c>
      <c r="G26" s="254">
        <f>VLOOKUP(A26,[22]進出口值表查詢結果!$B$10:$E$26,3,0)</f>
        <v>1834091</v>
      </c>
      <c r="H26" s="302">
        <f t="shared" ref="H26:H41" si="6">IF(G26,(F26-G26)/G26,0)</f>
        <v>0.35056657494093807</v>
      </c>
      <c r="I26" s="214"/>
      <c r="J26" s="214"/>
      <c r="K26" s="36"/>
    </row>
    <row r="27" spans="1:11">
      <c r="A27" s="619">
        <v>87149320103</v>
      </c>
      <c r="B27" s="232" t="s">
        <v>426</v>
      </c>
      <c r="C27" s="233">
        <f>VLOOKUP(A27,[21]進出口值表查詢結果!$B$10:$E$26,4,0)</f>
        <v>132</v>
      </c>
      <c r="D27" s="266">
        <f>VLOOKUP(A27,[22]進出口值表查詢結果!$B$10:$E$26,4,0)</f>
        <v>124</v>
      </c>
      <c r="E27" s="304">
        <f>IF(D27,(C27-D27)/D27,0)</f>
        <v>6.4516129032258063E-2</v>
      </c>
      <c r="F27" s="234">
        <f>VLOOKUP(A27,[21]進出口值表查詢結果!$B$10:$E$26,3,0)</f>
        <v>6842</v>
      </c>
      <c r="G27" s="254">
        <f>VLOOKUP(A27,[22]進出口值表查詢結果!$B$10:$E$26,3,0)</f>
        <v>3329</v>
      </c>
      <c r="H27" s="302">
        <f t="shared" si="6"/>
        <v>1.0552718534094323</v>
      </c>
      <c r="I27" s="214"/>
      <c r="J27" s="214"/>
      <c r="K27" s="36"/>
    </row>
    <row r="28" spans="1:11">
      <c r="A28" s="619">
        <v>87149410006</v>
      </c>
      <c r="B28" s="232" t="s">
        <v>151</v>
      </c>
      <c r="C28" s="233">
        <f>VLOOKUP(A28,[21]進出口值表查詢結果!$B$10:$E$26,4,0)</f>
        <v>4554</v>
      </c>
      <c r="D28" s="266">
        <f>VLOOKUP(A28,[22]進出口值表查詢結果!$B$10:$E$26,4,0)</f>
        <v>1371</v>
      </c>
      <c r="E28" s="304">
        <f t="shared" si="5"/>
        <v>2.3216630196936543</v>
      </c>
      <c r="F28" s="234">
        <f>VLOOKUP(A28,[21]進出口值表查詢結果!$B$10:$E$26,3,0)</f>
        <v>27673</v>
      </c>
      <c r="G28" s="254">
        <f>VLOOKUP(A28,[22]進出口值表查詢結果!$B$10:$E$26,3,0)</f>
        <v>19808</v>
      </c>
      <c r="H28" s="302">
        <f t="shared" si="6"/>
        <v>0.39706179321486268</v>
      </c>
      <c r="I28" s="214"/>
      <c r="J28" s="214"/>
      <c r="K28" s="36"/>
    </row>
    <row r="29" spans="1:11">
      <c r="A29" s="619">
        <v>87149490009</v>
      </c>
      <c r="B29" s="232" t="s">
        <v>153</v>
      </c>
      <c r="C29" s="233">
        <f>VLOOKUP(A29,[21]進出口值表查詢結果!$B$10:$E$26,4,0)</f>
        <v>249971</v>
      </c>
      <c r="D29" s="266">
        <f>VLOOKUP(A29,[22]進出口值表查詢結果!$B$10:$E$26,4,0)</f>
        <v>127588</v>
      </c>
      <c r="E29" s="302">
        <f t="shared" si="5"/>
        <v>0.9592046273944258</v>
      </c>
      <c r="F29" s="234">
        <f>VLOOKUP(A29,[21]進出口值表查詢結果!$B$10:$E$26,3,0)</f>
        <v>2978255</v>
      </c>
      <c r="G29" s="254">
        <f>VLOOKUP(A29,[22]進出口值表查詢結果!$B$10:$E$26,3,0)</f>
        <v>1738471</v>
      </c>
      <c r="H29" s="302">
        <f t="shared" si="6"/>
        <v>0.71314620721312005</v>
      </c>
      <c r="I29" s="214"/>
      <c r="J29" s="214"/>
      <c r="K29" s="36"/>
    </row>
    <row r="30" spans="1:11">
      <c r="A30" s="619">
        <v>87149500007</v>
      </c>
      <c r="B30" s="232" t="s">
        <v>155</v>
      </c>
      <c r="C30" s="233">
        <f>VLOOKUP(A30,[21]進出口值表查詢結果!$B$10:$E$26,4,0)</f>
        <v>87413</v>
      </c>
      <c r="D30" s="266">
        <f>VLOOKUP(A30,[22]進出口值表查詢結果!$B$10:$E$26,4,0)</f>
        <v>84148</v>
      </c>
      <c r="E30" s="302">
        <f t="shared" si="5"/>
        <v>3.8800684508247377E-2</v>
      </c>
      <c r="F30" s="234">
        <f>VLOOKUP(A30,[21]進出口值表查詢結果!$B$10:$E$26,3,0)</f>
        <v>1039536</v>
      </c>
      <c r="G30" s="254">
        <f>VLOOKUP(A30,[22]進出口值表查詢結果!$B$10:$E$26,3,0)</f>
        <v>838425</v>
      </c>
      <c r="H30" s="302">
        <f t="shared" si="6"/>
        <v>0.23986760890956257</v>
      </c>
      <c r="I30" s="214"/>
      <c r="J30" s="265"/>
      <c r="K30" s="36"/>
    </row>
    <row r="31" spans="1:11">
      <c r="A31" s="619">
        <v>87149610004</v>
      </c>
      <c r="B31" s="232" t="s">
        <v>157</v>
      </c>
      <c r="C31" s="233">
        <f>VLOOKUP(A31,[21]進出口值表查詢結果!$B$10:$E$26,4,0)</f>
        <v>54860</v>
      </c>
      <c r="D31" s="266">
        <f>VLOOKUP(A31,[22]進出口值表查詢結果!$B$10:$E$26,4,0)</f>
        <v>13649</v>
      </c>
      <c r="E31" s="302">
        <f t="shared" si="5"/>
        <v>3.0193420763425891</v>
      </c>
      <c r="F31" s="234">
        <f>VLOOKUP(A31,[21]進出口值表查詢結果!$B$10:$E$26,3,0)</f>
        <v>268175</v>
      </c>
      <c r="G31" s="254">
        <f>VLOOKUP(A31,[22]進出口值表查詢結果!$B$10:$E$26,3,0)</f>
        <v>257642</v>
      </c>
      <c r="H31" s="302">
        <f t="shared" si="6"/>
        <v>4.0882309561329287E-2</v>
      </c>
      <c r="I31" s="214"/>
      <c r="J31" s="214"/>
      <c r="K31" s="36"/>
    </row>
    <row r="32" spans="1:11">
      <c r="A32" s="619">
        <v>87149620002</v>
      </c>
      <c r="B32" s="232" t="s">
        <v>159</v>
      </c>
      <c r="C32" s="233">
        <f>VLOOKUP(A32,[21]進出口值表查詢結果!$B$10:$E$26,4,0)</f>
        <v>146944</v>
      </c>
      <c r="D32" s="266">
        <f>VLOOKUP(A32,[22]進出口值表查詢結果!$B$10:$E$26,4,0)</f>
        <v>125501</v>
      </c>
      <c r="E32" s="302">
        <f t="shared" si="5"/>
        <v>0.170859196341065</v>
      </c>
      <c r="F32" s="234">
        <f>VLOOKUP(A32,[21]進出口值表查詢結果!$B$10:$E$26,3,0)</f>
        <v>1445383</v>
      </c>
      <c r="G32" s="254">
        <f>VLOOKUP(A32,[22]進出口值表查詢結果!$B$10:$E$26,3,0)</f>
        <v>1422332</v>
      </c>
      <c r="H32" s="302">
        <f t="shared" si="6"/>
        <v>1.6206483437059702E-2</v>
      </c>
      <c r="I32" s="214"/>
      <c r="J32" s="214"/>
      <c r="K32" s="36"/>
    </row>
    <row r="33" spans="1:11">
      <c r="A33" s="619">
        <v>73151100209</v>
      </c>
      <c r="B33" s="232" t="s">
        <v>161</v>
      </c>
      <c r="C33" s="233">
        <v>80017</v>
      </c>
      <c r="D33" s="266">
        <v>83289</v>
      </c>
      <c r="E33" s="302">
        <f t="shared" si="5"/>
        <v>-3.9284899566569415E-2</v>
      </c>
      <c r="F33" s="234">
        <v>274357</v>
      </c>
      <c r="G33" s="254">
        <v>335933</v>
      </c>
      <c r="H33" s="302">
        <f t="shared" si="6"/>
        <v>-0.18329845534675068</v>
      </c>
      <c r="I33" s="214"/>
      <c r="J33" s="214"/>
      <c r="K33" s="36"/>
    </row>
    <row r="34" spans="1:11">
      <c r="A34" s="619">
        <v>87149990111</v>
      </c>
      <c r="B34" s="232" t="s">
        <v>163</v>
      </c>
      <c r="C34" s="233">
        <f>VLOOKUP(A34,[21]進出口值表查詢結果!$B$10:$E$26,4,0)</f>
        <v>48356</v>
      </c>
      <c r="D34" s="266">
        <f>VLOOKUP(A34,[22]進出口值表查詢結果!$B$10:$E$26,4,0)</f>
        <v>10876</v>
      </c>
      <c r="E34" s="302">
        <f t="shared" si="5"/>
        <v>3.4461198970209637</v>
      </c>
      <c r="F34" s="234">
        <f>VLOOKUP(A34,[21]進出口值表查詢結果!$B$10:$E$26,3,0)</f>
        <v>1256224</v>
      </c>
      <c r="G34" s="254">
        <f>VLOOKUP(A34,[22]進出口值表查詢結果!$B$10:$E$26,3,0)</f>
        <v>163104</v>
      </c>
      <c r="H34" s="302">
        <f t="shared" si="6"/>
        <v>6.701981557779086</v>
      </c>
      <c r="I34" s="214"/>
      <c r="J34" s="214"/>
      <c r="K34" s="36"/>
    </row>
    <row r="35" spans="1:11">
      <c r="A35" s="619">
        <v>87149320906</v>
      </c>
      <c r="B35" s="232" t="s">
        <v>423</v>
      </c>
      <c r="C35" s="233">
        <f>VLOOKUP(A35,[21]進出口值表查詢結果!$B$10:$E$26,4,0)</f>
        <v>24393</v>
      </c>
      <c r="D35" s="266">
        <f>VLOOKUP(A35,[22]進出口值表查詢結果!$B$10:$E$26,4,0)</f>
        <v>24697</v>
      </c>
      <c r="E35" s="302">
        <f t="shared" si="5"/>
        <v>-1.2309187350690367E-2</v>
      </c>
      <c r="F35" s="234">
        <f>VLOOKUP(A35,[21]進出口值表查詢結果!$B$10:$E$26,3,0)</f>
        <v>317940</v>
      </c>
      <c r="G35" s="254">
        <f>VLOOKUP(A35,[22]進出口值表查詢結果!$B$10:$E$26,3,0)</f>
        <v>313047</v>
      </c>
      <c r="H35" s="302">
        <f t="shared" si="6"/>
        <v>1.5630240826457368E-2</v>
      </c>
      <c r="I35" s="214"/>
      <c r="J35" s="214"/>
      <c r="K35" s="36"/>
    </row>
    <row r="36" spans="1:11">
      <c r="A36" s="619">
        <v>87149990139</v>
      </c>
      <c r="B36" s="232" t="s">
        <v>167</v>
      </c>
      <c r="C36" s="233">
        <f>VLOOKUP(A36,[21]進出口值表查詢結果!$B$10:$E$26,4,0)</f>
        <v>14541</v>
      </c>
      <c r="D36" s="266">
        <f>VLOOKUP(A36,[22]進出口值表查詢結果!$B$10:$E$26,4,0)</f>
        <v>2694</v>
      </c>
      <c r="E36" s="302">
        <f t="shared" si="5"/>
        <v>4.3975501113585747</v>
      </c>
      <c r="F36" s="234">
        <f>VLOOKUP(A36,[21]進出口值表查詢結果!$B$10:$E$26,3,0)</f>
        <v>83730</v>
      </c>
      <c r="G36" s="254">
        <f>VLOOKUP(A36,[22]進出口值表查詢結果!$B$10:$E$26,3,0)</f>
        <v>36992</v>
      </c>
      <c r="H36" s="302">
        <f t="shared" si="6"/>
        <v>1.2634623702422145</v>
      </c>
      <c r="I36" s="214"/>
      <c r="J36" s="214"/>
      <c r="K36" s="36"/>
    </row>
    <row r="37" spans="1:11">
      <c r="A37" s="619">
        <v>87149990148</v>
      </c>
      <c r="B37" s="232" t="s">
        <v>169</v>
      </c>
      <c r="C37" s="233">
        <f>VLOOKUP(A37,[21]進出口值表查詢結果!$B$10:$E$26,4,0)</f>
        <v>18824</v>
      </c>
      <c r="D37" s="266">
        <f>VLOOKUP(A37,[22]進出口值表查詢結果!$B$10:$E$26,4,0)</f>
        <v>21341</v>
      </c>
      <c r="E37" s="302">
        <f t="shared" si="5"/>
        <v>-0.1179419895974884</v>
      </c>
      <c r="F37" s="234">
        <f>VLOOKUP(A37,[21]進出口值表查詢結果!$B$10:$E$26,3,0)</f>
        <v>360093</v>
      </c>
      <c r="G37" s="254">
        <f>VLOOKUP(A37,[22]進出口值表查詢結果!$B$10:$E$26,3,0)</f>
        <v>570302</v>
      </c>
      <c r="H37" s="302">
        <f t="shared" si="6"/>
        <v>-0.36859242997569708</v>
      </c>
      <c r="I37" s="214"/>
      <c r="J37" s="214"/>
      <c r="K37" s="36"/>
    </row>
    <row r="38" spans="1:11">
      <c r="A38" s="619">
        <v>87149990157</v>
      </c>
      <c r="B38" s="232" t="s">
        <v>171</v>
      </c>
      <c r="C38" s="233">
        <f>VLOOKUP(A38,[21]進出口值表查詢結果!$B$10:$E$26,4,0)</f>
        <v>41032</v>
      </c>
      <c r="D38" s="266">
        <f>VLOOKUP(A38,[22]進出口值表查詢結果!$B$10:$E$26,4,0)</f>
        <v>44129</v>
      </c>
      <c r="E38" s="302">
        <f t="shared" si="5"/>
        <v>-7.0180606857168759E-2</v>
      </c>
      <c r="F38" s="234">
        <f>VLOOKUP(A38,[21]進出口值表查詢結果!$B$10:$E$26,3,0)</f>
        <v>1718275</v>
      </c>
      <c r="G38" s="254">
        <f>VLOOKUP(A38,[22]進出口值表查詢結果!$B$10:$E$26,3,0)</f>
        <v>1529234</v>
      </c>
      <c r="H38" s="302">
        <f t="shared" si="6"/>
        <v>0.12361809899596791</v>
      </c>
      <c r="I38" s="214"/>
      <c r="J38" s="214"/>
      <c r="K38" s="36"/>
    </row>
    <row r="39" spans="1:11">
      <c r="A39" s="619">
        <v>87149990166</v>
      </c>
      <c r="B39" s="232" t="s">
        <v>173</v>
      </c>
      <c r="C39" s="233">
        <f>VLOOKUP(A39,[21]進出口值表查詢結果!$B$10:$E$26,4,0)</f>
        <v>57220</v>
      </c>
      <c r="D39" s="266">
        <f>VLOOKUP(A39,[22]進出口值表查詢結果!$B$10:$E$26,4,0)</f>
        <v>41017</v>
      </c>
      <c r="E39" s="302">
        <f t="shared" si="5"/>
        <v>0.39503132847355976</v>
      </c>
      <c r="F39" s="234">
        <f>VLOOKUP(A39,[21]進出口值表查詢結果!$B$10:$E$26,3,0)</f>
        <v>3774281</v>
      </c>
      <c r="G39" s="254">
        <f>VLOOKUP(A39,[22]進出口值表查詢結果!$B$10:$E$26,3,0)</f>
        <v>1990009</v>
      </c>
      <c r="H39" s="302">
        <f t="shared" si="6"/>
        <v>0.89661504043449047</v>
      </c>
      <c r="I39" s="214"/>
      <c r="J39" s="214"/>
      <c r="K39" s="36"/>
    </row>
    <row r="40" spans="1:11">
      <c r="A40" s="619">
        <v>40115000008</v>
      </c>
      <c r="B40" s="232" t="s">
        <v>175</v>
      </c>
      <c r="C40" s="233">
        <v>124839</v>
      </c>
      <c r="D40" s="266">
        <v>111732</v>
      </c>
      <c r="E40" s="302">
        <f t="shared" si="5"/>
        <v>0.11730748576951992</v>
      </c>
      <c r="F40" s="234">
        <v>750175</v>
      </c>
      <c r="G40" s="254">
        <v>493731</v>
      </c>
      <c r="H40" s="302">
        <f t="shared" si="6"/>
        <v>0.51940024021177522</v>
      </c>
      <c r="I40" s="214"/>
      <c r="J40" s="214"/>
      <c r="K40" s="36"/>
    </row>
    <row r="41" spans="1:11">
      <c r="A41" s="619">
        <v>40132000003</v>
      </c>
      <c r="B41" s="232" t="s">
        <v>177</v>
      </c>
      <c r="C41" s="233">
        <v>42403</v>
      </c>
      <c r="D41" s="266">
        <v>22208</v>
      </c>
      <c r="E41" s="302">
        <f t="shared" si="5"/>
        <v>0.90935698847262247</v>
      </c>
      <c r="F41" s="234">
        <v>263960</v>
      </c>
      <c r="G41" s="254">
        <v>122160</v>
      </c>
      <c r="H41" s="302">
        <f t="shared" si="6"/>
        <v>1.1607727570399475</v>
      </c>
      <c r="I41" s="214"/>
      <c r="J41" s="214"/>
      <c r="K41" s="36"/>
    </row>
    <row r="42" spans="1:11" ht="20.25" thickBot="1">
      <c r="A42" s="267" t="s">
        <v>131</v>
      </c>
      <c r="B42" s="268"/>
      <c r="C42" s="290">
        <f>SUM(C20:C41)</f>
        <v>1819581</v>
      </c>
      <c r="D42" s="290">
        <f>SUM(D20:D41)</f>
        <v>1370437</v>
      </c>
      <c r="E42" s="320">
        <f t="shared" ref="E42" si="7">(C42-D42)/D42</f>
        <v>0.32773779458669022</v>
      </c>
      <c r="F42" s="321">
        <f>SUM(F20:F41)</f>
        <v>58965549</v>
      </c>
      <c r="G42" s="322">
        <f>SUM(G20:G41)</f>
        <v>49874983</v>
      </c>
      <c r="H42" s="320">
        <f t="shared" ref="H42" si="8">(F42-G42)/G42</f>
        <v>0.18226704959478382</v>
      </c>
      <c r="I42" s="4"/>
      <c r="J42" s="4"/>
      <c r="K42" s="36"/>
    </row>
    <row r="43" spans="1:11" ht="17.25" thickTop="1">
      <c r="A43" s="256"/>
      <c r="B43" s="272"/>
      <c r="C43" s="258"/>
      <c r="D43" s="258"/>
      <c r="E43" s="316"/>
      <c r="F43" s="258"/>
      <c r="G43" s="315"/>
      <c r="H43" s="316"/>
      <c r="I43" s="4"/>
      <c r="J43" s="4"/>
      <c r="K43" s="36"/>
    </row>
    <row r="44" spans="1:11">
      <c r="A44" s="57" t="s">
        <v>178</v>
      </c>
      <c r="B44" s="3"/>
      <c r="C44" s="35"/>
      <c r="D44" s="3"/>
      <c r="E44" s="346"/>
      <c r="F44" s="3"/>
      <c r="G44" s="291"/>
      <c r="H44" s="36"/>
      <c r="I44" s="4"/>
      <c r="J44" s="4"/>
      <c r="K44" s="36"/>
    </row>
    <row r="45" spans="1:11" ht="18">
      <c r="A45" s="156" t="s">
        <v>186</v>
      </c>
      <c r="B45" s="61"/>
      <c r="C45" s="62"/>
      <c r="D45" s="64"/>
      <c r="E45" s="324"/>
      <c r="F45" s="62"/>
      <c r="G45" s="323"/>
      <c r="H45" s="324"/>
      <c r="I45" s="60"/>
      <c r="J45" s="60"/>
      <c r="K45" s="324"/>
    </row>
  </sheetData>
  <mergeCells count="2">
    <mergeCell ref="A1:K1"/>
    <mergeCell ref="A16:H16"/>
  </mergeCells>
  <phoneticPr fontId="3" type="noConversion"/>
  <conditionalFormatting sqref="H1:H2 H4:H1048576">
    <cfRule type="cellIs" dxfId="24" priority="7" operator="lessThanOrEqual">
      <formula>0</formula>
    </cfRule>
    <cfRule type="cellIs" dxfId="23" priority="8" operator="lessThan">
      <formula>0</formula>
    </cfRule>
  </conditionalFormatting>
  <conditionalFormatting sqref="H1:H1048576">
    <cfRule type="cellIs" dxfId="22" priority="1" operator="greaterThanOrEqual">
      <formula>0</formula>
    </cfRule>
    <cfRule type="cellIs" dxfId="21" priority="2" operator="lessThan">
      <formula>0</formula>
    </cfRule>
  </conditionalFormatting>
  <conditionalFormatting sqref="K1:K1048576">
    <cfRule type="cellIs" dxfId="20" priority="3" operator="greaterThanOrEqual">
      <formula>0</formula>
    </cfRule>
    <cfRule type="cellIs" dxfId="19" priority="4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66"/>
  <sheetViews>
    <sheetView zoomScale="115" zoomScaleNormal="115" workbookViewId="0">
      <selection activeCell="B4" sqref="B4"/>
    </sheetView>
  </sheetViews>
  <sheetFormatPr defaultRowHeight="16.5"/>
  <cols>
    <col min="1" max="1" width="15.5" customWidth="1"/>
    <col min="2" max="2" width="12.5" customWidth="1"/>
    <col min="3" max="3" width="16.625" customWidth="1"/>
    <col min="4" max="4" width="13.875" customWidth="1"/>
    <col min="5" max="5" width="13" customWidth="1"/>
    <col min="6" max="6" width="10.75" customWidth="1"/>
    <col min="7" max="7" width="13.125" customWidth="1"/>
  </cols>
  <sheetData>
    <row r="1" spans="1:9" ht="23.25">
      <c r="A1" s="66" t="s">
        <v>298</v>
      </c>
      <c r="B1" s="1"/>
      <c r="C1" s="1"/>
      <c r="D1" s="66"/>
      <c r="E1" s="114"/>
      <c r="F1" s="1"/>
      <c r="G1" s="114"/>
      <c r="H1" s="1"/>
      <c r="I1" s="1"/>
    </row>
    <row r="2" spans="1:9">
      <c r="A2" s="4"/>
      <c r="B2" s="4"/>
      <c r="C2" s="141"/>
      <c r="D2" s="141"/>
      <c r="E2" s="116"/>
      <c r="F2" s="141"/>
      <c r="G2" s="183"/>
      <c r="H2" s="4"/>
      <c r="I2" s="141"/>
    </row>
    <row r="3" spans="1:9" ht="21.75">
      <c r="A3" s="375" t="s">
        <v>197</v>
      </c>
      <c r="B3" s="376"/>
      <c r="C3" s="376"/>
      <c r="D3" s="376"/>
      <c r="E3" s="377"/>
      <c r="F3" s="377"/>
      <c r="G3" s="377"/>
      <c r="H3" s="377"/>
      <c r="I3" s="378"/>
    </row>
    <row r="4" spans="1:9" ht="21.75">
      <c r="A4" s="379" t="s">
        <v>198</v>
      </c>
      <c r="B4" s="380"/>
      <c r="C4" s="380"/>
      <c r="D4" s="380"/>
      <c r="E4" s="381"/>
      <c r="F4" s="381"/>
      <c r="G4" s="381"/>
      <c r="H4" s="381"/>
      <c r="I4" s="382"/>
    </row>
    <row r="5" spans="1:9">
      <c r="A5" s="6" t="s">
        <v>299</v>
      </c>
      <c r="B5" s="10" t="s">
        <v>271</v>
      </c>
      <c r="C5" s="10" t="s">
        <v>270</v>
      </c>
      <c r="D5" s="10" t="s">
        <v>1</v>
      </c>
      <c r="E5" s="121" t="s">
        <v>279</v>
      </c>
      <c r="F5" s="10" t="s">
        <v>2</v>
      </c>
      <c r="G5" s="121" t="s">
        <v>280</v>
      </c>
      <c r="H5" s="10" t="s">
        <v>2</v>
      </c>
      <c r="I5" s="190" t="s">
        <v>1</v>
      </c>
    </row>
    <row r="6" spans="1:9">
      <c r="A6" s="12"/>
      <c r="B6" s="10" t="s">
        <v>6</v>
      </c>
      <c r="C6" s="6" t="s">
        <v>5</v>
      </c>
      <c r="D6" s="10" t="s">
        <v>5</v>
      </c>
      <c r="E6" s="121" t="s">
        <v>6</v>
      </c>
      <c r="F6" s="10" t="s">
        <v>6</v>
      </c>
      <c r="G6" s="123" t="s">
        <v>5</v>
      </c>
      <c r="H6" s="6" t="s">
        <v>5</v>
      </c>
      <c r="I6" s="122" t="s">
        <v>5</v>
      </c>
    </row>
    <row r="7" spans="1:9">
      <c r="A7" s="158" t="s">
        <v>7</v>
      </c>
      <c r="B7" s="521"/>
      <c r="C7" s="528"/>
      <c r="D7" s="171"/>
      <c r="E7" s="124"/>
      <c r="F7" s="171"/>
      <c r="G7" s="191"/>
      <c r="H7" s="16"/>
      <c r="I7" s="172"/>
    </row>
    <row r="8" spans="1:9">
      <c r="A8" s="19" t="s">
        <v>8</v>
      </c>
      <c r="B8" s="26">
        <f>SUM(B9:B11)</f>
        <v>78216</v>
      </c>
      <c r="C8" s="529">
        <f>SUM(C9:C11)</f>
        <v>98121837</v>
      </c>
      <c r="D8" s="174">
        <f>C8/B8</f>
        <v>1254.4982740104326</v>
      </c>
      <c r="E8" s="128">
        <f>SUM(E9:E11)</f>
        <v>84507</v>
      </c>
      <c r="F8" s="193">
        <f>E8/$E$64</f>
        <v>0.25622235225987589</v>
      </c>
      <c r="G8" s="194">
        <f>SUM(G9:G11)</f>
        <v>113449931</v>
      </c>
      <c r="H8" s="129">
        <f>G8/$G$64</f>
        <v>0.26149223157737533</v>
      </c>
      <c r="I8" s="180">
        <f>G8/E8</f>
        <v>1342.4915214124273</v>
      </c>
    </row>
    <row r="9" spans="1:9">
      <c r="A9" s="24" t="s">
        <v>66</v>
      </c>
      <c r="B9" s="368">
        <v>71003</v>
      </c>
      <c r="C9" s="368">
        <v>85921306</v>
      </c>
      <c r="D9" s="174">
        <f>C9/B9</f>
        <v>1210.1081081081081</v>
      </c>
      <c r="E9" s="132">
        <f>B9+電動輔助自行車!B9</f>
        <v>76420</v>
      </c>
      <c r="F9" s="195">
        <f>E9/$E$64</f>
        <v>0.23170284307453481</v>
      </c>
      <c r="G9" s="196">
        <f>C9+電動輔助自行車!C9</f>
        <v>99094192</v>
      </c>
      <c r="H9" s="133">
        <f>G9/$G$64</f>
        <v>0.22840350076931198</v>
      </c>
      <c r="I9" s="180">
        <f>G9/E9</f>
        <v>1296.7049463491232</v>
      </c>
    </row>
    <row r="10" spans="1:9">
      <c r="A10" s="29" t="s">
        <v>9</v>
      </c>
      <c r="B10" s="368">
        <v>6694</v>
      </c>
      <c r="C10" s="368">
        <v>11257773</v>
      </c>
      <c r="D10" s="174">
        <f>C10/B10</f>
        <v>1681.7706901703018</v>
      </c>
      <c r="E10" s="132">
        <f>B10+電動輔助自行車!B10</f>
        <v>7537</v>
      </c>
      <c r="F10" s="195">
        <f>E10/$E$64</f>
        <v>2.285192787559237E-2</v>
      </c>
      <c r="G10" s="196">
        <f>C10+電動輔助自行車!C10</f>
        <v>13271708</v>
      </c>
      <c r="H10" s="133">
        <f>G10/$G$64</f>
        <v>3.0590133560886031E-2</v>
      </c>
      <c r="I10" s="180">
        <f>G10/E10</f>
        <v>1760.8740878333554</v>
      </c>
    </row>
    <row r="11" spans="1:9">
      <c r="A11" s="29" t="s">
        <v>10</v>
      </c>
      <c r="B11" s="368">
        <v>519</v>
      </c>
      <c r="C11" s="368">
        <v>942758</v>
      </c>
      <c r="D11" s="174">
        <f>C11/B11</f>
        <v>1816.4894026974953</v>
      </c>
      <c r="E11" s="132">
        <f>B11+電動輔助自行車!B11</f>
        <v>550</v>
      </c>
      <c r="F11" s="195">
        <f>E11/$E$64</f>
        <v>1.6675813097486803E-3</v>
      </c>
      <c r="G11" s="196">
        <f>C11+電動輔助自行車!C11</f>
        <v>1084031</v>
      </c>
      <c r="H11" s="133">
        <f>G11/$G$64</f>
        <v>2.4985972471772921E-3</v>
      </c>
      <c r="I11" s="180">
        <f>G11/E11</f>
        <v>1970.9654545454546</v>
      </c>
    </row>
    <row r="12" spans="1:9">
      <c r="A12" s="136"/>
      <c r="B12" s="25"/>
      <c r="C12" s="177"/>
      <c r="D12" s="179"/>
      <c r="E12" s="134"/>
      <c r="F12" s="195"/>
      <c r="G12" s="196"/>
      <c r="H12" s="133"/>
      <c r="I12" s="180"/>
    </row>
    <row r="13" spans="1:9">
      <c r="A13" s="30" t="s">
        <v>11</v>
      </c>
      <c r="B13" s="25">
        <f>SUM(B14:B41)</f>
        <v>200470</v>
      </c>
      <c r="C13" s="177">
        <f>SUM(C14:C41)</f>
        <v>241140866</v>
      </c>
      <c r="D13" s="174">
        <f>C13/B13</f>
        <v>1202.8775677158676</v>
      </c>
      <c r="E13" s="137">
        <f>SUM(E14:E41)</f>
        <v>216788</v>
      </c>
      <c r="F13" s="193">
        <f t="shared" ref="F13:F41" si="0">E13/$E$64</f>
        <v>0.65729384905053989</v>
      </c>
      <c r="G13" s="197">
        <f>SUM(G14:G41)</f>
        <v>268691295</v>
      </c>
      <c r="H13" s="129">
        <f t="shared" ref="H13:H41" si="1">G13/$G$64</f>
        <v>0.61931008433107704</v>
      </c>
      <c r="I13" s="176">
        <f t="shared" ref="I13:I36" si="2">G13/E13</f>
        <v>1239.4195942579847</v>
      </c>
    </row>
    <row r="14" spans="1:9">
      <c r="A14" s="24" t="s">
        <v>12</v>
      </c>
      <c r="B14" s="368">
        <v>102873</v>
      </c>
      <c r="C14" s="368">
        <v>147122578</v>
      </c>
      <c r="D14" s="174">
        <f t="shared" ref="D14:D33" si="3">C14/B14</f>
        <v>1430.1379176265882</v>
      </c>
      <c r="E14" s="132">
        <f>B14+電動輔助自行車!B14</f>
        <v>114928</v>
      </c>
      <c r="F14" s="195">
        <f t="shared" si="0"/>
        <v>0.34845779048508424</v>
      </c>
      <c r="G14" s="196">
        <f>C14+電動輔助自行車!C14</f>
        <v>167079882</v>
      </c>
      <c r="H14" s="133">
        <f t="shared" si="1"/>
        <v>0.38510460791610834</v>
      </c>
      <c r="I14" s="176">
        <f t="shared" si="2"/>
        <v>1453.7787310316023</v>
      </c>
    </row>
    <row r="15" spans="1:9">
      <c r="A15" s="24" t="s">
        <v>13</v>
      </c>
      <c r="B15" s="368">
        <v>27441</v>
      </c>
      <c r="C15" s="368">
        <v>19864318</v>
      </c>
      <c r="D15" s="174">
        <f t="shared" si="3"/>
        <v>723.89191356000151</v>
      </c>
      <c r="E15" s="132">
        <f>B15+電動輔助自行車!B15</f>
        <v>28682</v>
      </c>
      <c r="F15" s="195">
        <f t="shared" si="0"/>
        <v>8.6962849320384811E-2</v>
      </c>
      <c r="G15" s="196">
        <f>C15+電動輔助自行車!C15</f>
        <v>22647180</v>
      </c>
      <c r="H15" s="133">
        <f t="shared" si="1"/>
        <v>5.2199781744552164E-2</v>
      </c>
      <c r="I15" s="176">
        <f t="shared" si="2"/>
        <v>789.59556516281987</v>
      </c>
    </row>
    <row r="16" spans="1:9">
      <c r="A16" s="29" t="s">
        <v>14</v>
      </c>
      <c r="B16" s="368">
        <v>8754</v>
      </c>
      <c r="C16" s="368">
        <v>12031085</v>
      </c>
      <c r="D16" s="174">
        <f t="shared" si="3"/>
        <v>1374.3528672606808</v>
      </c>
      <c r="E16" s="132">
        <f>B16+電動輔助自行車!B16</f>
        <v>9113</v>
      </c>
      <c r="F16" s="195">
        <f t="shared" si="0"/>
        <v>2.763030631952677E-2</v>
      </c>
      <c r="G16" s="196">
        <f>C16+電動輔助自行車!C16</f>
        <v>12765010</v>
      </c>
      <c r="H16" s="133">
        <f t="shared" si="1"/>
        <v>2.9422238705526509E-2</v>
      </c>
      <c r="I16" s="176">
        <f t="shared" si="2"/>
        <v>1400.7472840996379</v>
      </c>
    </row>
    <row r="17" spans="1:9">
      <c r="A17" s="24" t="s">
        <v>15</v>
      </c>
      <c r="B17" s="368">
        <v>14411</v>
      </c>
      <c r="C17" s="368">
        <v>17341739</v>
      </c>
      <c r="D17" s="174">
        <f t="shared" si="3"/>
        <v>1203.3681909652348</v>
      </c>
      <c r="E17" s="132">
        <f>B17+電動輔助自行車!B49</f>
        <v>15045</v>
      </c>
      <c r="F17" s="195">
        <f t="shared" si="0"/>
        <v>4.5615928736670718E-2</v>
      </c>
      <c r="G17" s="196">
        <f>C17+電動輔助自行車!C49</f>
        <v>18239744</v>
      </c>
      <c r="H17" s="133">
        <f t="shared" si="1"/>
        <v>4.2041024793219507E-2</v>
      </c>
      <c r="I17" s="176">
        <f t="shared" si="2"/>
        <v>1212.3458956463942</v>
      </c>
    </row>
    <row r="18" spans="1:9">
      <c r="A18" s="24" t="s">
        <v>16</v>
      </c>
      <c r="B18" s="368">
        <v>4792</v>
      </c>
      <c r="C18" s="368">
        <v>4294747</v>
      </c>
      <c r="D18" s="174">
        <f t="shared" si="3"/>
        <v>896.2326794657763</v>
      </c>
      <c r="E18" s="132">
        <f>B18+電動輔助自行車!B17</f>
        <v>5101</v>
      </c>
      <c r="F18" s="195">
        <f t="shared" si="0"/>
        <v>1.5466058656414578E-2</v>
      </c>
      <c r="G18" s="196">
        <f>C18+電動輔助自行車!C17</f>
        <v>5207988</v>
      </c>
      <c r="H18" s="133">
        <f t="shared" si="1"/>
        <v>1.2003959739280862E-2</v>
      </c>
      <c r="I18" s="176">
        <f t="shared" si="2"/>
        <v>1020.9739266810429</v>
      </c>
    </row>
    <row r="19" spans="1:9">
      <c r="A19" s="29" t="s">
        <v>17</v>
      </c>
      <c r="B19" s="368">
        <v>6635</v>
      </c>
      <c r="C19" s="368">
        <v>11591705</v>
      </c>
      <c r="D19" s="174">
        <f t="shared" si="3"/>
        <v>1747.0542577241899</v>
      </c>
      <c r="E19" s="132">
        <f>B19+電動輔助自行車!B18</f>
        <v>6942</v>
      </c>
      <c r="F19" s="195">
        <f t="shared" si="0"/>
        <v>2.1047908095046072E-2</v>
      </c>
      <c r="G19" s="196">
        <f>C19+電動輔助自行車!C18</f>
        <v>12373048</v>
      </c>
      <c r="H19" s="133">
        <f t="shared" si="1"/>
        <v>2.8518800359023405E-2</v>
      </c>
      <c r="I19" s="176">
        <f t="shared" si="2"/>
        <v>1782.3462978968596</v>
      </c>
    </row>
    <row r="20" spans="1:9">
      <c r="A20" s="29" t="s">
        <v>18</v>
      </c>
      <c r="B20" s="368">
        <v>2411</v>
      </c>
      <c r="C20" s="368">
        <v>2652126</v>
      </c>
      <c r="D20" s="174">
        <f t="shared" si="3"/>
        <v>1100.0107839070924</v>
      </c>
      <c r="E20" s="132">
        <f>B20+電動輔助自行車!B19</f>
        <v>2448</v>
      </c>
      <c r="F20" s="195">
        <f t="shared" si="0"/>
        <v>7.4222528113904902E-3</v>
      </c>
      <c r="G20" s="196">
        <f>C20+電動輔助自行車!C19</f>
        <v>2780222</v>
      </c>
      <c r="H20" s="133">
        <f t="shared" si="1"/>
        <v>6.4081700945284271E-3</v>
      </c>
      <c r="I20" s="176">
        <f t="shared" si="2"/>
        <v>1135.7116013071895</v>
      </c>
    </row>
    <row r="21" spans="1:9">
      <c r="A21" s="24" t="s">
        <v>19</v>
      </c>
      <c r="B21" s="368">
        <v>9184</v>
      </c>
      <c r="C21" s="368">
        <v>6418508</v>
      </c>
      <c r="D21" s="174">
        <f t="shared" si="3"/>
        <v>698.87935540069691</v>
      </c>
      <c r="E21" s="132">
        <f>B21+電動輔助自行車!B20</f>
        <v>9349</v>
      </c>
      <c r="F21" s="195">
        <f t="shared" si="0"/>
        <v>2.8345850299709843E-2</v>
      </c>
      <c r="G21" s="196">
        <f>C21+電動輔助自行車!C20</f>
        <v>6757216</v>
      </c>
      <c r="H21" s="133">
        <f t="shared" si="1"/>
        <v>1.5574795643466243E-2</v>
      </c>
      <c r="I21" s="176">
        <f t="shared" si="2"/>
        <v>722.77420044924588</v>
      </c>
    </row>
    <row r="22" spans="1:9">
      <c r="A22" s="29" t="s">
        <v>67</v>
      </c>
      <c r="B22" s="368">
        <v>1</v>
      </c>
      <c r="C22" s="368">
        <v>633</v>
      </c>
      <c r="D22" s="174">
        <f t="shared" si="3"/>
        <v>633</v>
      </c>
      <c r="E22" s="132">
        <f>B22+電動輔助自行車!B21</f>
        <v>1</v>
      </c>
      <c r="F22" s="195">
        <f t="shared" si="0"/>
        <v>3.0319660177248732E-6</v>
      </c>
      <c r="G22" s="196">
        <f>C22+電動輔助自行車!C21</f>
        <v>633</v>
      </c>
      <c r="H22" s="133">
        <f t="shared" si="1"/>
        <v>1.4590099890715542E-6</v>
      </c>
      <c r="I22" s="176">
        <f t="shared" si="2"/>
        <v>633</v>
      </c>
    </row>
    <row r="23" spans="1:9">
      <c r="A23" s="24" t="s">
        <v>21</v>
      </c>
      <c r="B23" s="368">
        <v>0</v>
      </c>
      <c r="C23" s="368">
        <v>0</v>
      </c>
      <c r="D23" s="174">
        <v>0</v>
      </c>
      <c r="E23" s="132">
        <f>B23+電動輔助自行車!B22</f>
        <v>0</v>
      </c>
      <c r="F23" s="195">
        <f t="shared" si="0"/>
        <v>0</v>
      </c>
      <c r="G23" s="196">
        <f>C23+電動輔助自行車!C22</f>
        <v>0</v>
      </c>
      <c r="H23" s="133">
        <f t="shared" si="1"/>
        <v>0</v>
      </c>
      <c r="I23" s="176">
        <v>0</v>
      </c>
    </row>
    <row r="24" spans="1:9">
      <c r="A24" s="29" t="s">
        <v>22</v>
      </c>
      <c r="B24" s="368">
        <v>0</v>
      </c>
      <c r="C24" s="368">
        <v>0</v>
      </c>
      <c r="D24" s="174">
        <v>0</v>
      </c>
      <c r="E24" s="132">
        <f>B24+電動輔助自行車!B23</f>
        <v>0</v>
      </c>
      <c r="F24" s="195">
        <f t="shared" si="0"/>
        <v>0</v>
      </c>
      <c r="G24" s="196">
        <f>C24+電動輔助自行車!C23</f>
        <v>0</v>
      </c>
      <c r="H24" s="133">
        <f t="shared" si="1"/>
        <v>0</v>
      </c>
      <c r="I24" s="176">
        <v>0</v>
      </c>
    </row>
    <row r="25" spans="1:9">
      <c r="A25" s="29" t="s">
        <v>23</v>
      </c>
      <c r="B25" s="368">
        <v>4</v>
      </c>
      <c r="C25" s="368">
        <v>8430</v>
      </c>
      <c r="D25" s="174">
        <f t="shared" si="3"/>
        <v>2107.5</v>
      </c>
      <c r="E25" s="132">
        <f>B25+電動輔助自行車!B24</f>
        <v>4</v>
      </c>
      <c r="F25" s="195">
        <f t="shared" si="0"/>
        <v>1.2127864070899493E-5</v>
      </c>
      <c r="G25" s="196">
        <f>C25+電動輔助自行車!C24</f>
        <v>8430</v>
      </c>
      <c r="H25" s="133">
        <f t="shared" si="1"/>
        <v>1.9430417390005058E-5</v>
      </c>
      <c r="I25" s="176">
        <f t="shared" si="2"/>
        <v>2107.5</v>
      </c>
    </row>
    <row r="26" spans="1:9">
      <c r="A26" s="29" t="s">
        <v>24</v>
      </c>
      <c r="B26" s="368">
        <v>1273</v>
      </c>
      <c r="C26" s="368">
        <v>1743902</v>
      </c>
      <c r="D26" s="174">
        <f t="shared" si="3"/>
        <v>1369.9151610369206</v>
      </c>
      <c r="E26" s="132">
        <f>B26+電動輔助自行車!B25</f>
        <v>1273</v>
      </c>
      <c r="F26" s="195">
        <f t="shared" si="0"/>
        <v>3.8596927405637636E-3</v>
      </c>
      <c r="G26" s="196">
        <f>C26+電動輔助自行車!C25</f>
        <v>1743902</v>
      </c>
      <c r="H26" s="133">
        <f t="shared" si="1"/>
        <v>4.0195425560218979E-3</v>
      </c>
      <c r="I26" s="176">
        <f t="shared" si="2"/>
        <v>1369.9151610369206</v>
      </c>
    </row>
    <row r="27" spans="1:9">
      <c r="A27" s="24" t="s">
        <v>25</v>
      </c>
      <c r="B27" s="368">
        <v>15855</v>
      </c>
      <c r="C27" s="368">
        <v>10351043</v>
      </c>
      <c r="D27" s="174">
        <f t="shared" si="3"/>
        <v>652.85670135603914</v>
      </c>
      <c r="E27" s="132">
        <f>B27+電動輔助自行車!B26</f>
        <v>16645</v>
      </c>
      <c r="F27" s="195">
        <f t="shared" si="0"/>
        <v>5.0467074365030513E-2</v>
      </c>
      <c r="G27" s="196">
        <f>C27+電動輔助自行車!C26</f>
        <v>10632861</v>
      </c>
      <c r="H27" s="133">
        <f t="shared" si="1"/>
        <v>2.4507820555149058E-2</v>
      </c>
      <c r="I27" s="176">
        <f t="shared" si="2"/>
        <v>638.80210273355362</v>
      </c>
    </row>
    <row r="28" spans="1:9">
      <c r="A28" s="24" t="s">
        <v>26</v>
      </c>
      <c r="B28" s="368">
        <v>1201</v>
      </c>
      <c r="C28" s="368">
        <v>1390020</v>
      </c>
      <c r="D28" s="174">
        <f t="shared" si="3"/>
        <v>1157.3855120732724</v>
      </c>
      <c r="E28" s="132">
        <f>B28+電動輔助自行車!B27</f>
        <v>1201</v>
      </c>
      <c r="F28" s="195">
        <f t="shared" si="0"/>
        <v>3.6413911872875729E-3</v>
      </c>
      <c r="G28" s="196">
        <f>C28+電動輔助自行車!C27</f>
        <v>1390020</v>
      </c>
      <c r="H28" s="133">
        <f t="shared" si="1"/>
        <v>3.2038753001725779E-3</v>
      </c>
      <c r="I28" s="176">
        <f t="shared" si="2"/>
        <v>1157.3855120732724</v>
      </c>
    </row>
    <row r="29" spans="1:9">
      <c r="A29" s="29" t="s">
        <v>76</v>
      </c>
      <c r="B29" s="368">
        <v>873</v>
      </c>
      <c r="C29" s="368">
        <v>1398991</v>
      </c>
      <c r="D29" s="174">
        <f t="shared" si="3"/>
        <v>1602.5097365406643</v>
      </c>
      <c r="E29" s="132">
        <f>B29+電動輔助自行車!B28</f>
        <v>1292</v>
      </c>
      <c r="F29" s="195">
        <f t="shared" si="0"/>
        <v>3.9173000949005365E-3</v>
      </c>
      <c r="G29" s="196">
        <f>C29+電動輔助自行車!C28</f>
        <v>2132471</v>
      </c>
      <c r="H29" s="133">
        <f t="shared" si="1"/>
        <v>4.9151603323940064E-3</v>
      </c>
      <c r="I29" s="176">
        <f t="shared" si="2"/>
        <v>1650.5193498452013</v>
      </c>
    </row>
    <row r="30" spans="1:9">
      <c r="A30" s="29" t="s">
        <v>77</v>
      </c>
      <c r="B30" s="368">
        <v>4306</v>
      </c>
      <c r="C30" s="368">
        <v>4133443</v>
      </c>
      <c r="D30" s="174">
        <f t="shared" si="3"/>
        <v>959.92638179284722</v>
      </c>
      <c r="E30" s="132">
        <f>B30+電動輔助自行車!B29</f>
        <v>4306</v>
      </c>
      <c r="F30" s="195">
        <f t="shared" si="0"/>
        <v>1.3055645672323304E-2</v>
      </c>
      <c r="G30" s="196">
        <f>C30+電動輔助自行車!C29</f>
        <v>4133443</v>
      </c>
      <c r="H30" s="133">
        <f t="shared" si="1"/>
        <v>9.527226897721789E-3</v>
      </c>
      <c r="I30" s="176">
        <f t="shared" si="2"/>
        <v>959.92638179284722</v>
      </c>
    </row>
    <row r="31" spans="1:9">
      <c r="A31" s="29" t="s">
        <v>27</v>
      </c>
      <c r="B31" s="368">
        <v>0</v>
      </c>
      <c r="C31" s="368">
        <v>0</v>
      </c>
      <c r="D31" s="174">
        <v>0</v>
      </c>
      <c r="E31" s="132">
        <f>B31+電動輔助自行車!B30</f>
        <v>2</v>
      </c>
      <c r="F31" s="195">
        <f t="shared" si="0"/>
        <v>6.0639320354497465E-6</v>
      </c>
      <c r="G31" s="196">
        <f>C31+電動輔助自行車!C30</f>
        <v>1647</v>
      </c>
      <c r="H31" s="133">
        <f t="shared" si="1"/>
        <v>3.7961918672999208E-6</v>
      </c>
      <c r="I31" s="176">
        <v>0</v>
      </c>
    </row>
    <row r="32" spans="1:9">
      <c r="A32" s="29" t="s">
        <v>28</v>
      </c>
      <c r="B32" s="368">
        <v>0</v>
      </c>
      <c r="C32" s="368">
        <v>0</v>
      </c>
      <c r="D32" s="174">
        <v>0</v>
      </c>
      <c r="E32" s="132">
        <f>B32+電動輔助自行車!B31</f>
        <v>0</v>
      </c>
      <c r="F32" s="195">
        <f t="shared" si="0"/>
        <v>0</v>
      </c>
      <c r="G32" s="196">
        <f>C32+電動輔助自行車!C31</f>
        <v>0</v>
      </c>
      <c r="H32" s="133">
        <f t="shared" si="1"/>
        <v>0</v>
      </c>
      <c r="I32" s="176">
        <v>0</v>
      </c>
    </row>
    <row r="33" spans="1:9">
      <c r="A33" s="29" t="s">
        <v>29</v>
      </c>
      <c r="B33" s="368">
        <v>436</v>
      </c>
      <c r="C33" s="368">
        <v>767996</v>
      </c>
      <c r="D33" s="174">
        <f t="shared" si="3"/>
        <v>1761.4587155963302</v>
      </c>
      <c r="E33" s="132">
        <f>B33+電動輔助自行車!B32</f>
        <v>436</v>
      </c>
      <c r="F33" s="195">
        <f t="shared" si="0"/>
        <v>1.3219371837280447E-3</v>
      </c>
      <c r="G33" s="196">
        <f>C33+電動輔助自行車!C32</f>
        <v>767996</v>
      </c>
      <c r="H33" s="133">
        <f t="shared" si="1"/>
        <v>1.7701640372306436E-3</v>
      </c>
      <c r="I33" s="176">
        <f t="shared" si="2"/>
        <v>1761.4587155963302</v>
      </c>
    </row>
    <row r="34" spans="1:9">
      <c r="A34" s="29" t="s">
        <v>30</v>
      </c>
      <c r="B34" s="368">
        <v>0</v>
      </c>
      <c r="C34" s="368">
        <v>0</v>
      </c>
      <c r="D34" s="174">
        <v>0</v>
      </c>
      <c r="E34" s="132">
        <f>B34+電動輔助自行車!B33</f>
        <v>0</v>
      </c>
      <c r="F34" s="195">
        <f t="shared" si="0"/>
        <v>0</v>
      </c>
      <c r="G34" s="196">
        <f>C34+電動輔助自行車!C33</f>
        <v>0</v>
      </c>
      <c r="H34" s="133">
        <f t="shared" si="1"/>
        <v>0</v>
      </c>
      <c r="I34" s="176">
        <v>0</v>
      </c>
    </row>
    <row r="35" spans="1:9">
      <c r="A35" s="29" t="s">
        <v>31</v>
      </c>
      <c r="B35" s="368">
        <v>0</v>
      </c>
      <c r="C35" s="368">
        <v>0</v>
      </c>
      <c r="D35" s="174">
        <v>0</v>
      </c>
      <c r="E35" s="132">
        <f>B35+電動輔助自行車!B34</f>
        <v>0</v>
      </c>
      <c r="F35" s="195">
        <f t="shared" si="0"/>
        <v>0</v>
      </c>
      <c r="G35" s="196">
        <f>C35+電動輔助自行車!C34</f>
        <v>0</v>
      </c>
      <c r="H35" s="133">
        <f t="shared" si="1"/>
        <v>0</v>
      </c>
      <c r="I35" s="176">
        <v>0</v>
      </c>
    </row>
    <row r="36" spans="1:9">
      <c r="A36" s="29" t="s">
        <v>32</v>
      </c>
      <c r="B36" s="368">
        <v>20</v>
      </c>
      <c r="C36" s="368">
        <v>29602</v>
      </c>
      <c r="D36" s="174">
        <v>0</v>
      </c>
      <c r="E36" s="132">
        <f>B36+電動輔助自行車!B35</f>
        <v>20</v>
      </c>
      <c r="F36" s="195">
        <f t="shared" si="0"/>
        <v>6.0639320354497466E-5</v>
      </c>
      <c r="G36" s="196">
        <f>C36+電動輔助自行車!C35</f>
        <v>29602</v>
      </c>
      <c r="H36" s="133">
        <f t="shared" si="1"/>
        <v>6.8230037435222988E-5</v>
      </c>
      <c r="I36" s="176">
        <f t="shared" si="2"/>
        <v>1480.1</v>
      </c>
    </row>
    <row r="37" spans="1:9">
      <c r="A37" s="29" t="s">
        <v>33</v>
      </c>
      <c r="B37" s="368">
        <v>0</v>
      </c>
      <c r="C37" s="368">
        <v>0</v>
      </c>
      <c r="D37" s="174">
        <v>0</v>
      </c>
      <c r="E37" s="132">
        <f>B37+電動輔助自行車!B36</f>
        <v>0</v>
      </c>
      <c r="F37" s="195">
        <f t="shared" si="0"/>
        <v>0</v>
      </c>
      <c r="G37" s="196">
        <f>C37+電動輔助自行車!C36</f>
        <v>0</v>
      </c>
      <c r="H37" s="133">
        <f t="shared" si="1"/>
        <v>0</v>
      </c>
      <c r="I37" s="176">
        <v>0</v>
      </c>
    </row>
    <row r="38" spans="1:9">
      <c r="A38" s="29" t="s">
        <v>78</v>
      </c>
      <c r="B38" s="368">
        <v>0</v>
      </c>
      <c r="C38" s="368">
        <v>0</v>
      </c>
      <c r="D38" s="174">
        <v>0</v>
      </c>
      <c r="E38" s="132">
        <f>B38+電動輔助自行車!B37</f>
        <v>0</v>
      </c>
      <c r="F38" s="195">
        <f t="shared" si="0"/>
        <v>0</v>
      </c>
      <c r="G38" s="196">
        <f>C38+電動輔助自行車!C37</f>
        <v>0</v>
      </c>
      <c r="H38" s="133">
        <f t="shared" si="1"/>
        <v>0</v>
      </c>
      <c r="I38" s="176">
        <v>0</v>
      </c>
    </row>
    <row r="39" spans="1:9">
      <c r="A39" s="29" t="s">
        <v>35</v>
      </c>
      <c r="B39" s="368">
        <v>0</v>
      </c>
      <c r="C39" s="368">
        <v>0</v>
      </c>
      <c r="D39" s="174">
        <v>0</v>
      </c>
      <c r="E39" s="132">
        <f>B39+電動輔助自行車!B38</f>
        <v>0</v>
      </c>
      <c r="F39" s="195">
        <f t="shared" si="0"/>
        <v>0</v>
      </c>
      <c r="G39" s="196">
        <f>C39+電動輔助自行車!C38</f>
        <v>0</v>
      </c>
      <c r="H39" s="133">
        <f t="shared" si="1"/>
        <v>0</v>
      </c>
      <c r="I39" s="176">
        <v>0</v>
      </c>
    </row>
    <row r="40" spans="1:9">
      <c r="A40" s="29" t="s">
        <v>36</v>
      </c>
      <c r="B40" s="368">
        <v>0</v>
      </c>
      <c r="C40" s="368">
        <v>0</v>
      </c>
      <c r="D40" s="174">
        <v>0</v>
      </c>
      <c r="E40" s="132">
        <f>B40+電動輔助自行車!B39</f>
        <v>0</v>
      </c>
      <c r="F40" s="195">
        <f t="shared" si="0"/>
        <v>0</v>
      </c>
      <c r="G40" s="196">
        <f>C40+電動輔助自行車!C39</f>
        <v>0</v>
      </c>
      <c r="H40" s="133">
        <f t="shared" si="1"/>
        <v>0</v>
      </c>
      <c r="I40" s="176">
        <v>0</v>
      </c>
    </row>
    <row r="41" spans="1:9">
      <c r="A41" s="29" t="s">
        <v>79</v>
      </c>
      <c r="B41" s="368">
        <v>0</v>
      </c>
      <c r="C41" s="368">
        <v>0</v>
      </c>
      <c r="D41" s="174">
        <v>0</v>
      </c>
      <c r="E41" s="132">
        <f>B41+電動輔助自行車!B40</f>
        <v>0</v>
      </c>
      <c r="F41" s="195">
        <f t="shared" si="0"/>
        <v>0</v>
      </c>
      <c r="G41" s="196">
        <f>C41+電動輔助自行車!C40</f>
        <v>0</v>
      </c>
      <c r="H41" s="133">
        <f t="shared" si="1"/>
        <v>0</v>
      </c>
      <c r="I41" s="176">
        <v>0</v>
      </c>
    </row>
    <row r="42" spans="1:9">
      <c r="A42" s="29"/>
      <c r="B42" s="25"/>
      <c r="C42" s="177"/>
      <c r="D42" s="179"/>
      <c r="E42" s="132"/>
      <c r="F42" s="195"/>
      <c r="G42" s="196"/>
      <c r="H42" s="133"/>
      <c r="I42" s="180"/>
    </row>
    <row r="43" spans="1:9">
      <c r="A43" s="32" t="s">
        <v>38</v>
      </c>
      <c r="B43" s="25">
        <f>SUM(B44:B47)</f>
        <v>11020</v>
      </c>
      <c r="C43" s="177">
        <f>SUM(C44:C47)</f>
        <v>17563748</v>
      </c>
      <c r="D43" s="174">
        <f>C43/B43</f>
        <v>1593.8065335753176</v>
      </c>
      <c r="E43" s="137">
        <f>SUM(E44:E47)</f>
        <v>11542</v>
      </c>
      <c r="F43" s="193">
        <f>E43/$E$64</f>
        <v>3.4994951776580491E-2</v>
      </c>
      <c r="G43" s="197">
        <f>SUM(G44:G47)</f>
        <v>18996564</v>
      </c>
      <c r="H43" s="129">
        <f>G43/$G$64</f>
        <v>4.3785429121701545E-2</v>
      </c>
      <c r="I43" s="176">
        <f>G43/E43</f>
        <v>1645.8641483278461</v>
      </c>
    </row>
    <row r="44" spans="1:9">
      <c r="A44" s="24" t="s">
        <v>39</v>
      </c>
      <c r="B44" s="368">
        <v>7901</v>
      </c>
      <c r="C44" s="368">
        <v>13521847</v>
      </c>
      <c r="D44" s="174">
        <f>C44/B44</f>
        <v>1711.4095684090621</v>
      </c>
      <c r="E44" s="132">
        <f>B44+電動輔助自行車!B43</f>
        <v>8423</v>
      </c>
      <c r="F44" s="195">
        <f>E44/$E$64</f>
        <v>2.5538249767296607E-2</v>
      </c>
      <c r="G44" s="196">
        <f>C44+電動輔助自行車!C43</f>
        <v>14954663</v>
      </c>
      <c r="H44" s="133">
        <f>G44/$G$64</f>
        <v>3.4469198578513077E-2</v>
      </c>
      <c r="I44" s="176">
        <f>G44/E44</f>
        <v>1775.4556571292887</v>
      </c>
    </row>
    <row r="45" spans="1:9">
      <c r="A45" s="24" t="s">
        <v>40</v>
      </c>
      <c r="B45" s="368">
        <v>3078</v>
      </c>
      <c r="C45" s="368">
        <v>4015482</v>
      </c>
      <c r="D45" s="174">
        <f>C45/B45</f>
        <v>1304.5750487329435</v>
      </c>
      <c r="E45" s="132">
        <f>B45+電動輔助自行車!B44</f>
        <v>3078</v>
      </c>
      <c r="F45" s="195">
        <f>E45/$E$64</f>
        <v>9.3323914025571601E-3</v>
      </c>
      <c r="G45" s="196">
        <f>C45+電動輔助自行車!C44</f>
        <v>4015482</v>
      </c>
      <c r="H45" s="133">
        <f>G45/$G$64</f>
        <v>9.2553370441343166E-3</v>
      </c>
      <c r="I45" s="176">
        <f>G45/E45</f>
        <v>1304.5750487329435</v>
      </c>
    </row>
    <row r="46" spans="1:9">
      <c r="A46" s="24" t="s">
        <v>41</v>
      </c>
      <c r="B46" s="368">
        <v>41</v>
      </c>
      <c r="C46" s="368">
        <v>26419</v>
      </c>
      <c r="D46" s="174">
        <f>C46/B46</f>
        <v>644.36585365853659</v>
      </c>
      <c r="E46" s="132">
        <f>B46+電動輔助自行車!B45</f>
        <v>41</v>
      </c>
      <c r="F46" s="195">
        <f>E46/$E$64</f>
        <v>1.2431060672671982E-4</v>
      </c>
      <c r="G46" s="196">
        <f>C46+電動輔助自行車!C45</f>
        <v>26419</v>
      </c>
      <c r="H46" s="133">
        <f>G46/$G$64</f>
        <v>6.0893499054157016E-5</v>
      </c>
      <c r="I46" s="176">
        <f>G46/E46</f>
        <v>644.36585365853659</v>
      </c>
    </row>
    <row r="47" spans="1:9">
      <c r="A47" s="29" t="s">
        <v>42</v>
      </c>
      <c r="B47" s="368">
        <v>0</v>
      </c>
      <c r="C47" s="368">
        <v>0</v>
      </c>
      <c r="D47" s="174">
        <v>0</v>
      </c>
      <c r="E47" s="132">
        <f>B47+電動輔助自行車!B46</f>
        <v>0</v>
      </c>
      <c r="F47" s="195">
        <f>E47/$E$64</f>
        <v>0</v>
      </c>
      <c r="G47" s="196">
        <f>C47+電動輔助自行車!C46</f>
        <v>0</v>
      </c>
      <c r="H47" s="133">
        <f>G47/$G$64</f>
        <v>0</v>
      </c>
      <c r="I47" s="176">
        <v>0</v>
      </c>
    </row>
    <row r="48" spans="1:9">
      <c r="A48" s="29"/>
      <c r="B48" s="25"/>
      <c r="C48" s="177"/>
      <c r="D48" s="179"/>
      <c r="E48" s="134"/>
      <c r="F48" s="195"/>
      <c r="G48" s="196"/>
      <c r="H48" s="133"/>
      <c r="I48" s="180"/>
    </row>
    <row r="49" spans="1:9">
      <c r="A49" s="32" t="s">
        <v>43</v>
      </c>
      <c r="B49" s="177">
        <f>SUM(B50:B62)</f>
        <v>13421</v>
      </c>
      <c r="C49" s="177">
        <f>SUM(C50:C62)</f>
        <v>25402291</v>
      </c>
      <c r="D49" s="174">
        <f>C49/B49</f>
        <v>1892.7271440280158</v>
      </c>
      <c r="E49" s="137">
        <f>SUM(E50:E62)</f>
        <v>15179</v>
      </c>
      <c r="F49" s="193">
        <f t="shared" ref="F49:F64" si="4">E49/$E$64</f>
        <v>4.6022212183045849E-2</v>
      </c>
      <c r="G49" s="197">
        <f>SUM(G50:G62)</f>
        <v>28732669</v>
      </c>
      <c r="H49" s="129">
        <f t="shared" ref="H49:H64" si="5">G49/$G$64</f>
        <v>6.6226305029520677E-2</v>
      </c>
      <c r="I49" s="176">
        <f>G49/E49</f>
        <v>1892.9223927794981</v>
      </c>
    </row>
    <row r="50" spans="1:9">
      <c r="A50" s="383" t="s">
        <v>44</v>
      </c>
      <c r="B50" s="368">
        <v>2706</v>
      </c>
      <c r="C50" s="368">
        <v>3890309</v>
      </c>
      <c r="D50" s="174">
        <f>C50/B50</f>
        <v>1437.6603843311161</v>
      </c>
      <c r="E50" s="132">
        <f>B50+電動輔助自行車!B50</f>
        <v>2921</v>
      </c>
      <c r="F50" s="195">
        <f t="shared" si="4"/>
        <v>8.856372737774355E-3</v>
      </c>
      <c r="G50" s="196">
        <f>C50+電動輔助自行車!C50</f>
        <v>4118438</v>
      </c>
      <c r="H50" s="133">
        <f t="shared" si="5"/>
        <v>9.4926416767328169E-3</v>
      </c>
      <c r="I50" s="176">
        <f>G50/E50</f>
        <v>1409.9411160561451</v>
      </c>
    </row>
    <row r="51" spans="1:9">
      <c r="A51" s="383" t="s">
        <v>45</v>
      </c>
      <c r="B51" s="368">
        <v>0</v>
      </c>
      <c r="C51" s="368">
        <v>0</v>
      </c>
      <c r="D51" s="174">
        <v>0</v>
      </c>
      <c r="E51" s="132">
        <f>B51+電動輔助自行車!B51</f>
        <v>169</v>
      </c>
      <c r="F51" s="195">
        <f t="shared" si="4"/>
        <v>5.1240225699550356E-4</v>
      </c>
      <c r="G51" s="196">
        <f>C51+電動輔助自行車!C51</f>
        <v>250459</v>
      </c>
      <c r="H51" s="133">
        <f t="shared" si="5"/>
        <v>5.7728622883550143E-4</v>
      </c>
      <c r="I51" s="176">
        <v>0</v>
      </c>
    </row>
    <row r="52" spans="1:9">
      <c r="A52" s="383" t="s">
        <v>46</v>
      </c>
      <c r="B52" s="368">
        <v>528</v>
      </c>
      <c r="C52" s="368">
        <v>989616</v>
      </c>
      <c r="D52" s="174">
        <f t="shared" ref="D52:D62" si="6">C52/B52</f>
        <v>1874.2727272727273</v>
      </c>
      <c r="E52" s="132">
        <f>B52+電動輔助自行車!B52</f>
        <v>571</v>
      </c>
      <c r="F52" s="195">
        <f t="shared" si="4"/>
        <v>1.7312525961209026E-3</v>
      </c>
      <c r="G52" s="196">
        <f>C52+電動輔助自行車!C52</f>
        <v>1120848</v>
      </c>
      <c r="H52" s="133">
        <f t="shared" si="5"/>
        <v>2.5834572325922171E-3</v>
      </c>
      <c r="I52" s="176">
        <f t="shared" ref="I52:I62" si="7">G52/E52</f>
        <v>1962.9562171628722</v>
      </c>
    </row>
    <row r="53" spans="1:9">
      <c r="A53" s="140" t="s">
        <v>47</v>
      </c>
      <c r="B53" s="368">
        <v>10</v>
      </c>
      <c r="C53" s="368">
        <v>17921</v>
      </c>
      <c r="D53" s="174">
        <f t="shared" si="6"/>
        <v>1792.1</v>
      </c>
      <c r="E53" s="132">
        <f>B53+電動輔助自行車!B53</f>
        <v>23</v>
      </c>
      <c r="F53" s="195">
        <f t="shared" si="4"/>
        <v>6.9735218407672084E-5</v>
      </c>
      <c r="G53" s="196">
        <f>C53+電動輔助自行車!C53</f>
        <v>53049</v>
      </c>
      <c r="H53" s="133">
        <f t="shared" si="5"/>
        <v>1.2227333477133788E-4</v>
      </c>
      <c r="I53" s="176">
        <f t="shared" si="7"/>
        <v>2306.478260869565</v>
      </c>
    </row>
    <row r="54" spans="1:9">
      <c r="A54" s="383" t="s">
        <v>48</v>
      </c>
      <c r="B54" s="368">
        <v>745</v>
      </c>
      <c r="C54" s="368">
        <v>1519213</v>
      </c>
      <c r="D54" s="174">
        <f t="shared" si="6"/>
        <v>2039.2120805369127</v>
      </c>
      <c r="E54" s="132">
        <f>B54+電動輔助自行車!B54</f>
        <v>850</v>
      </c>
      <c r="F54" s="195">
        <f t="shared" si="4"/>
        <v>2.5771711150661424E-3</v>
      </c>
      <c r="G54" s="196">
        <f>C54+電動輔助自行車!C54</f>
        <v>1888202</v>
      </c>
      <c r="H54" s="133">
        <f t="shared" si="5"/>
        <v>4.3521415156159348E-3</v>
      </c>
      <c r="I54" s="176">
        <f t="shared" si="7"/>
        <v>2221.4141176470589</v>
      </c>
    </row>
    <row r="55" spans="1:9">
      <c r="A55" s="140" t="s">
        <v>49</v>
      </c>
      <c r="B55" s="368">
        <v>4856</v>
      </c>
      <c r="C55" s="368">
        <v>9599018</v>
      </c>
      <c r="D55" s="174">
        <f t="shared" si="6"/>
        <v>1976.7335255354201</v>
      </c>
      <c r="E55" s="132">
        <f>B55+電動輔助自行車!B55</f>
        <v>5689</v>
      </c>
      <c r="F55" s="195">
        <f t="shared" si="4"/>
        <v>1.7248854674836805E-2</v>
      </c>
      <c r="G55" s="196">
        <f>C55+電動輔助自行車!C55</f>
        <v>11073013</v>
      </c>
      <c r="H55" s="133">
        <f t="shared" si="5"/>
        <v>2.5522332663695382E-2</v>
      </c>
      <c r="I55" s="176">
        <f t="shared" si="7"/>
        <v>1946.390050975567</v>
      </c>
    </row>
    <row r="56" spans="1:9">
      <c r="A56" s="140" t="s">
        <v>199</v>
      </c>
      <c r="B56" s="368">
        <v>250</v>
      </c>
      <c r="C56" s="368">
        <v>653398</v>
      </c>
      <c r="D56" s="174">
        <f t="shared" si="6"/>
        <v>2613.5920000000001</v>
      </c>
      <c r="E56" s="132">
        <f>B56+電動輔助自行車!B56</f>
        <v>278</v>
      </c>
      <c r="F56" s="195">
        <f t="shared" si="4"/>
        <v>8.428865529275148E-4</v>
      </c>
      <c r="G56" s="196">
        <f>C56+電動輔助自行車!C56</f>
        <v>725587</v>
      </c>
      <c r="H56" s="133">
        <f t="shared" si="5"/>
        <v>1.6724149777890391E-3</v>
      </c>
      <c r="I56" s="176">
        <f t="shared" si="7"/>
        <v>2610.0251798561153</v>
      </c>
    </row>
    <row r="57" spans="1:9">
      <c r="A57" s="140" t="s">
        <v>51</v>
      </c>
      <c r="B57" s="368">
        <v>56</v>
      </c>
      <c r="C57" s="368">
        <v>38697</v>
      </c>
      <c r="D57" s="174">
        <f t="shared" si="6"/>
        <v>691.01785714285711</v>
      </c>
      <c r="E57" s="132">
        <f>B57+電動輔助自行車!B57</f>
        <v>61</v>
      </c>
      <c r="F57" s="195">
        <f t="shared" si="4"/>
        <v>1.8494992708121728E-4</v>
      </c>
      <c r="G57" s="196">
        <f>C57+電動輔助自行車!C57</f>
        <v>46077</v>
      </c>
      <c r="H57" s="133">
        <f t="shared" si="5"/>
        <v>1.0620348067369669E-4</v>
      </c>
      <c r="I57" s="176">
        <f t="shared" si="7"/>
        <v>755.36065573770497</v>
      </c>
    </row>
    <row r="58" spans="1:9">
      <c r="A58" s="140" t="s">
        <v>81</v>
      </c>
      <c r="B58" s="368">
        <v>902</v>
      </c>
      <c r="C58" s="368">
        <v>2114989</v>
      </c>
      <c r="D58" s="174">
        <f t="shared" si="6"/>
        <v>2344.7771618625279</v>
      </c>
      <c r="E58" s="132">
        <f>B58+電動輔助自行車!B58</f>
        <v>910</v>
      </c>
      <c r="F58" s="195">
        <f t="shared" si="4"/>
        <v>2.7590890761296349E-3</v>
      </c>
      <c r="G58" s="196">
        <f>C58+電動輔助自行車!C58</f>
        <v>2131745</v>
      </c>
      <c r="H58" s="133">
        <f t="shared" si="5"/>
        <v>4.9134869654871094E-3</v>
      </c>
      <c r="I58" s="176">
        <f t="shared" si="7"/>
        <v>2342.5769230769229</v>
      </c>
    </row>
    <row r="59" spans="1:9">
      <c r="A59" s="140" t="s">
        <v>52</v>
      </c>
      <c r="B59" s="368">
        <v>181</v>
      </c>
      <c r="C59" s="368">
        <v>463384</v>
      </c>
      <c r="D59" s="174">
        <f t="shared" si="6"/>
        <v>2560.1325966850827</v>
      </c>
      <c r="E59" s="132">
        <f>B59+電動輔助自行車!B59</f>
        <v>181</v>
      </c>
      <c r="F59" s="195">
        <f t="shared" si="4"/>
        <v>5.4878584920820212E-4</v>
      </c>
      <c r="G59" s="196">
        <f>C59+電動輔助自行車!C59</f>
        <v>463384</v>
      </c>
      <c r="H59" s="133">
        <f t="shared" si="5"/>
        <v>1.0680598495670349E-3</v>
      </c>
      <c r="I59" s="176">
        <f t="shared" si="7"/>
        <v>2560.1325966850827</v>
      </c>
    </row>
    <row r="60" spans="1:9">
      <c r="A60" s="140" t="s">
        <v>53</v>
      </c>
      <c r="B60" s="368">
        <v>0</v>
      </c>
      <c r="C60" s="368">
        <v>0</v>
      </c>
      <c r="D60" s="174">
        <v>0</v>
      </c>
      <c r="E60" s="132">
        <f>B60+電動輔助自行車!B60</f>
        <v>0</v>
      </c>
      <c r="F60" s="195">
        <f t="shared" si="4"/>
        <v>0</v>
      </c>
      <c r="G60" s="196">
        <f>C60+電動輔助自行車!C60</f>
        <v>0</v>
      </c>
      <c r="H60" s="133">
        <f t="shared" si="5"/>
        <v>0</v>
      </c>
      <c r="I60" s="176">
        <v>0</v>
      </c>
    </row>
    <row r="61" spans="1:9">
      <c r="A61" s="140" t="s">
        <v>54</v>
      </c>
      <c r="B61" s="368">
        <v>2272</v>
      </c>
      <c r="C61" s="368">
        <v>4272876</v>
      </c>
      <c r="D61" s="174">
        <f t="shared" si="6"/>
        <v>1880.6672535211267</v>
      </c>
      <c r="E61" s="132">
        <f>B61+電動輔助自行車!B61</f>
        <v>2471</v>
      </c>
      <c r="F61" s="195">
        <f t="shared" si="4"/>
        <v>7.491988029798162E-3</v>
      </c>
      <c r="G61" s="196">
        <f>C61+電動輔助自行車!C61</f>
        <v>4680257</v>
      </c>
      <c r="H61" s="133">
        <f t="shared" si="5"/>
        <v>1.0787585646796312E-2</v>
      </c>
      <c r="I61" s="176">
        <f t="shared" si="7"/>
        <v>1894.0740590853904</v>
      </c>
    </row>
    <row r="62" spans="1:9">
      <c r="A62" s="140" t="s">
        <v>82</v>
      </c>
      <c r="B62" s="368">
        <v>915</v>
      </c>
      <c r="C62" s="368">
        <v>1842870</v>
      </c>
      <c r="D62" s="174">
        <f t="shared" si="6"/>
        <v>2014.0655737704917</v>
      </c>
      <c r="E62" s="132">
        <f>B62+電動輔助自行車!B62</f>
        <v>1055</v>
      </c>
      <c r="F62" s="195">
        <f t="shared" si="4"/>
        <v>3.1987241486997413E-3</v>
      </c>
      <c r="G62" s="196">
        <f>C62+電動輔助自行車!C62</f>
        <v>2181610</v>
      </c>
      <c r="H62" s="133">
        <f t="shared" si="5"/>
        <v>5.0284214569642867E-3</v>
      </c>
      <c r="I62" s="176">
        <f t="shared" si="7"/>
        <v>2067.8767772511846</v>
      </c>
    </row>
    <row r="63" spans="1:9">
      <c r="A63" s="29" t="s">
        <v>57</v>
      </c>
      <c r="B63" s="25">
        <f>B64-B49-B43-B13-B8</f>
        <v>1514</v>
      </c>
      <c r="C63" s="25">
        <f>C64-C49-C43-C13-C8</f>
        <v>2936695</v>
      </c>
      <c r="D63" s="179">
        <f>C63/B63</f>
        <v>1939.6928665785997</v>
      </c>
      <c r="E63" s="134">
        <f>E64-E49-E43-E13-E8</f>
        <v>1803</v>
      </c>
      <c r="F63" s="195">
        <f t="shared" si="4"/>
        <v>5.4666347299579462E-3</v>
      </c>
      <c r="G63" s="134">
        <f>G64-G49-G43-G13-G8</f>
        <v>3985378</v>
      </c>
      <c r="H63" s="133">
        <f t="shared" si="5"/>
        <v>9.1859499403254535E-3</v>
      </c>
      <c r="I63" s="180">
        <f>G63/E63</f>
        <v>2210.4148641153633</v>
      </c>
    </row>
    <row r="64" spans="1:9">
      <c r="A64" s="30" t="s">
        <v>58</v>
      </c>
      <c r="B64" s="527">
        <v>304641</v>
      </c>
      <c r="C64" s="169">
        <v>385165437</v>
      </c>
      <c r="D64" s="182">
        <f>C64/B64</f>
        <v>1264.3256718563819</v>
      </c>
      <c r="E64" s="132">
        <f>B64+電動輔助自行車!B64</f>
        <v>329819</v>
      </c>
      <c r="F64" s="198">
        <f t="shared" si="4"/>
        <v>1</v>
      </c>
      <c r="G64" s="196">
        <f>C64+電動輔助自行車!C64</f>
        <v>433855837</v>
      </c>
      <c r="H64" s="154">
        <f t="shared" si="5"/>
        <v>1</v>
      </c>
      <c r="I64" s="182">
        <f>G64/E64</f>
        <v>1315.4361543755817</v>
      </c>
    </row>
    <row r="65" spans="1:9">
      <c r="A65" s="57" t="s">
        <v>88</v>
      </c>
      <c r="B65" s="3"/>
      <c r="C65" s="3"/>
      <c r="D65" s="3"/>
      <c r="E65" s="155"/>
      <c r="F65" s="3"/>
      <c r="G65" s="155"/>
      <c r="H65" s="3"/>
      <c r="I65" s="3"/>
    </row>
    <row r="66" spans="1:9" ht="18">
      <c r="A66" s="156" t="s">
        <v>89</v>
      </c>
      <c r="B66" s="61"/>
      <c r="C66" s="64"/>
      <c r="D66" s="64"/>
      <c r="E66" s="62"/>
      <c r="F66" s="62"/>
      <c r="G66" s="62"/>
      <c r="H66" s="60"/>
      <c r="I66" s="60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70"/>
  <sheetViews>
    <sheetView zoomScaleNormal="100" workbookViewId="0">
      <pane xSplit="1" topLeftCell="B1" activePane="topRight" state="frozen"/>
      <selection activeCell="A7" sqref="A7"/>
      <selection pane="topRight" activeCell="A4" sqref="A4"/>
    </sheetView>
  </sheetViews>
  <sheetFormatPr defaultRowHeight="16.5"/>
  <cols>
    <col min="1" max="1" width="17.375" customWidth="1"/>
    <col min="2" max="2" width="2.5" customWidth="1"/>
    <col min="3" max="3" width="16.375" bestFit="1" customWidth="1"/>
    <col min="4" max="4" width="18.875" bestFit="1" customWidth="1"/>
    <col min="5" max="5" width="2.875" customWidth="1"/>
    <col min="6" max="6" width="16.5" bestFit="1" customWidth="1"/>
    <col min="7" max="7" width="20.25" bestFit="1" customWidth="1"/>
    <col min="8" max="8" width="3" customWidth="1"/>
    <col min="9" max="10" width="18.25" customWidth="1"/>
    <col min="11" max="11" width="3.5" customWidth="1"/>
    <col min="12" max="12" width="15.875" bestFit="1" customWidth="1"/>
    <col min="13" max="13" width="18.5" bestFit="1" customWidth="1"/>
    <col min="14" max="15" width="8.875" customWidth="1"/>
  </cols>
  <sheetData>
    <row r="1" spans="1:13" ht="21" customHeight="1">
      <c r="A1" s="763" t="s">
        <v>500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</row>
    <row r="2" spans="1:13" ht="19.5">
      <c r="A2" s="408"/>
      <c r="B2" s="408"/>
      <c r="C2" s="409"/>
      <c r="D2" s="409"/>
      <c r="E2" s="409"/>
      <c r="F2" s="409"/>
      <c r="G2" s="409"/>
      <c r="H2" s="409"/>
      <c r="I2" s="409"/>
      <c r="J2" s="409"/>
      <c r="K2" s="409"/>
      <c r="L2" s="4"/>
      <c r="M2" s="409" t="s">
        <v>200</v>
      </c>
    </row>
    <row r="3" spans="1:13" ht="19.5">
      <c r="A3" s="373"/>
      <c r="B3" s="373"/>
      <c r="C3" s="409"/>
      <c r="D3" s="409"/>
      <c r="E3" s="409"/>
      <c r="F3" s="409"/>
      <c r="G3" s="409"/>
      <c r="H3" s="409"/>
      <c r="I3" s="409"/>
      <c r="J3" s="409"/>
      <c r="K3" s="409"/>
      <c r="L3" s="4"/>
      <c r="M3" s="409" t="s">
        <v>201</v>
      </c>
    </row>
    <row r="4" spans="1:13">
      <c r="A4" s="3"/>
      <c r="B4" s="3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"/>
    </row>
    <row r="5" spans="1:13" ht="19.5">
      <c r="A5" s="367" t="s">
        <v>202</v>
      </c>
      <c r="B5" s="411"/>
      <c r="C5" s="532" t="s">
        <v>501</v>
      </c>
      <c r="D5" s="533" t="s">
        <v>490</v>
      </c>
      <c r="E5" s="411"/>
      <c r="F5" s="512" t="s">
        <v>502</v>
      </c>
      <c r="G5" s="513" t="s">
        <v>503</v>
      </c>
      <c r="H5" s="411"/>
      <c r="I5" s="532" t="s">
        <v>504</v>
      </c>
      <c r="J5" s="533" t="s">
        <v>489</v>
      </c>
      <c r="K5" s="411"/>
      <c r="L5" s="737" t="s">
        <v>505</v>
      </c>
      <c r="M5" s="738" t="s">
        <v>506</v>
      </c>
    </row>
    <row r="6" spans="1:13" ht="19.5">
      <c r="A6" s="412">
        <v>85121010001</v>
      </c>
      <c r="B6" s="413"/>
      <c r="C6" s="414"/>
      <c r="D6" s="415"/>
      <c r="E6" s="414"/>
      <c r="F6" s="414"/>
      <c r="G6" s="415"/>
      <c r="H6" s="414"/>
      <c r="I6" s="414"/>
      <c r="J6" s="415"/>
      <c r="K6" s="414"/>
      <c r="L6" s="414"/>
      <c r="M6" s="415"/>
    </row>
    <row r="7" spans="1:13" ht="19.5">
      <c r="A7" s="416" t="s">
        <v>203</v>
      </c>
      <c r="B7" s="408"/>
      <c r="C7" s="410">
        <v>10331</v>
      </c>
      <c r="D7" s="410">
        <v>1238041</v>
      </c>
      <c r="E7" s="410"/>
      <c r="F7" s="410">
        <v>18182</v>
      </c>
      <c r="G7" s="410">
        <v>2350794</v>
      </c>
      <c r="H7" s="410"/>
      <c r="I7" s="410">
        <v>4934</v>
      </c>
      <c r="J7" s="410">
        <v>211540</v>
      </c>
      <c r="K7" s="410"/>
      <c r="L7" s="410">
        <v>10065</v>
      </c>
      <c r="M7" s="410">
        <v>513848</v>
      </c>
    </row>
    <row r="8" spans="1:13" ht="19.5">
      <c r="A8" s="416" t="s">
        <v>204</v>
      </c>
      <c r="B8" s="3" t="s">
        <v>205</v>
      </c>
      <c r="C8" s="410">
        <v>84709</v>
      </c>
      <c r="D8" s="417" t="s">
        <v>206</v>
      </c>
      <c r="E8" s="3" t="s">
        <v>205</v>
      </c>
      <c r="F8" s="410">
        <v>156107</v>
      </c>
      <c r="G8" s="417" t="s">
        <v>206</v>
      </c>
      <c r="H8" s="3" t="s">
        <v>205</v>
      </c>
      <c r="I8" s="410">
        <v>61130</v>
      </c>
      <c r="J8" s="417" t="s">
        <v>207</v>
      </c>
      <c r="K8" s="410" t="s">
        <v>205</v>
      </c>
      <c r="L8" s="410">
        <v>115921</v>
      </c>
      <c r="M8" s="417" t="s">
        <v>207</v>
      </c>
    </row>
    <row r="9" spans="1:13" ht="19.5">
      <c r="A9" s="418">
        <v>85121020009</v>
      </c>
      <c r="B9" s="419"/>
      <c r="C9" s="420"/>
      <c r="D9" s="421"/>
      <c r="E9" s="422"/>
      <c r="F9" s="420"/>
      <c r="G9" s="421"/>
      <c r="H9" s="422"/>
      <c r="I9" s="420"/>
      <c r="J9" s="421"/>
      <c r="K9" s="422"/>
      <c r="L9" s="420"/>
      <c r="M9" s="421"/>
    </row>
    <row r="10" spans="1:13" ht="19.5">
      <c r="A10" s="416" t="s">
        <v>208</v>
      </c>
      <c r="B10" s="408"/>
      <c r="C10" s="410">
        <v>3086</v>
      </c>
      <c r="D10" s="410" t="s">
        <v>507</v>
      </c>
      <c r="E10" s="410"/>
      <c r="F10" s="410">
        <v>7830</v>
      </c>
      <c r="G10" s="410">
        <v>1395251</v>
      </c>
      <c r="H10" s="410"/>
      <c r="I10" s="410">
        <v>1497</v>
      </c>
      <c r="J10" s="410">
        <v>134379</v>
      </c>
      <c r="K10" s="410"/>
      <c r="L10" s="410">
        <v>2825</v>
      </c>
      <c r="M10" s="410">
        <v>289575</v>
      </c>
    </row>
    <row r="11" spans="1:13" ht="19.5">
      <c r="A11" s="416" t="s">
        <v>209</v>
      </c>
      <c r="B11" s="3" t="s">
        <v>205</v>
      </c>
      <c r="C11" s="410">
        <v>28893</v>
      </c>
      <c r="D11" s="417" t="s">
        <v>207</v>
      </c>
      <c r="E11" s="3" t="s">
        <v>205</v>
      </c>
      <c r="F11" s="410">
        <v>75588</v>
      </c>
      <c r="G11" s="417" t="s">
        <v>207</v>
      </c>
      <c r="H11" s="3" t="s">
        <v>205</v>
      </c>
      <c r="I11" s="410">
        <v>25250</v>
      </c>
      <c r="J11" s="417" t="s">
        <v>207</v>
      </c>
      <c r="K11" s="410" t="s">
        <v>205</v>
      </c>
      <c r="L11" s="410">
        <v>57886</v>
      </c>
      <c r="M11" s="417" t="s">
        <v>207</v>
      </c>
    </row>
    <row r="12" spans="1:13" ht="19.5">
      <c r="A12" s="423">
        <v>87149120007</v>
      </c>
      <c r="B12" s="424"/>
      <c r="C12" s="420"/>
      <c r="D12" s="425"/>
      <c r="E12" s="426"/>
      <c r="F12" s="420"/>
      <c r="G12" s="425"/>
      <c r="H12" s="426"/>
      <c r="I12" s="420"/>
      <c r="J12" s="425"/>
      <c r="K12" s="426"/>
      <c r="L12" s="420"/>
      <c r="M12" s="425"/>
    </row>
    <row r="13" spans="1:13" ht="19.5">
      <c r="A13" s="416" t="s">
        <v>210</v>
      </c>
      <c r="B13" s="408"/>
      <c r="C13" s="410">
        <f>VLOOKUP(A12,[23]進出口值表查詢結果!$B$10:$F$26,4,0)</f>
        <v>597050</v>
      </c>
      <c r="D13" s="410">
        <f>VLOOKUP(A12,[23]進出口值表查詢結果!$B$10:$F$26,3,0)</f>
        <v>33255008</v>
      </c>
      <c r="E13" s="410"/>
      <c r="F13" s="410">
        <f>VLOOKUP(A12,[24]進出口值表查詢結果!$B$10:$F$26,4,0)</f>
        <v>1213910</v>
      </c>
      <c r="G13" s="410">
        <f>VLOOKUP(A12,[24]進出口值表查詢結果!$B$10:$F$26,3,0)</f>
        <v>69114127</v>
      </c>
      <c r="H13" s="410"/>
      <c r="I13" s="410">
        <f>VLOOKUP(A12,[25]進出口值表查詢結果!$B$10:$F$26,4,0)</f>
        <v>321729</v>
      </c>
      <c r="J13" s="410">
        <f>VLOOKUP(A12,[25]進出口值表查詢結果!$B$10:$F$26,3,0)</f>
        <v>18407888</v>
      </c>
      <c r="K13" s="410"/>
      <c r="L13" s="410">
        <f>VLOOKUP(A12,[26]進出口值表查詢結果!$B$10:$F$26,4,0)</f>
        <v>676542</v>
      </c>
      <c r="M13" s="410">
        <f>VLOOKUP(A12,[26]進出口值表查詢結果!$B$10:$F$26,3,0)</f>
        <v>40397049</v>
      </c>
    </row>
    <row r="14" spans="1:13" ht="19.5">
      <c r="A14" s="416" t="s">
        <v>211</v>
      </c>
      <c r="B14" s="3" t="s">
        <v>205</v>
      </c>
      <c r="C14" s="410"/>
      <c r="D14" s="417"/>
      <c r="E14" s="3" t="s">
        <v>205</v>
      </c>
      <c r="F14" s="410"/>
      <c r="G14" s="417"/>
      <c r="H14" s="410"/>
      <c r="I14" s="410"/>
      <c r="J14" s="417"/>
      <c r="K14" s="410"/>
      <c r="L14" s="410"/>
      <c r="M14" s="417"/>
    </row>
    <row r="15" spans="1:13" ht="19.5">
      <c r="A15" s="423">
        <v>87149200108</v>
      </c>
      <c r="B15" s="424"/>
      <c r="C15" s="420"/>
      <c r="D15" s="425"/>
      <c r="E15" s="426"/>
      <c r="F15" s="420"/>
      <c r="G15" s="425"/>
      <c r="H15" s="426"/>
      <c r="I15" s="420"/>
      <c r="J15" s="425"/>
      <c r="K15" s="426"/>
      <c r="L15" s="420"/>
      <c r="M15" s="425"/>
    </row>
    <row r="16" spans="1:13" ht="19.5">
      <c r="A16" s="416" t="s">
        <v>212</v>
      </c>
      <c r="B16" s="408"/>
      <c r="C16" s="410">
        <f>VLOOKUP(A15,[23]進出口值表查詢結果!$B$10:$F$26,4,0)</f>
        <v>87585</v>
      </c>
      <c r="D16" s="410">
        <f>VLOOKUP(A15,[23]進出口值表查詢結果!$B$10:$F$26,3,0)</f>
        <v>3017925</v>
      </c>
      <c r="E16" s="410"/>
      <c r="F16" s="410">
        <f>VLOOKUP(A15,[24]進出口值表查詢結果!$B$10:$F$26,4,0)</f>
        <v>202762</v>
      </c>
      <c r="G16" s="410">
        <f>VLOOKUP(A15,[24]進出口值表查詢結果!$B$10:$F$26,3,0)</f>
        <v>5990011</v>
      </c>
      <c r="H16" s="410"/>
      <c r="I16" s="410">
        <f>VLOOKUP(A15,[25]進出口值表查詢結果!$B$10:$F$26,4,0)</f>
        <v>57047</v>
      </c>
      <c r="J16" s="410">
        <f>VLOOKUP(A15,[25]進出口值表查詢結果!$B$10:$F$26,3,0)</f>
        <v>5485577</v>
      </c>
      <c r="K16" s="410"/>
      <c r="L16" s="410">
        <f>VLOOKUP(A15,[26]進出口值表查詢結果!$B$10:$F$26,4,0)</f>
        <v>117148</v>
      </c>
      <c r="M16" s="410">
        <f>VLOOKUP(A15,[26]進出口值表查詢結果!$B$10:$F$26,3,0)</f>
        <v>10759141</v>
      </c>
    </row>
    <row r="17" spans="1:13" ht="19.5">
      <c r="A17" s="416"/>
      <c r="B17" s="3" t="s">
        <v>205</v>
      </c>
      <c r="C17" s="410">
        <f>VLOOKUP(A15,[23]進出口值表查詢結果!$B$10:$F$26,5,0)</f>
        <v>159163</v>
      </c>
      <c r="D17" s="417" t="s">
        <v>315</v>
      </c>
      <c r="E17" s="3" t="s">
        <v>205</v>
      </c>
      <c r="F17" s="410">
        <f>VLOOKUP(A15,[24]進出口值表查詢結果!$B$10:$F$26,5,0)</f>
        <v>378193</v>
      </c>
      <c r="G17" s="417" t="s">
        <v>213</v>
      </c>
      <c r="H17" s="3" t="s">
        <v>205</v>
      </c>
      <c r="I17" s="410">
        <f>VLOOKUP(A15,[25]進出口值表查詢結果!$B$10:$F$26,5,0)</f>
        <v>153960</v>
      </c>
      <c r="J17" s="417" t="s">
        <v>213</v>
      </c>
      <c r="K17" s="410" t="s">
        <v>205</v>
      </c>
      <c r="L17" s="410">
        <f>VLOOKUP(A15,[26]進出口值表查詢結果!$B$10:$F$26,5,0)</f>
        <v>273033</v>
      </c>
      <c r="M17" s="417" t="s">
        <v>213</v>
      </c>
    </row>
    <row r="18" spans="1:13" ht="19.5">
      <c r="A18" s="423">
        <v>87149200206</v>
      </c>
      <c r="B18" s="424"/>
      <c r="C18" s="420"/>
      <c r="D18" s="425"/>
      <c r="E18" s="426"/>
      <c r="F18" s="420"/>
      <c r="G18" s="425"/>
      <c r="H18" s="426"/>
      <c r="I18" s="426"/>
      <c r="J18" s="425"/>
      <c r="K18" s="426"/>
      <c r="L18" s="426"/>
      <c r="M18" s="425"/>
    </row>
    <row r="19" spans="1:13" ht="19.5">
      <c r="A19" s="416" t="s">
        <v>143</v>
      </c>
      <c r="B19" s="408"/>
      <c r="C19" s="410">
        <f>VLOOKUP(A18,[23]進出口值表查詢結果!$B$10:$F$26,4,0)</f>
        <v>81047</v>
      </c>
      <c r="D19" s="410">
        <f>VLOOKUP(A18,[23]進出口值表查詢結果!$B$10:$F$26,3,0)</f>
        <v>1041464</v>
      </c>
      <c r="E19" s="410"/>
      <c r="F19" s="410">
        <f>VLOOKUP(A18,[24]進出口值表查詢結果!$B$10:$F$26,4,0)</f>
        <v>178595</v>
      </c>
      <c r="G19" s="410">
        <f>VLOOKUP(A18,[24]進出口值表查詢結果!$B$10:$F$26,3,0)</f>
        <v>2369503</v>
      </c>
      <c r="H19" s="410"/>
      <c r="I19" s="410">
        <f>VLOOKUP(A18,[25]進出口值表查詢結果!$B$10:$F$26,4,0)</f>
        <v>16772</v>
      </c>
      <c r="J19" s="410">
        <f>VLOOKUP(A18,[25]進出口值表查詢結果!$B$10:$F$26,3,0)</f>
        <v>708423</v>
      </c>
      <c r="K19" s="410"/>
      <c r="L19" s="410">
        <f>VLOOKUP(A18,[26]進出口值表查詢結果!$B$10:$F$26,4,0)</f>
        <v>29746</v>
      </c>
      <c r="M19" s="410">
        <f>VLOOKUP(A18,[26]進出口值表查詢結果!$B$10:$F$26,3,0)</f>
        <v>1863355</v>
      </c>
    </row>
    <row r="20" spans="1:13" ht="19.5">
      <c r="A20" s="416"/>
      <c r="B20" s="3" t="s">
        <v>205</v>
      </c>
      <c r="C20" s="410">
        <f>VLOOKUP(A18,[23]進出口值表查詢結果!$B$10:$F$26,5,0)</f>
        <v>12161887</v>
      </c>
      <c r="D20" s="417" t="s">
        <v>300</v>
      </c>
      <c r="E20" s="3" t="s">
        <v>205</v>
      </c>
      <c r="F20" s="410">
        <f>VLOOKUP(A18,[24]進出口值表查詢結果!$B$10:$F$26,5,0)</f>
        <v>28532507</v>
      </c>
      <c r="G20" s="417" t="s">
        <v>213</v>
      </c>
      <c r="H20" s="3" t="s">
        <v>205</v>
      </c>
      <c r="I20" s="410">
        <f>VLOOKUP(A18,[25]進出口值表查詢結果!$B$10:$F$26,5,0)</f>
        <v>2670474</v>
      </c>
      <c r="J20" s="417" t="s">
        <v>213</v>
      </c>
      <c r="K20" s="410" t="s">
        <v>205</v>
      </c>
      <c r="L20" s="410">
        <f>VLOOKUP(A18,[26]進出口值表查詢結果!$B$10:$F$26,5,0)</f>
        <v>5358810</v>
      </c>
      <c r="M20" s="417" t="s">
        <v>213</v>
      </c>
    </row>
    <row r="21" spans="1:13" ht="19.5">
      <c r="A21" s="423">
        <v>87149200304</v>
      </c>
      <c r="B21" s="424"/>
      <c r="C21" s="420"/>
      <c r="D21" s="425"/>
      <c r="E21" s="426"/>
      <c r="F21" s="420"/>
      <c r="G21" s="425"/>
      <c r="H21" s="426"/>
      <c r="I21" s="426"/>
      <c r="J21" s="425"/>
      <c r="K21" s="426"/>
      <c r="L21" s="426"/>
      <c r="M21" s="425"/>
    </row>
    <row r="22" spans="1:13" ht="19.5">
      <c r="A22" s="416" t="s">
        <v>145</v>
      </c>
      <c r="B22" s="408"/>
      <c r="C22" s="410">
        <f>VLOOKUP(A21,[23]進出口值表查詢結果!$B$10:$F$26,4,0)</f>
        <v>73378</v>
      </c>
      <c r="D22" s="410">
        <f>VLOOKUP(A21,[23]進出口值表查詢結果!$B$10:$F$26,3,0)</f>
        <v>8767695</v>
      </c>
      <c r="E22" s="410"/>
      <c r="F22" s="410">
        <f>VLOOKUP(A21,[24]進出口值表查詢結果!$B$10:$F$26,4,0)</f>
        <v>144865</v>
      </c>
      <c r="G22" s="410">
        <f>VLOOKUP(A21,[24]進出口值表查詢結果!$B$10:$F$26,3,0)</f>
        <v>19526245</v>
      </c>
      <c r="H22" s="410"/>
      <c r="I22" s="410">
        <f>VLOOKUP(A21,[25]進出口值表查詢結果!$B$10:$F$26,4,0)</f>
        <v>3569</v>
      </c>
      <c r="J22" s="410">
        <f>VLOOKUP(A21,[25]進出口值表查詢結果!$B$10:$F$26,3,0)</f>
        <v>412799</v>
      </c>
      <c r="K22" s="410"/>
      <c r="L22" s="410">
        <f>VLOOKUP(A21,[26]進出口值表查詢結果!$B$10:$F$26,4,0)</f>
        <v>19982</v>
      </c>
      <c r="M22" s="410">
        <f>VLOOKUP(A21,[26]進出口值表查詢結果!$B$10:$F$26,3,0)</f>
        <v>1318977</v>
      </c>
    </row>
    <row r="23" spans="1:13" ht="19.5">
      <c r="A23" s="423">
        <v>87149310007</v>
      </c>
      <c r="B23" s="424"/>
      <c r="C23" s="420"/>
      <c r="D23" s="425"/>
      <c r="E23" s="426"/>
      <c r="F23" s="420"/>
      <c r="G23" s="425"/>
      <c r="H23" s="426"/>
      <c r="I23" s="426"/>
      <c r="J23" s="425"/>
      <c r="K23" s="426"/>
      <c r="L23" s="426"/>
      <c r="M23" s="425"/>
    </row>
    <row r="24" spans="1:13" ht="19.5">
      <c r="A24" s="416" t="s">
        <v>214</v>
      </c>
      <c r="B24" s="408"/>
      <c r="C24" s="410">
        <f>VLOOKUP(A23,[23]進出口值表查詢結果!$B$10:$F$26,4,0)</f>
        <v>51373</v>
      </c>
      <c r="D24" s="410">
        <f>VLOOKUP(A23,[23]進出口值表查詢結果!$B$10:$F$26,3,0)</f>
        <v>3878556</v>
      </c>
      <c r="E24" s="410"/>
      <c r="F24" s="410">
        <f>VLOOKUP(A23,[24]進出口值表查詢結果!$B$10:$F$26,4,0)</f>
        <v>103391</v>
      </c>
      <c r="G24" s="410">
        <f>VLOOKUP(A23,[24]進出口值表查詢結果!$B$10:$F$26,3,0)</f>
        <v>8116485</v>
      </c>
      <c r="H24" s="410"/>
      <c r="I24" s="410">
        <f>VLOOKUP(A23,[25]進出口值表查詢結果!$B$10:$F$26,4,0)</f>
        <v>39263</v>
      </c>
      <c r="J24" s="410">
        <f>VLOOKUP(A23,[25]進出口值表查詢結果!$B$10:$F$26,3,0)</f>
        <v>1642503</v>
      </c>
      <c r="K24" s="410"/>
      <c r="L24" s="410">
        <f>VLOOKUP(A23,[26]進出口值表查詢結果!$B$10:$F$26,4,0)</f>
        <v>91183</v>
      </c>
      <c r="M24" s="410">
        <f>VLOOKUP(A23,[26]進出口值表查詢結果!$B$10:$F$26,3,0)</f>
        <v>4441641</v>
      </c>
    </row>
    <row r="25" spans="1:13" ht="19.5">
      <c r="A25" s="416" t="s">
        <v>215</v>
      </c>
      <c r="B25" s="408"/>
      <c r="C25" s="410"/>
      <c r="D25" s="417"/>
      <c r="E25" s="410"/>
      <c r="F25" s="410"/>
      <c r="G25" s="417"/>
      <c r="H25" s="410"/>
      <c r="I25" s="410"/>
      <c r="J25" s="417"/>
      <c r="K25" s="410"/>
      <c r="L25" s="410"/>
      <c r="M25" s="417"/>
    </row>
    <row r="26" spans="1:13" ht="19.5">
      <c r="A26" s="416" t="s">
        <v>216</v>
      </c>
      <c r="B26" s="408"/>
      <c r="C26" s="410"/>
      <c r="D26" s="417"/>
      <c r="E26" s="410"/>
      <c r="F26" s="410"/>
      <c r="G26" s="417"/>
      <c r="H26" s="410"/>
      <c r="I26" s="410"/>
      <c r="J26" s="417"/>
      <c r="K26" s="410"/>
      <c r="L26" s="410"/>
      <c r="M26" s="417"/>
    </row>
    <row r="27" spans="1:13" ht="19.5">
      <c r="A27" s="423">
        <v>87149320103</v>
      </c>
      <c r="B27" s="424"/>
      <c r="C27" s="420"/>
      <c r="D27" s="425"/>
      <c r="E27" s="426"/>
      <c r="F27" s="420"/>
      <c r="G27" s="425"/>
      <c r="H27" s="426"/>
      <c r="I27" s="426"/>
      <c r="J27" s="425"/>
      <c r="K27" s="426"/>
      <c r="L27" s="426"/>
      <c r="M27" s="425"/>
    </row>
    <row r="28" spans="1:13" ht="39">
      <c r="A28" s="710" t="s">
        <v>427</v>
      </c>
      <c r="B28" s="408"/>
      <c r="C28" s="410">
        <f>VLOOKUP(A27,[23]進出口值表查詢結果!$B$10:$F$26,4,0)</f>
        <v>448</v>
      </c>
      <c r="D28" s="410">
        <f>VLOOKUP(A27,[23]進出口值表查詢結果!$B$10:$F$26,3,0)</f>
        <v>15869</v>
      </c>
      <c r="E28" s="410"/>
      <c r="F28" s="410">
        <f>VLOOKUP(A27,[24]進出口值表查詢結果!$B$10:$F$26,4,0)</f>
        <v>4099</v>
      </c>
      <c r="G28" s="410">
        <f>VLOOKUP(A27,[24]進出口值表查詢結果!$B$10:$F$26,3,0)</f>
        <v>132297</v>
      </c>
      <c r="H28" s="410"/>
      <c r="I28" s="410">
        <f>VLOOKUP(A27,[25]進出口值表查詢結果!$B$10:$F$26,4,0)</f>
        <v>254</v>
      </c>
      <c r="J28" s="410">
        <f>VLOOKUP(A27,[25]進出口值表查詢結果!$B$10:$F$26,3,0)</f>
        <v>12987</v>
      </c>
      <c r="K28" s="410"/>
      <c r="L28" s="410">
        <f>VLOOKUP(A27,[26]進出口值表查詢結果!$B$10:$F$26,4,0)</f>
        <v>698</v>
      </c>
      <c r="M28" s="410">
        <f>VLOOKUP(A27,[26]進出口值表查詢結果!$B$10:$F$26,3,0)</f>
        <v>37058</v>
      </c>
    </row>
    <row r="29" spans="1:13" ht="19.5">
      <c r="A29" s="423">
        <v>87149410006</v>
      </c>
      <c r="B29" s="424"/>
      <c r="C29" s="420"/>
      <c r="D29" s="425"/>
      <c r="E29" s="426"/>
      <c r="F29" s="420"/>
      <c r="G29" s="425"/>
      <c r="H29" s="426"/>
      <c r="I29" s="426"/>
      <c r="J29" s="425"/>
      <c r="K29" s="426"/>
      <c r="L29" s="426"/>
      <c r="M29" s="425"/>
    </row>
    <row r="30" spans="1:13" ht="19.5">
      <c r="A30" s="416" t="s">
        <v>218</v>
      </c>
      <c r="B30" s="408"/>
      <c r="C30" s="410">
        <f>VLOOKUP(A29,[23]進出口值表查詢結果!$B$10:$F$26,4,0)</f>
        <v>7531</v>
      </c>
      <c r="D30" s="410">
        <f>VLOOKUP(A29,[23]進出口值表查詢結果!$B$10:$F$26,3,0)</f>
        <v>172476</v>
      </c>
      <c r="E30" s="410"/>
      <c r="F30" s="410">
        <f>VLOOKUP(A29,[24]進出口值表查詢結果!$B$10:$F$26,4,0)</f>
        <v>14656</v>
      </c>
      <c r="G30" s="410">
        <f>VLOOKUP(A29,[24]進出口值表查詢結果!$B$10:$F$26,3,0)</f>
        <v>414341</v>
      </c>
      <c r="H30" s="410"/>
      <c r="I30" s="410">
        <f>VLOOKUP(A29,[25]進出口值表查詢結果!$B$10:$F$26,4,0)</f>
        <v>2919</v>
      </c>
      <c r="J30" s="410">
        <f>VLOOKUP(A29,[25]進出口值表查詢結果!$B$10:$F$26,3,0)</f>
        <v>295315</v>
      </c>
      <c r="K30" s="410"/>
      <c r="L30" s="410">
        <f>VLOOKUP(A29,[26]進出口值表查詢結果!$B$10:$F$26,4,0)</f>
        <v>7403</v>
      </c>
      <c r="M30" s="410">
        <f>VLOOKUP(A29,[26]進出口值表查詢結果!$B$10:$F$26,3,0)</f>
        <v>579043</v>
      </c>
    </row>
    <row r="31" spans="1:13" ht="19.5">
      <c r="A31" s="416" t="s">
        <v>219</v>
      </c>
      <c r="B31" s="408"/>
      <c r="C31" s="410"/>
      <c r="D31" s="417"/>
      <c r="E31" s="410"/>
      <c r="F31" s="410"/>
      <c r="G31" s="417"/>
      <c r="H31" s="410"/>
      <c r="I31" s="410"/>
      <c r="J31" s="417"/>
      <c r="K31" s="410"/>
      <c r="L31" s="410"/>
      <c r="M31" s="417"/>
    </row>
    <row r="32" spans="1:13" ht="19.5">
      <c r="A32" s="423">
        <v>87149490009</v>
      </c>
      <c r="B32" s="424"/>
      <c r="C32" s="420"/>
      <c r="D32" s="425"/>
      <c r="E32" s="426"/>
      <c r="F32" s="420"/>
      <c r="G32" s="425"/>
      <c r="H32" s="426"/>
      <c r="I32" s="426"/>
      <c r="J32" s="425"/>
      <c r="K32" s="426"/>
      <c r="L32" s="426"/>
      <c r="M32" s="425"/>
    </row>
    <row r="33" spans="1:13" ht="19.5">
      <c r="A33" s="416" t="s">
        <v>220</v>
      </c>
      <c r="B33" s="408"/>
      <c r="C33" s="410">
        <f>VLOOKUP(A32,[23]進出口值表查詢結果!$B$10:$F$26,4,0)</f>
        <v>313079</v>
      </c>
      <c r="D33" s="410">
        <f>VLOOKUP(A32,[23]進出口值表查詢結果!$B$10:$F$26,3,0)</f>
        <v>13543592</v>
      </c>
      <c r="E33" s="410"/>
      <c r="F33" s="410">
        <f>VLOOKUP(A32,[24]進出口值表查詢結果!$B$10:$F$26,4,0)</f>
        <v>738462</v>
      </c>
      <c r="G33" s="410">
        <f>VLOOKUP(A32,[24]進出口值表查詢結果!$B$10:$F$26,3,0)</f>
        <v>31361786</v>
      </c>
      <c r="H33" s="410"/>
      <c r="I33" s="410">
        <f>VLOOKUP(A32,[25]進出口值表查詢結果!$B$10:$F$26,4,0)</f>
        <v>150510</v>
      </c>
      <c r="J33" s="410">
        <f>VLOOKUP(A32,[25]進出口值表查詢結果!$B$10:$F$26,3,0)</f>
        <v>4070843</v>
      </c>
      <c r="K33" s="410"/>
      <c r="L33" s="410">
        <f>VLOOKUP(A32,[26]進出口值表查詢結果!$B$10:$F$26,4,0)</f>
        <v>363745</v>
      </c>
      <c r="M33" s="410">
        <f>VLOOKUP(A32,[26]進出口值表查詢結果!$B$10:$F$26,3,0)</f>
        <v>19480303</v>
      </c>
    </row>
    <row r="34" spans="1:13" ht="19.5">
      <c r="A34" s="416" t="s">
        <v>221</v>
      </c>
      <c r="B34" s="408"/>
      <c r="C34" s="410"/>
      <c r="D34" s="417"/>
      <c r="E34" s="410"/>
      <c r="F34" s="410"/>
      <c r="G34" s="417"/>
      <c r="H34" s="410"/>
      <c r="I34" s="410"/>
      <c r="J34" s="417"/>
      <c r="K34" s="410"/>
      <c r="L34" s="410"/>
      <c r="M34" s="417"/>
    </row>
    <row r="35" spans="1:13" ht="19.5">
      <c r="A35" s="423">
        <v>87149500007</v>
      </c>
      <c r="B35" s="424"/>
      <c r="C35" s="426"/>
      <c r="D35" s="425"/>
      <c r="E35" s="426"/>
      <c r="F35" s="426"/>
      <c r="G35" s="425"/>
      <c r="H35" s="426"/>
      <c r="I35" s="426"/>
      <c r="J35" s="425"/>
      <c r="K35" s="426"/>
      <c r="L35" s="426"/>
      <c r="M35" s="425"/>
    </row>
    <row r="36" spans="1:13" ht="19.5">
      <c r="A36" s="416" t="s">
        <v>222</v>
      </c>
      <c r="B36" s="408"/>
      <c r="C36" s="410">
        <f>VLOOKUP(A35,[23]進出口值表查詢結果!$B$10:$F$26,4,0)</f>
        <v>125355</v>
      </c>
      <c r="D36" s="410">
        <f>VLOOKUP(A35,[23]進出口值表查詢結果!$B$10:$F$26,3,0)</f>
        <v>2839253</v>
      </c>
      <c r="E36" s="410"/>
      <c r="F36" s="410">
        <f>VLOOKUP(A35,[24]進出口值表查詢結果!$B$10:$F$26,4,0)</f>
        <v>277813</v>
      </c>
      <c r="G36" s="410">
        <f>VLOOKUP(A35,[24]進出口值表查詢結果!$B$10:$F$26,3,0)</f>
        <v>5740039</v>
      </c>
      <c r="H36" s="410"/>
      <c r="I36" s="410">
        <f>VLOOKUP(A35,[25]進出口值表查詢結果!$B$10:$F$26,4,0)</f>
        <v>46666</v>
      </c>
      <c r="J36" s="410">
        <f>VLOOKUP(A35,[25]進出口值表查詢結果!$B$10:$F$26,3,0)</f>
        <v>863360</v>
      </c>
      <c r="K36" s="410"/>
      <c r="L36" s="410">
        <f>VLOOKUP(A35,[26]進出口值表查詢結果!$B$10:$F$26,4,0)</f>
        <v>106713</v>
      </c>
      <c r="M36" s="410">
        <f>VLOOKUP(A35,[26]進出口值表查詢結果!$B$10:$F$26,3,0)</f>
        <v>1944285</v>
      </c>
    </row>
    <row r="37" spans="1:13" ht="19.5">
      <c r="A37" s="423">
        <v>87149610004</v>
      </c>
      <c r="B37" s="424"/>
      <c r="C37" s="426"/>
      <c r="D37" s="425"/>
      <c r="E37" s="426"/>
      <c r="F37" s="426"/>
      <c r="G37" s="425"/>
      <c r="H37" s="426"/>
      <c r="I37" s="426"/>
      <c r="J37" s="425"/>
      <c r="K37" s="426"/>
      <c r="L37" s="426"/>
      <c r="M37" s="425"/>
    </row>
    <row r="38" spans="1:13" ht="19.5">
      <c r="A38" s="416" t="s">
        <v>223</v>
      </c>
      <c r="B38" s="408"/>
      <c r="C38" s="410">
        <f>VLOOKUP(A37,[23]進出口值表查詢結果!$B$10:$F$26,4,0)</f>
        <v>151447</v>
      </c>
      <c r="D38" s="410">
        <f>VLOOKUP(A37,[23]進出口值表查詢結果!$B$10:$F$26,3,0)</f>
        <v>3724557</v>
      </c>
      <c r="E38" s="410"/>
      <c r="F38" s="410">
        <f>VLOOKUP(A37,[24]進出口值表查詢結果!$B$10:$F$26,4,0)</f>
        <v>289804</v>
      </c>
      <c r="G38" s="410">
        <f>VLOOKUP(A37,[24]進出口值表查詢結果!$B$10:$F$26,3,0)</f>
        <v>7677992</v>
      </c>
      <c r="H38" s="410"/>
      <c r="I38" s="410">
        <f>VLOOKUP(A37,[25]進出口值表查詢結果!$B$10:$F$26,4,0)</f>
        <v>23121</v>
      </c>
      <c r="J38" s="410">
        <f>VLOOKUP(A37,[25]進出口值表查詢結果!$B$10:$F$26,3,0)</f>
        <v>153514</v>
      </c>
      <c r="K38" s="410"/>
      <c r="L38" s="410">
        <f>VLOOKUP(A37,[26]進出口值表查詢結果!$B$10:$F$26,4,0)</f>
        <v>56257</v>
      </c>
      <c r="M38" s="410">
        <f>VLOOKUP(A37,[26]進出口值表查詢結果!$B$10:$F$26,3,0)</f>
        <v>447410</v>
      </c>
    </row>
    <row r="39" spans="1:13" ht="19.5">
      <c r="A39" s="423">
        <v>87149620002</v>
      </c>
      <c r="B39" s="424"/>
      <c r="C39" s="420"/>
      <c r="D39" s="425"/>
      <c r="E39" s="426"/>
      <c r="F39" s="420"/>
      <c r="G39" s="425"/>
      <c r="H39" s="426"/>
      <c r="I39" s="426"/>
      <c r="J39" s="425"/>
      <c r="K39" s="426"/>
      <c r="L39" s="426"/>
      <c r="M39" s="425"/>
    </row>
    <row r="40" spans="1:13" ht="19.5">
      <c r="A40" s="416" t="s">
        <v>224</v>
      </c>
      <c r="B40" s="408"/>
      <c r="C40" s="410">
        <f>VLOOKUP(A39,[23]進出口值表查詢結果!$B$10:$F$26,4,0)</f>
        <v>153444</v>
      </c>
      <c r="D40" s="410">
        <f>VLOOKUP(A39,[23]進出口值表查詢結果!$B$10:$F$26,3,0)</f>
        <v>7750778</v>
      </c>
      <c r="E40" s="410"/>
      <c r="F40" s="410">
        <f>VLOOKUP(A39,[24]進出口值表查詢結果!$B$10:$F$26,4,0)</f>
        <v>314021</v>
      </c>
      <c r="G40" s="410">
        <f>VLOOKUP(A39,[24]進出口值表查詢結果!$B$10:$F$26,3,0)</f>
        <v>16514013</v>
      </c>
      <c r="H40" s="410"/>
      <c r="I40" s="410">
        <f>VLOOKUP(A39,[25]進出口值表查詢結果!$B$10:$F$26,4,0)</f>
        <v>86794</v>
      </c>
      <c r="J40" s="410">
        <f>VLOOKUP(A39,[25]進出口值表查詢結果!$B$10:$F$26,3,0)</f>
        <v>1671023</v>
      </c>
      <c r="K40" s="410"/>
      <c r="L40" s="410">
        <f>VLOOKUP(A39,[26]進出口值表查詢結果!$B$10:$F$26,4,0)</f>
        <v>184675</v>
      </c>
      <c r="M40" s="410">
        <f>VLOOKUP(A39,[26]進出口值表查詢結果!$B$10:$F$26,3,0)</f>
        <v>4887907</v>
      </c>
    </row>
    <row r="41" spans="1:13" ht="19.5">
      <c r="A41" s="416" t="s">
        <v>219</v>
      </c>
      <c r="B41" s="408"/>
      <c r="C41" s="410"/>
      <c r="D41" s="417"/>
      <c r="E41" s="410"/>
      <c r="F41" s="410"/>
      <c r="G41" s="417"/>
      <c r="H41" s="410"/>
      <c r="I41" s="410"/>
      <c r="J41" s="410"/>
      <c r="K41" s="410"/>
      <c r="L41" s="410"/>
      <c r="M41" s="410"/>
    </row>
    <row r="42" spans="1:13" ht="19.5">
      <c r="A42" s="423">
        <v>73151100209</v>
      </c>
      <c r="B42" s="424"/>
      <c r="C42" s="420"/>
      <c r="D42" s="425"/>
      <c r="E42" s="426"/>
      <c r="F42" s="420"/>
      <c r="G42" s="425"/>
      <c r="H42" s="426"/>
      <c r="I42" s="425"/>
      <c r="J42" s="425"/>
      <c r="K42" s="426"/>
      <c r="L42" s="425"/>
      <c r="M42" s="425"/>
    </row>
    <row r="43" spans="1:13" ht="19.5">
      <c r="A43" s="416" t="s">
        <v>225</v>
      </c>
      <c r="B43" s="408"/>
      <c r="C43" s="410">
        <v>77601</v>
      </c>
      <c r="D43" s="410">
        <v>1359423</v>
      </c>
      <c r="E43" s="410"/>
      <c r="F43" s="410">
        <v>225746</v>
      </c>
      <c r="G43" s="410">
        <v>4026213</v>
      </c>
      <c r="H43" s="410"/>
      <c r="I43" s="410">
        <v>49235</v>
      </c>
      <c r="J43" s="410">
        <v>903911</v>
      </c>
      <c r="K43" s="410"/>
      <c r="L43" s="410">
        <v>160308</v>
      </c>
      <c r="M43" s="410">
        <v>1755524</v>
      </c>
    </row>
    <row r="44" spans="1:13" ht="19.5">
      <c r="A44" s="711" t="s">
        <v>445</v>
      </c>
      <c r="B44" s="408"/>
      <c r="C44" s="410"/>
      <c r="D44" s="417"/>
      <c r="E44" s="410"/>
      <c r="F44" s="410"/>
      <c r="G44" s="417"/>
      <c r="H44" s="410"/>
      <c r="I44" s="410"/>
      <c r="J44" s="417"/>
      <c r="K44" s="410"/>
      <c r="L44" s="410"/>
      <c r="M44" s="417"/>
    </row>
    <row r="45" spans="1:13" ht="19.5">
      <c r="A45" s="423">
        <v>87149990111</v>
      </c>
      <c r="B45" s="424"/>
      <c r="C45" s="420"/>
      <c r="D45" s="425"/>
      <c r="E45" s="426"/>
      <c r="F45" s="420"/>
      <c r="G45" s="425"/>
      <c r="H45" s="426"/>
      <c r="I45" s="426"/>
      <c r="J45" s="425"/>
      <c r="K45" s="426"/>
      <c r="L45" s="426"/>
      <c r="M45" s="425"/>
    </row>
    <row r="46" spans="1:13" ht="19.5">
      <c r="A46" s="427" t="s">
        <v>227</v>
      </c>
      <c r="B46" s="373"/>
      <c r="C46" s="410">
        <f>VLOOKUP(A45,[23]進出口值表查詢結果!$B$10:$F$26,4,0)</f>
        <v>51731</v>
      </c>
      <c r="D46" s="410">
        <f>VLOOKUP(A45,[23]進出口值表查詢結果!$B$10:$F$26,3,0)</f>
        <v>6806082</v>
      </c>
      <c r="E46" s="410"/>
      <c r="F46" s="410">
        <f>VLOOKUP(A45,[24]進出口值表查詢結果!$B$10:$F$26,4,0)</f>
        <v>123000</v>
      </c>
      <c r="G46" s="410">
        <f>VLOOKUP(A45,[24]進出口值表查詢結果!$B$10:$F$26,3,0)</f>
        <v>14819695</v>
      </c>
      <c r="H46" s="410"/>
      <c r="I46" s="410">
        <f>VLOOKUP(A45,[25]進出口值表查詢結果!$B$10:$F$26,4,0)</f>
        <v>42474</v>
      </c>
      <c r="J46" s="410">
        <f>VLOOKUP(A45,[25]進出口值表查詢結果!$B$10:$F$26,3,0)</f>
        <v>2029552</v>
      </c>
      <c r="K46" s="410"/>
      <c r="L46" s="410">
        <f>VLOOKUP(A45,[26]進出口值表查詢結果!$B$10:$F$26,4,0)</f>
        <v>77060</v>
      </c>
      <c r="M46" s="410">
        <f>VLOOKUP(A45,[26]進出口值表查詢結果!$B$10:$F$26,3,0)</f>
        <v>5759344</v>
      </c>
    </row>
    <row r="47" spans="1:13" ht="19.5">
      <c r="A47" s="416" t="s">
        <v>228</v>
      </c>
      <c r="B47" s="408"/>
      <c r="C47" s="410"/>
      <c r="D47" s="417"/>
      <c r="E47" s="410"/>
      <c r="F47" s="410"/>
      <c r="G47" s="417"/>
      <c r="H47" s="410"/>
      <c r="I47" s="410"/>
      <c r="J47" s="417"/>
      <c r="K47" s="410"/>
      <c r="L47" s="410"/>
      <c r="M47" s="417"/>
    </row>
    <row r="48" spans="1:13" ht="19.5">
      <c r="A48" s="423">
        <v>87149320906</v>
      </c>
      <c r="B48" s="424"/>
      <c r="C48" s="420"/>
      <c r="D48" s="425"/>
      <c r="E48" s="426"/>
      <c r="F48" s="420"/>
      <c r="G48" s="425"/>
      <c r="H48" s="426"/>
      <c r="I48" s="426"/>
      <c r="J48" s="425"/>
      <c r="K48" s="426"/>
      <c r="L48" s="426"/>
      <c r="M48" s="425"/>
    </row>
    <row r="49" spans="1:13" ht="19.5">
      <c r="A49" s="416" t="s">
        <v>428</v>
      </c>
      <c r="B49" s="408"/>
      <c r="C49" s="410">
        <f>VLOOKUP(A48,[23]進出口值表查詢結果!$B$10:$F$26,4,0)</f>
        <v>162370</v>
      </c>
      <c r="D49" s="410">
        <f>VLOOKUP(A48,[23]進出口值表查詢結果!$B$10:$F$26,3,0)</f>
        <v>6376838</v>
      </c>
      <c r="E49" s="410"/>
      <c r="F49" s="410">
        <f>VLOOKUP(A48,[24]進出口值表查詢結果!$B$10:$F$26,4,0)</f>
        <v>319169</v>
      </c>
      <c r="G49" s="410">
        <f>VLOOKUP(A48,[24]進出口值表查詢結果!$B$10:$F$26,3,0)</f>
        <v>13091715</v>
      </c>
      <c r="H49" s="410"/>
      <c r="I49" s="410">
        <f>VLOOKUP(A48,[25]進出口值表查詢結果!$B$10:$F$26,4,0)</f>
        <v>17944</v>
      </c>
      <c r="J49" s="410">
        <f>VLOOKUP(A48,[25]進出口值表查詢結果!$B$10:$F$26,3,0)</f>
        <v>624400</v>
      </c>
      <c r="K49" s="410"/>
      <c r="L49" s="410">
        <f>VLOOKUP(A48,[26]進出口值表查詢結果!$B$10:$F$26,4,0)</f>
        <v>47305</v>
      </c>
      <c r="M49" s="410">
        <f>VLOOKUP(A48,[26]進出口值表查詢結果!$B$10:$F$26,3,0)</f>
        <v>2011026</v>
      </c>
    </row>
    <row r="50" spans="1:13" ht="19.5">
      <c r="A50" s="423">
        <v>87149990139</v>
      </c>
      <c r="B50" s="424"/>
      <c r="C50" s="420"/>
      <c r="D50" s="425"/>
      <c r="E50" s="426"/>
      <c r="F50" s="420"/>
      <c r="G50" s="425"/>
      <c r="H50" s="426"/>
      <c r="I50" s="426"/>
      <c r="J50" s="425"/>
      <c r="K50" s="426"/>
      <c r="L50" s="426"/>
      <c r="M50" s="425"/>
    </row>
    <row r="51" spans="1:13" ht="19.5">
      <c r="A51" s="416" t="s">
        <v>230</v>
      </c>
      <c r="B51" s="408"/>
      <c r="C51" s="410">
        <f>VLOOKUP(A50,[23]進出口值表查詢結果!$B$10:$F$26,4,0)</f>
        <v>8476</v>
      </c>
      <c r="D51" s="410">
        <f>VLOOKUP(A50,[23]進出口值表查詢結果!$B$10:$F$26,3,0)</f>
        <v>269941</v>
      </c>
      <c r="E51" s="410"/>
      <c r="F51" s="410">
        <f>VLOOKUP(A50,[24]進出口值表查詢結果!$B$10:$F$26,4,0)</f>
        <v>16359</v>
      </c>
      <c r="G51" s="410">
        <f>VLOOKUP(A50,[24]進出口值表查詢結果!$B$10:$F$26,3,0)</f>
        <v>444126</v>
      </c>
      <c r="H51" s="410"/>
      <c r="I51" s="410">
        <f>VLOOKUP(A50,[25]進出口值表查詢結果!$B$10:$F$26,4,0)</f>
        <v>8659</v>
      </c>
      <c r="J51" s="410">
        <f>VLOOKUP(A50,[25]進出口值表查詢結果!$B$10:$F$26,3,0)</f>
        <v>87202</v>
      </c>
      <c r="K51" s="410"/>
      <c r="L51" s="410">
        <f>VLOOKUP(A50,[26]進出口值表查詢結果!$B$10:$F$26,4,0)</f>
        <v>14975</v>
      </c>
      <c r="M51" s="410">
        <f>VLOOKUP(A50,[26]進出口值表查詢結果!$B$10:$F$26,3,0)</f>
        <v>193355</v>
      </c>
    </row>
    <row r="52" spans="1:13" ht="19.5">
      <c r="A52" s="423">
        <v>87149990148</v>
      </c>
      <c r="B52" s="424"/>
      <c r="C52" s="420"/>
      <c r="D52" s="425"/>
      <c r="E52" s="426"/>
      <c r="F52" s="420"/>
      <c r="G52" s="425"/>
      <c r="H52" s="426"/>
      <c r="I52" s="426"/>
      <c r="J52" s="425"/>
      <c r="K52" s="426"/>
      <c r="L52" s="426"/>
      <c r="M52" s="425"/>
    </row>
    <row r="53" spans="1:13" ht="19.5">
      <c r="A53" s="428" t="s">
        <v>231</v>
      </c>
      <c r="B53" s="429"/>
      <c r="C53" s="410">
        <f>VLOOKUP(A52,[23]進出口值表查詢結果!$B$10:$F$26,4,0)</f>
        <v>58210</v>
      </c>
      <c r="D53" s="410">
        <f>VLOOKUP(A52,[23]進出口值表查詢結果!$B$10:$F$26,3,0)</f>
        <v>1956223</v>
      </c>
      <c r="E53" s="410"/>
      <c r="F53" s="410">
        <f>VLOOKUP(A52,[24]進出口值表查詢結果!$B$10:$F$26,4,0)</f>
        <v>142618</v>
      </c>
      <c r="G53" s="410">
        <f>VLOOKUP(A52,[24]進出口值表查詢結果!$B$10:$F$26,3,0)</f>
        <v>4624537</v>
      </c>
      <c r="H53" s="410"/>
      <c r="I53" s="410">
        <f>VLOOKUP(A52,[25]進出口值表查詢結果!$B$10:$F$26,4,0)</f>
        <v>7795</v>
      </c>
      <c r="J53" s="410">
        <f>VLOOKUP(A52,[25]進出口值表查詢結果!$B$10:$F$26,3,0)</f>
        <v>239059</v>
      </c>
      <c r="K53" s="410"/>
      <c r="L53" s="410">
        <f>VLOOKUP(A52,[26]進出口值表查詢結果!$B$10:$F$26,4,0)</f>
        <v>19680</v>
      </c>
      <c r="M53" s="410">
        <f>VLOOKUP(A52,[26]進出口值表查詢結果!$B$10:$F$26,3,0)</f>
        <v>454916</v>
      </c>
    </row>
    <row r="54" spans="1:13" ht="19.5">
      <c r="A54" s="416" t="s">
        <v>232</v>
      </c>
      <c r="B54" s="408"/>
      <c r="C54" s="410"/>
      <c r="D54" s="417"/>
      <c r="E54" s="410"/>
      <c r="F54" s="410"/>
      <c r="G54" s="417"/>
      <c r="H54" s="410"/>
      <c r="I54" s="410"/>
      <c r="J54" s="430"/>
      <c r="K54" s="410"/>
      <c r="L54" s="410"/>
      <c r="M54" s="417"/>
    </row>
    <row r="55" spans="1:13" ht="19.5">
      <c r="A55" s="423">
        <v>87149990157</v>
      </c>
      <c r="B55" s="424"/>
      <c r="C55" s="420"/>
      <c r="D55" s="425"/>
      <c r="E55" s="426"/>
      <c r="F55" s="420"/>
      <c r="G55" s="425"/>
      <c r="H55" s="426"/>
      <c r="I55" s="426"/>
      <c r="J55" s="425"/>
      <c r="K55" s="426"/>
      <c r="L55" s="426"/>
      <c r="M55" s="425"/>
    </row>
    <row r="56" spans="1:13" ht="19.5">
      <c r="A56" s="416" t="s">
        <v>233</v>
      </c>
      <c r="B56" s="408"/>
      <c r="C56" s="410">
        <f>VLOOKUP(A55,[23]進出口值表查詢結果!$B$10:$F$26,4,0)</f>
        <v>123866</v>
      </c>
      <c r="D56" s="410">
        <f>VLOOKUP(A55,[23]進出口值表查詢結果!$B$10:$F$26,3,0)</f>
        <v>4684134</v>
      </c>
      <c r="E56" s="410"/>
      <c r="F56" s="410">
        <f>VLOOKUP(A55,[24]進出口值表查詢結果!$B$10:$F$26,4,0)</f>
        <v>260642</v>
      </c>
      <c r="G56" s="410">
        <f>VLOOKUP(A55,[24]進出口值表查詢結果!$B$10:$F$26,3,0)</f>
        <v>9577064</v>
      </c>
      <c r="H56" s="410"/>
      <c r="I56" s="410">
        <f>VLOOKUP(A55,[25]進出口值表查詢結果!$B$10:$F$26,4,0)</f>
        <v>21044</v>
      </c>
      <c r="J56" s="410">
        <f>VLOOKUP(A55,[25]進出口值表查詢結果!$B$10:$F$26,3,0)</f>
        <v>735411</v>
      </c>
      <c r="K56" s="410"/>
      <c r="L56" s="410">
        <f>VLOOKUP(A55,[26]進出口值表查詢結果!$B$10:$F$26,4,0)</f>
        <v>65309</v>
      </c>
      <c r="M56" s="410">
        <f>VLOOKUP(A55,[26]進出口值表查詢結果!$B$10:$F$26,3,0)</f>
        <v>2068609</v>
      </c>
    </row>
    <row r="57" spans="1:13" ht="19.5">
      <c r="A57" s="416" t="s">
        <v>234</v>
      </c>
      <c r="B57" s="408"/>
      <c r="C57" s="410"/>
      <c r="D57" s="417"/>
      <c r="E57" s="410"/>
      <c r="F57" s="410"/>
      <c r="G57" s="417"/>
      <c r="H57" s="410"/>
      <c r="I57" s="410"/>
      <c r="J57" s="417"/>
      <c r="K57" s="410"/>
      <c r="L57" s="410"/>
      <c r="M57" s="417"/>
    </row>
    <row r="58" spans="1:13" ht="19.5">
      <c r="A58" s="423">
        <v>87149990166</v>
      </c>
      <c r="B58" s="424"/>
      <c r="C58" s="420"/>
      <c r="D58" s="425"/>
      <c r="E58" s="426"/>
      <c r="F58" s="420"/>
      <c r="G58" s="425"/>
      <c r="H58" s="426"/>
      <c r="I58" s="426"/>
      <c r="J58" s="425"/>
      <c r="K58" s="426"/>
      <c r="L58" s="426"/>
      <c r="M58" s="425"/>
    </row>
    <row r="59" spans="1:13" ht="19.5">
      <c r="A59" s="416" t="s">
        <v>231</v>
      </c>
      <c r="B59" s="408"/>
      <c r="C59" s="410">
        <f>VLOOKUP(A58,[23]進出口值表查詢結果!$B$10:$F$26,4,0)</f>
        <v>80478</v>
      </c>
      <c r="D59" s="410">
        <f>VLOOKUP(A58,[23]進出口值表查詢結果!$B$10:$F$26,3,0)</f>
        <v>3676213</v>
      </c>
      <c r="E59" s="410"/>
      <c r="F59" s="410">
        <f>VLOOKUP(A58,[24]進出口值表查詢結果!$B$10:$F$26,4,0)</f>
        <v>210467</v>
      </c>
      <c r="G59" s="410">
        <f>VLOOKUP(A58,[24]進出口值表查詢結果!$B$10:$F$26,3,0)</f>
        <v>8378874</v>
      </c>
      <c r="H59" s="410"/>
      <c r="I59" s="410">
        <f>VLOOKUP(A58,[25]進出口值表查詢結果!$B$10:$F$26,4,0)</f>
        <v>27724</v>
      </c>
      <c r="J59" s="410">
        <f>VLOOKUP(A58,[25]進出口值表查詢結果!$B$10:$F$26,3,0)</f>
        <v>2377686</v>
      </c>
      <c r="K59" s="410"/>
      <c r="L59" s="410">
        <f>VLOOKUP(A58,[26]進出口值表查詢結果!$B$10:$F$26,4,0)</f>
        <v>60574</v>
      </c>
      <c r="M59" s="410">
        <f>VLOOKUP(A58,[26]進出口值表查詢結果!$B$10:$F$26,3,0)</f>
        <v>4664194</v>
      </c>
    </row>
    <row r="60" spans="1:13" ht="19.5">
      <c r="A60" s="423">
        <v>40115000008</v>
      </c>
      <c r="B60" s="426"/>
      <c r="C60" s="426"/>
      <c r="D60" s="426"/>
      <c r="E60" s="426"/>
      <c r="F60" s="426"/>
      <c r="G60" s="426"/>
      <c r="H60" s="426"/>
      <c r="I60" s="426"/>
      <c r="J60" s="426"/>
      <c r="K60" s="426"/>
      <c r="L60" s="426"/>
      <c r="M60" s="426"/>
    </row>
    <row r="61" spans="1:13" ht="19.5">
      <c r="A61" s="416" t="s">
        <v>235</v>
      </c>
      <c r="B61" s="408"/>
      <c r="C61" s="410">
        <v>339932</v>
      </c>
      <c r="D61" s="410">
        <v>5769496</v>
      </c>
      <c r="E61" s="410"/>
      <c r="F61" s="410">
        <v>687861</v>
      </c>
      <c r="G61" s="410">
        <v>10840029</v>
      </c>
      <c r="H61" s="410"/>
      <c r="I61" s="410">
        <v>112533</v>
      </c>
      <c r="J61" s="410">
        <v>1136966</v>
      </c>
      <c r="K61" s="410"/>
      <c r="L61" s="410">
        <v>273080</v>
      </c>
      <c r="M61" s="410">
        <v>3002973</v>
      </c>
    </row>
    <row r="62" spans="1:13" ht="19.5">
      <c r="A62" s="416" t="s">
        <v>236</v>
      </c>
      <c r="B62" s="408" t="s">
        <v>205</v>
      </c>
      <c r="C62" s="410">
        <v>409827</v>
      </c>
      <c r="D62" s="417" t="s">
        <v>237</v>
      </c>
      <c r="E62" s="3" t="s">
        <v>205</v>
      </c>
      <c r="F62" s="410">
        <v>865351</v>
      </c>
      <c r="G62" s="417" t="s">
        <v>237</v>
      </c>
      <c r="H62" s="3" t="s">
        <v>205</v>
      </c>
      <c r="I62" s="410">
        <v>168545</v>
      </c>
      <c r="J62" s="417" t="s">
        <v>316</v>
      </c>
      <c r="K62" s="410" t="s">
        <v>205</v>
      </c>
      <c r="L62" s="410">
        <v>394400</v>
      </c>
      <c r="M62" s="417" t="s">
        <v>213</v>
      </c>
    </row>
    <row r="63" spans="1:13" ht="19.5">
      <c r="A63" s="423">
        <v>40132000003</v>
      </c>
      <c r="B63" s="424"/>
      <c r="C63" s="426"/>
      <c r="D63" s="426"/>
      <c r="E63" s="426"/>
      <c r="F63" s="426"/>
      <c r="G63" s="426"/>
      <c r="H63" s="426"/>
      <c r="I63" s="426"/>
      <c r="J63" s="426"/>
      <c r="K63" s="426"/>
      <c r="L63" s="426"/>
      <c r="M63" s="426"/>
    </row>
    <row r="64" spans="1:13" ht="19.5">
      <c r="A64" s="416" t="s">
        <v>238</v>
      </c>
      <c r="B64" s="408"/>
      <c r="C64" s="410">
        <v>24718</v>
      </c>
      <c r="D64" s="410">
        <v>271270</v>
      </c>
      <c r="E64" s="410"/>
      <c r="F64" s="410">
        <v>64930</v>
      </c>
      <c r="G64" s="410">
        <v>678215</v>
      </c>
      <c r="H64" s="410"/>
      <c r="I64" s="410">
        <v>46015</v>
      </c>
      <c r="J64" s="410">
        <v>321793</v>
      </c>
      <c r="K64" s="410"/>
      <c r="L64" s="410">
        <v>84694</v>
      </c>
      <c r="M64" s="410">
        <v>609885</v>
      </c>
    </row>
    <row r="65" spans="1:13" ht="19.5">
      <c r="A65" s="416" t="s">
        <v>239</v>
      </c>
      <c r="B65" s="408" t="s">
        <v>205</v>
      </c>
      <c r="C65" s="410">
        <v>145370</v>
      </c>
      <c r="D65" s="417" t="s">
        <v>213</v>
      </c>
      <c r="E65" s="3" t="s">
        <v>205</v>
      </c>
      <c r="F65" s="410">
        <v>384886</v>
      </c>
      <c r="G65" s="417" t="s">
        <v>213</v>
      </c>
      <c r="H65" s="3" t="s">
        <v>205</v>
      </c>
      <c r="I65" s="410">
        <v>239523</v>
      </c>
      <c r="J65" s="417" t="s">
        <v>213</v>
      </c>
      <c r="K65" s="410" t="s">
        <v>205</v>
      </c>
      <c r="L65" s="410">
        <v>441475</v>
      </c>
      <c r="M65" s="417" t="s">
        <v>213</v>
      </c>
    </row>
    <row r="66" spans="1:13" ht="19.5">
      <c r="A66" s="416"/>
      <c r="B66" s="408"/>
      <c r="C66" s="410"/>
      <c r="D66" s="417"/>
      <c r="E66" s="410"/>
      <c r="F66" s="410"/>
      <c r="G66" s="417"/>
      <c r="H66" s="410"/>
      <c r="I66" s="410"/>
      <c r="J66" s="417"/>
      <c r="K66" s="410"/>
      <c r="L66" s="410"/>
      <c r="M66" s="417"/>
    </row>
    <row r="67" spans="1:13" ht="19.5">
      <c r="A67" s="367" t="s">
        <v>240</v>
      </c>
      <c r="B67" s="431"/>
      <c r="C67" s="432">
        <f>SUM(C6:C66)-C65-C62-C20-C17-C11-C8-C14</f>
        <v>2582536</v>
      </c>
      <c r="D67" s="538">
        <f>SUM(D6:D66)</f>
        <v>110414834</v>
      </c>
      <c r="E67" s="432"/>
      <c r="F67" s="432">
        <f>SUM(F6:F66)-F65-F62-F20-F17-F11-F8-F14</f>
        <v>5559182</v>
      </c>
      <c r="G67" s="538">
        <f>SUM(G6:G66)</f>
        <v>237183352</v>
      </c>
      <c r="H67" s="432"/>
      <c r="I67" s="432">
        <f>SUM(I6:I66)-I65-I62-I20-I17-I11-I8</f>
        <v>1088498</v>
      </c>
      <c r="J67" s="538">
        <f>SUM(J6:J66)</f>
        <v>42526131</v>
      </c>
      <c r="K67" s="432"/>
      <c r="L67" s="432">
        <f>SUM(L6:L66)-L65-L62-L20-L17-L11-L8</f>
        <v>2469967</v>
      </c>
      <c r="M67" s="538">
        <f>SUM(M6:M66)</f>
        <v>107479418</v>
      </c>
    </row>
    <row r="68" spans="1:13">
      <c r="A68" s="3"/>
      <c r="B68" s="3"/>
      <c r="C68" s="410"/>
      <c r="D68" s="410"/>
      <c r="E68" s="410"/>
      <c r="F68" s="410"/>
      <c r="G68" s="4"/>
      <c r="H68" s="410"/>
      <c r="I68" s="410"/>
      <c r="J68" s="410"/>
      <c r="K68" s="410"/>
      <c r="L68" s="410"/>
      <c r="M68" s="410"/>
    </row>
    <row r="69" spans="1:13">
      <c r="A69" s="57" t="s">
        <v>459</v>
      </c>
      <c r="B69" s="3"/>
      <c r="C69" s="58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8">
      <c r="A70" s="156" t="s">
        <v>186</v>
      </c>
      <c r="B70" s="61"/>
      <c r="C70" s="62"/>
      <c r="D70" s="64"/>
      <c r="E70" s="61"/>
      <c r="F70" s="62"/>
      <c r="G70" s="64"/>
      <c r="H70" s="60"/>
      <c r="I70" s="60"/>
      <c r="J70" s="60"/>
      <c r="K70" s="60"/>
      <c r="L70" s="60"/>
      <c r="M70" s="60"/>
    </row>
  </sheetData>
  <mergeCells count="1">
    <mergeCell ref="A1:M1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70"/>
  <sheetViews>
    <sheetView zoomScale="85" zoomScaleNormal="85" workbookViewId="0">
      <selection activeCell="G19" sqref="G19"/>
    </sheetView>
  </sheetViews>
  <sheetFormatPr defaultRowHeight="16.5"/>
  <cols>
    <col min="1" max="1" width="21.875" customWidth="1"/>
    <col min="2" max="2" width="2.625" customWidth="1"/>
    <col min="3" max="3" width="17.5" customWidth="1"/>
    <col min="4" max="4" width="16.5" customWidth="1"/>
    <col min="5" max="5" width="1.875" customWidth="1"/>
    <col min="6" max="6" width="15.25" customWidth="1"/>
    <col min="7" max="7" width="17.625" customWidth="1"/>
    <col min="8" max="8" width="2.375" customWidth="1"/>
    <col min="9" max="9" width="15.875" customWidth="1"/>
    <col min="10" max="10" width="16.5" customWidth="1"/>
    <col min="11" max="11" width="2.875" customWidth="1"/>
    <col min="12" max="12" width="15.875" customWidth="1"/>
    <col min="13" max="13" width="18.875" customWidth="1"/>
  </cols>
  <sheetData>
    <row r="1" spans="1:13" ht="23.25">
      <c r="A1" s="763" t="s">
        <v>301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</row>
    <row r="2" spans="1:13" ht="23.25">
      <c r="A2" s="66"/>
      <c r="B2" s="407"/>
      <c r="C2" s="407"/>
      <c r="D2" s="407"/>
      <c r="E2" s="434"/>
      <c r="F2" s="434"/>
      <c r="G2" s="434"/>
      <c r="H2" s="407"/>
      <c r="I2" s="407"/>
      <c r="J2" s="407"/>
      <c r="K2" s="434"/>
      <c r="L2" s="434"/>
      <c r="M2" s="434"/>
    </row>
    <row r="3" spans="1:13">
      <c r="A3" s="3"/>
      <c r="B3" s="410"/>
      <c r="C3" s="410"/>
      <c r="D3" s="410"/>
      <c r="E3" s="435"/>
      <c r="F3" s="435"/>
      <c r="G3" s="435"/>
      <c r="H3" s="410"/>
      <c r="I3" s="410"/>
      <c r="J3" s="4"/>
      <c r="K3" s="435"/>
      <c r="L3" s="435"/>
      <c r="M3" s="116"/>
    </row>
    <row r="4" spans="1:13">
      <c r="A4" s="3"/>
      <c r="B4" s="410"/>
      <c r="C4" s="410"/>
      <c r="D4" s="410"/>
      <c r="E4" s="435"/>
      <c r="F4" s="435"/>
      <c r="G4" s="435"/>
      <c r="H4" s="410"/>
      <c r="I4" s="410"/>
      <c r="J4" s="4"/>
      <c r="K4" s="435"/>
      <c r="L4" s="435"/>
      <c r="M4" s="116"/>
    </row>
    <row r="5" spans="1:13" ht="19.5">
      <c r="A5" s="367" t="s">
        <v>202</v>
      </c>
      <c r="B5" s="411"/>
      <c r="C5" s="514" t="s">
        <v>274</v>
      </c>
      <c r="D5" s="515" t="s">
        <v>275</v>
      </c>
      <c r="E5" s="436"/>
      <c r="F5" s="516" t="s">
        <v>302</v>
      </c>
      <c r="G5" s="517" t="s">
        <v>303</v>
      </c>
      <c r="H5" s="411"/>
      <c r="I5" s="514" t="s">
        <v>304</v>
      </c>
      <c r="J5" s="515" t="s">
        <v>305</v>
      </c>
      <c r="K5" s="436"/>
      <c r="L5" s="516" t="s">
        <v>306</v>
      </c>
      <c r="M5" s="517" t="s">
        <v>307</v>
      </c>
    </row>
    <row r="6" spans="1:13" ht="19.5">
      <c r="A6" s="412">
        <v>85121010001</v>
      </c>
      <c r="B6" s="414"/>
      <c r="C6" s="414"/>
      <c r="D6" s="415"/>
      <c r="E6" s="437"/>
      <c r="F6" s="437"/>
      <c r="G6" s="438"/>
      <c r="H6" s="414"/>
      <c r="I6" s="414"/>
      <c r="J6" s="415"/>
      <c r="K6" s="437"/>
      <c r="L6" s="437"/>
      <c r="M6" s="438"/>
    </row>
    <row r="7" spans="1:13" ht="19.5">
      <c r="A7" s="416" t="s">
        <v>203</v>
      </c>
      <c r="B7" s="410"/>
      <c r="C7" s="410">
        <v>75936</v>
      </c>
      <c r="D7" s="410">
        <v>7481617</v>
      </c>
      <c r="E7" s="435"/>
      <c r="F7" s="435">
        <f>C7+零件進出口!C7</f>
        <v>86267</v>
      </c>
      <c r="G7" s="439">
        <f>D7+零件進出口!D7</f>
        <v>8719658</v>
      </c>
      <c r="H7" s="410"/>
      <c r="I7" s="410">
        <v>22528</v>
      </c>
      <c r="J7" s="410">
        <v>1399369</v>
      </c>
      <c r="K7" s="435"/>
      <c r="L7" s="435">
        <f>I7+零件進出口!I7</f>
        <v>27462</v>
      </c>
      <c r="M7" s="439">
        <f>J7+零件進出口!J7</f>
        <v>1610909</v>
      </c>
    </row>
    <row r="8" spans="1:13" ht="19.5">
      <c r="A8" s="416" t="s">
        <v>204</v>
      </c>
      <c r="B8" s="3" t="s">
        <v>205</v>
      </c>
      <c r="C8" s="410">
        <v>687128</v>
      </c>
      <c r="D8" s="417" t="s">
        <v>207</v>
      </c>
      <c r="E8" s="155" t="s">
        <v>205</v>
      </c>
      <c r="F8" s="435">
        <f>C8+零件進出口!C8</f>
        <v>771837</v>
      </c>
      <c r="G8" s="439" t="s">
        <v>241</v>
      </c>
      <c r="H8" s="410" t="s">
        <v>205</v>
      </c>
      <c r="I8" s="410">
        <v>409980</v>
      </c>
      <c r="J8" s="417" t="s">
        <v>207</v>
      </c>
      <c r="K8" s="435" t="s">
        <v>205</v>
      </c>
      <c r="L8" s="435">
        <f>I8+零件進出口!I8</f>
        <v>471110</v>
      </c>
      <c r="M8" s="439" t="s">
        <v>241</v>
      </c>
    </row>
    <row r="9" spans="1:13" ht="19.5">
      <c r="A9" s="418">
        <v>85121020009</v>
      </c>
      <c r="B9" s="422"/>
      <c r="C9" s="420"/>
      <c r="D9" s="421"/>
      <c r="E9" s="440"/>
      <c r="F9" s="440"/>
      <c r="G9" s="441"/>
      <c r="H9" s="422"/>
      <c r="I9" s="420"/>
      <c r="J9" s="421"/>
      <c r="K9" s="440"/>
      <c r="L9" s="440"/>
      <c r="M9" s="441"/>
    </row>
    <row r="10" spans="1:13" ht="19.5">
      <c r="A10" s="416" t="s">
        <v>208</v>
      </c>
      <c r="B10" s="410"/>
      <c r="C10" s="410">
        <v>20016</v>
      </c>
      <c r="D10" s="410">
        <v>2580236</v>
      </c>
      <c r="E10" s="435"/>
      <c r="F10" s="435">
        <f>C10+零件進出口!C10</f>
        <v>23102</v>
      </c>
      <c r="G10" s="439" t="e">
        <f>D10+零件進出口!D10</f>
        <v>#VALUE!</v>
      </c>
      <c r="H10" s="410"/>
      <c r="I10" s="410">
        <v>13388</v>
      </c>
      <c r="J10" s="410">
        <v>1066902</v>
      </c>
      <c r="K10" s="435"/>
      <c r="L10" s="435">
        <f>I10+零件進出口!I10</f>
        <v>14885</v>
      </c>
      <c r="M10" s="439">
        <f>J10+零件進出口!J10</f>
        <v>1201281</v>
      </c>
    </row>
    <row r="11" spans="1:13" ht="19.5">
      <c r="A11" s="416" t="s">
        <v>209</v>
      </c>
      <c r="B11" s="3" t="s">
        <v>205</v>
      </c>
      <c r="C11" s="410">
        <v>213783</v>
      </c>
      <c r="D11" s="417" t="s">
        <v>207</v>
      </c>
      <c r="E11" s="155" t="s">
        <v>205</v>
      </c>
      <c r="F11" s="435">
        <f>C11+零件進出口!C11</f>
        <v>242676</v>
      </c>
      <c r="G11" s="439" t="s">
        <v>213</v>
      </c>
      <c r="H11" s="410" t="s">
        <v>205</v>
      </c>
      <c r="I11" s="410">
        <v>236400</v>
      </c>
      <c r="J11" s="417" t="s">
        <v>207</v>
      </c>
      <c r="K11" s="435" t="s">
        <v>205</v>
      </c>
      <c r="L11" s="435">
        <f>I11+零件進出口!I11</f>
        <v>261650</v>
      </c>
      <c r="M11" s="439" t="s">
        <v>241</v>
      </c>
    </row>
    <row r="12" spans="1:13" ht="19.5">
      <c r="A12" s="423">
        <v>87149120007</v>
      </c>
      <c r="B12" s="426"/>
      <c r="C12" s="420"/>
      <c r="D12" s="425"/>
      <c r="E12" s="442"/>
      <c r="F12" s="442"/>
      <c r="G12" s="443"/>
      <c r="H12" s="426"/>
      <c r="I12" s="420"/>
      <c r="J12" s="425"/>
      <c r="K12" s="442"/>
      <c r="L12" s="442"/>
      <c r="M12" s="443"/>
    </row>
    <row r="13" spans="1:13" ht="19.5">
      <c r="A13" s="416" t="s">
        <v>210</v>
      </c>
      <c r="B13" s="410"/>
      <c r="C13" s="410">
        <v>4116671</v>
      </c>
      <c r="D13" s="410">
        <v>207238522</v>
      </c>
      <c r="E13" s="435"/>
      <c r="F13" s="435">
        <f>C13+零件進出口!C13</f>
        <v>4713721</v>
      </c>
      <c r="G13" s="439">
        <f>D13+零件進出口!D13</f>
        <v>240493530</v>
      </c>
      <c r="H13" s="410"/>
      <c r="I13" s="410">
        <v>2844110</v>
      </c>
      <c r="J13" s="410">
        <v>109183234</v>
      </c>
      <c r="K13" s="435"/>
      <c r="L13" s="435">
        <f>I13+零件進出口!I13</f>
        <v>3165839</v>
      </c>
      <c r="M13" s="439">
        <f>J13+零件進出口!J13</f>
        <v>127591122</v>
      </c>
    </row>
    <row r="14" spans="1:13" ht="19.5">
      <c r="A14" s="416" t="s">
        <v>211</v>
      </c>
      <c r="B14" s="3" t="s">
        <v>205</v>
      </c>
      <c r="C14" s="410"/>
      <c r="D14" s="417"/>
      <c r="E14" s="155" t="s">
        <v>205</v>
      </c>
      <c r="F14" s="435">
        <f>C14+[19]零件!C14</f>
        <v>0</v>
      </c>
      <c r="G14" s="439"/>
      <c r="H14" s="410"/>
      <c r="I14" s="410"/>
      <c r="J14" s="417"/>
      <c r="K14" s="435" t="s">
        <v>205</v>
      </c>
      <c r="L14" s="435"/>
      <c r="M14" s="439"/>
    </row>
    <row r="15" spans="1:13" ht="19.5">
      <c r="A15" s="423">
        <v>87149200108</v>
      </c>
      <c r="B15" s="426"/>
      <c r="C15" s="420"/>
      <c r="D15" s="425"/>
      <c r="E15" s="442"/>
      <c r="F15" s="442"/>
      <c r="G15" s="443"/>
      <c r="H15" s="426"/>
      <c r="I15" s="420"/>
      <c r="J15" s="425"/>
      <c r="K15" s="442"/>
      <c r="L15" s="442"/>
      <c r="M15" s="443"/>
    </row>
    <row r="16" spans="1:13" ht="19.5">
      <c r="A16" s="416" t="s">
        <v>212</v>
      </c>
      <c r="B16" s="410"/>
      <c r="C16" s="410">
        <v>764569</v>
      </c>
      <c r="D16" s="410">
        <v>12040240</v>
      </c>
      <c r="E16" s="435"/>
      <c r="F16" s="435">
        <f>C16+零件進出口!C16</f>
        <v>852154</v>
      </c>
      <c r="G16" s="439">
        <f>D16+零件進出口!D16</f>
        <v>15058165</v>
      </c>
      <c r="H16" s="410"/>
      <c r="I16" s="410">
        <v>456802</v>
      </c>
      <c r="J16" s="410">
        <v>18918321</v>
      </c>
      <c r="K16" s="435"/>
      <c r="L16" s="435">
        <f>I16+零件進出口!I16</f>
        <v>513849</v>
      </c>
      <c r="M16" s="439">
        <f>J16+零件進出口!J16</f>
        <v>24403898</v>
      </c>
    </row>
    <row r="17" spans="1:13" ht="19.5">
      <c r="A17" s="416"/>
      <c r="B17" s="3" t="s">
        <v>205</v>
      </c>
      <c r="C17" s="410">
        <v>1684358</v>
      </c>
      <c r="D17" s="417" t="s">
        <v>213</v>
      </c>
      <c r="E17" s="155" t="s">
        <v>205</v>
      </c>
      <c r="F17" s="435">
        <f>C17+零件進出口!C17</f>
        <v>1843521</v>
      </c>
      <c r="G17" s="439" t="s">
        <v>213</v>
      </c>
      <c r="H17" s="410" t="s">
        <v>205</v>
      </c>
      <c r="I17" s="410">
        <v>805758</v>
      </c>
      <c r="J17" s="417" t="s">
        <v>213</v>
      </c>
      <c r="K17" s="435" t="s">
        <v>205</v>
      </c>
      <c r="L17" s="435">
        <f>I17+零件進出口!I17</f>
        <v>959718</v>
      </c>
      <c r="M17" s="439" t="s">
        <v>213</v>
      </c>
    </row>
    <row r="18" spans="1:13" ht="19.5">
      <c r="A18" s="423">
        <v>87149200206</v>
      </c>
      <c r="B18" s="426"/>
      <c r="C18" s="420"/>
      <c r="D18" s="425"/>
      <c r="E18" s="442"/>
      <c r="F18" s="442"/>
      <c r="G18" s="443"/>
      <c r="H18" s="426"/>
      <c r="I18" s="426"/>
      <c r="J18" s="425"/>
      <c r="K18" s="442"/>
      <c r="L18" s="442"/>
      <c r="M18" s="443"/>
    </row>
    <row r="19" spans="1:13" ht="19.5">
      <c r="A19" s="416" t="s">
        <v>143</v>
      </c>
      <c r="B19" s="410"/>
      <c r="C19" s="410">
        <v>478779</v>
      </c>
      <c r="D19" s="410">
        <v>3283117</v>
      </c>
      <c r="E19" s="435"/>
      <c r="F19" s="435">
        <f>C19+零件進出口!C19</f>
        <v>559826</v>
      </c>
      <c r="G19" s="439">
        <f>D19+零件進出口!D19</f>
        <v>4324581</v>
      </c>
      <c r="H19" s="410"/>
      <c r="I19" s="410">
        <v>40078</v>
      </c>
      <c r="J19" s="410">
        <v>3933271</v>
      </c>
      <c r="K19" s="435"/>
      <c r="L19" s="435">
        <f>I19+零件進出口!I19</f>
        <v>56850</v>
      </c>
      <c r="M19" s="439">
        <f>J19+零件進出口!J19</f>
        <v>4641694</v>
      </c>
    </row>
    <row r="20" spans="1:13" ht="19.5">
      <c r="A20" s="416"/>
      <c r="B20" s="3" t="s">
        <v>205</v>
      </c>
      <c r="C20" s="410">
        <v>55545612</v>
      </c>
      <c r="D20" s="417" t="s">
        <v>213</v>
      </c>
      <c r="E20" s="155" t="s">
        <v>205</v>
      </c>
      <c r="F20" s="435">
        <f>C20+零件進出口!C20</f>
        <v>67707499</v>
      </c>
      <c r="G20" s="439" t="s">
        <v>213</v>
      </c>
      <c r="H20" s="410" t="s">
        <v>205</v>
      </c>
      <c r="I20" s="410">
        <v>10704417</v>
      </c>
      <c r="J20" s="417" t="s">
        <v>213</v>
      </c>
      <c r="K20" s="435" t="s">
        <v>205</v>
      </c>
      <c r="L20" s="435">
        <f>I20+零件進出口!I20</f>
        <v>13374891</v>
      </c>
      <c r="M20" s="439" t="s">
        <v>213</v>
      </c>
    </row>
    <row r="21" spans="1:13" ht="19.5">
      <c r="A21" s="423">
        <v>87149200304</v>
      </c>
      <c r="B21" s="426"/>
      <c r="C21" s="420"/>
      <c r="D21" s="425"/>
      <c r="E21" s="442"/>
      <c r="F21" s="442"/>
      <c r="G21" s="443"/>
      <c r="H21" s="426"/>
      <c r="I21" s="426"/>
      <c r="J21" s="425"/>
      <c r="K21" s="442"/>
      <c r="L21" s="442"/>
      <c r="M21" s="443"/>
    </row>
    <row r="22" spans="1:13" ht="19.5">
      <c r="A22" s="416" t="s">
        <v>145</v>
      </c>
      <c r="B22" s="410"/>
      <c r="C22" s="410">
        <v>219200</v>
      </c>
      <c r="D22" s="410">
        <v>14588219</v>
      </c>
      <c r="E22" s="435"/>
      <c r="F22" s="435">
        <f>C22+零件進出口!C22</f>
        <v>292578</v>
      </c>
      <c r="G22" s="439">
        <f>D22+零件進出口!D22</f>
        <v>23355914</v>
      </c>
      <c r="H22" s="410"/>
      <c r="I22" s="410">
        <v>233489</v>
      </c>
      <c r="J22" s="410">
        <v>3032786</v>
      </c>
      <c r="K22" s="435"/>
      <c r="L22" s="435">
        <f>I22+零件進出口!I22</f>
        <v>237058</v>
      </c>
      <c r="M22" s="439">
        <f>J22+零件進出口!J22</f>
        <v>3445585</v>
      </c>
    </row>
    <row r="23" spans="1:13" ht="19.5">
      <c r="A23" s="423">
        <v>87149310007</v>
      </c>
      <c r="B23" s="426"/>
      <c r="C23" s="420"/>
      <c r="D23" s="425"/>
      <c r="E23" s="442"/>
      <c r="F23" s="442"/>
      <c r="G23" s="443"/>
      <c r="H23" s="426"/>
      <c r="I23" s="426"/>
      <c r="J23" s="425"/>
      <c r="K23" s="442"/>
      <c r="L23" s="442"/>
      <c r="M23" s="443"/>
    </row>
    <row r="24" spans="1:13" ht="19.5">
      <c r="A24" s="416" t="s">
        <v>214</v>
      </c>
      <c r="B24" s="410"/>
      <c r="C24" s="410">
        <v>303499</v>
      </c>
      <c r="D24" s="410">
        <v>15581521</v>
      </c>
      <c r="E24" s="435"/>
      <c r="F24" s="435">
        <f>C24+零件進出口!C24</f>
        <v>354872</v>
      </c>
      <c r="G24" s="439">
        <f>D24+零件進出口!D24</f>
        <v>19460077</v>
      </c>
      <c r="H24" s="410"/>
      <c r="I24" s="410">
        <v>566371</v>
      </c>
      <c r="J24" s="410">
        <v>13225485</v>
      </c>
      <c r="K24" s="435"/>
      <c r="L24" s="435">
        <f>I24+零件進出口!I24</f>
        <v>605634</v>
      </c>
      <c r="M24" s="439">
        <f>J24+零件進出口!J24</f>
        <v>14867988</v>
      </c>
    </row>
    <row r="25" spans="1:13" ht="19.5">
      <c r="A25" s="416" t="s">
        <v>215</v>
      </c>
      <c r="B25" s="410"/>
      <c r="C25" s="410"/>
      <c r="D25" s="417"/>
      <c r="E25" s="435"/>
      <c r="F25" s="435"/>
      <c r="G25" s="439"/>
      <c r="H25" s="410"/>
      <c r="I25" s="410"/>
      <c r="J25" s="417"/>
      <c r="K25" s="435"/>
      <c r="L25" s="435"/>
      <c r="M25" s="439"/>
    </row>
    <row r="26" spans="1:13" ht="19.5">
      <c r="A26" s="416" t="s">
        <v>216</v>
      </c>
      <c r="B26" s="410"/>
      <c r="C26" s="410"/>
      <c r="D26" s="417"/>
      <c r="E26" s="435"/>
      <c r="F26" s="435"/>
      <c r="G26" s="439"/>
      <c r="H26" s="410"/>
      <c r="I26" s="410"/>
      <c r="J26" s="417"/>
      <c r="K26" s="435"/>
      <c r="L26" s="435"/>
      <c r="M26" s="439"/>
    </row>
    <row r="27" spans="1:13" ht="19.5">
      <c r="A27" s="423">
        <v>87149320005</v>
      </c>
      <c r="B27" s="426"/>
      <c r="C27" s="420"/>
      <c r="D27" s="425"/>
      <c r="E27" s="442"/>
      <c r="F27" s="442"/>
      <c r="G27" s="443"/>
      <c r="H27" s="426"/>
      <c r="I27" s="426"/>
      <c r="J27" s="425"/>
      <c r="K27" s="442"/>
      <c r="L27" s="442"/>
      <c r="M27" s="443"/>
    </row>
    <row r="28" spans="1:13" ht="19.5">
      <c r="A28" s="416" t="s">
        <v>217</v>
      </c>
      <c r="B28" s="410"/>
      <c r="C28" s="410">
        <v>530663</v>
      </c>
      <c r="D28" s="410">
        <v>20818790</v>
      </c>
      <c r="E28" s="435"/>
      <c r="F28" s="435">
        <f>C28+零件進出口!C28</f>
        <v>531111</v>
      </c>
      <c r="G28" s="439">
        <f>D28+零件進出口!D28</f>
        <v>20834659</v>
      </c>
      <c r="H28" s="410"/>
      <c r="I28" s="410">
        <v>204322</v>
      </c>
      <c r="J28" s="410">
        <v>6415566</v>
      </c>
      <c r="K28" s="435"/>
      <c r="L28" s="435">
        <f>I28+零件進出口!I28</f>
        <v>204576</v>
      </c>
      <c r="M28" s="439">
        <f>J28+零件進出口!J28</f>
        <v>6428553</v>
      </c>
    </row>
    <row r="29" spans="1:13" ht="19.5">
      <c r="A29" s="423">
        <v>87149410006</v>
      </c>
      <c r="B29" s="426"/>
      <c r="C29" s="420"/>
      <c r="D29" s="425"/>
      <c r="E29" s="442"/>
      <c r="F29" s="442"/>
      <c r="G29" s="443"/>
      <c r="H29" s="426"/>
      <c r="I29" s="426"/>
      <c r="J29" s="425"/>
      <c r="K29" s="442"/>
      <c r="L29" s="442"/>
      <c r="M29" s="443"/>
    </row>
    <row r="30" spans="1:13" ht="19.5">
      <c r="A30" s="416" t="s">
        <v>218</v>
      </c>
      <c r="B30" s="410"/>
      <c r="C30" s="410">
        <v>88720</v>
      </c>
      <c r="D30" s="410">
        <v>1463198</v>
      </c>
      <c r="E30" s="435"/>
      <c r="F30" s="435">
        <f>C30+零件進出口!C30</f>
        <v>96251</v>
      </c>
      <c r="G30" s="439">
        <f>D30+零件進出口!D30</f>
        <v>1635674</v>
      </c>
      <c r="H30" s="410"/>
      <c r="I30" s="410">
        <v>54798</v>
      </c>
      <c r="J30" s="410">
        <v>4934061</v>
      </c>
      <c r="K30" s="435"/>
      <c r="L30" s="435">
        <f>I30+零件進出口!I30</f>
        <v>57717</v>
      </c>
      <c r="M30" s="439">
        <f>J30+零件進出口!J30</f>
        <v>5229376</v>
      </c>
    </row>
    <row r="31" spans="1:13" ht="19.5">
      <c r="A31" s="416" t="s">
        <v>219</v>
      </c>
      <c r="B31" s="410"/>
      <c r="C31" s="410"/>
      <c r="D31" s="417"/>
      <c r="E31" s="435"/>
      <c r="F31" s="435"/>
      <c r="G31" s="439"/>
      <c r="H31" s="410"/>
      <c r="I31" s="410"/>
      <c r="J31" s="417"/>
      <c r="K31" s="435"/>
      <c r="L31" s="435"/>
      <c r="M31" s="439"/>
    </row>
    <row r="32" spans="1:13" ht="19.5">
      <c r="A32" s="423">
        <v>87149490009</v>
      </c>
      <c r="B32" s="426"/>
      <c r="C32" s="420"/>
      <c r="D32" s="425"/>
      <c r="E32" s="442"/>
      <c r="F32" s="442"/>
      <c r="G32" s="443"/>
      <c r="H32" s="426"/>
      <c r="I32" s="426"/>
      <c r="J32" s="425"/>
      <c r="K32" s="442"/>
      <c r="L32" s="442"/>
      <c r="M32" s="443"/>
    </row>
    <row r="33" spans="1:13" ht="19.5">
      <c r="A33" s="416" t="s">
        <v>220</v>
      </c>
      <c r="B33" s="410"/>
      <c r="C33" s="410">
        <v>2045021</v>
      </c>
      <c r="D33" s="410">
        <v>54909472</v>
      </c>
      <c r="E33" s="435"/>
      <c r="F33" s="435">
        <f>C33+零件進出口!C33</f>
        <v>2358100</v>
      </c>
      <c r="G33" s="439">
        <f>D33+零件進出口!D33</f>
        <v>68453064</v>
      </c>
      <c r="H33" s="410"/>
      <c r="I33" s="410">
        <v>921599</v>
      </c>
      <c r="J33" s="410">
        <v>46709171</v>
      </c>
      <c r="K33" s="435"/>
      <c r="L33" s="435">
        <f>I33+零件進出口!I33</f>
        <v>1072109</v>
      </c>
      <c r="M33" s="439">
        <f>J33+零件進出口!J33</f>
        <v>50780014</v>
      </c>
    </row>
    <row r="34" spans="1:13" ht="19.5">
      <c r="A34" s="416" t="s">
        <v>221</v>
      </c>
      <c r="B34" s="410"/>
      <c r="C34" s="410"/>
      <c r="D34" s="417"/>
      <c r="E34" s="435"/>
      <c r="F34" s="435"/>
      <c r="G34" s="439"/>
      <c r="H34" s="410"/>
      <c r="I34" s="410"/>
      <c r="J34" s="417"/>
      <c r="K34" s="435"/>
      <c r="L34" s="435"/>
      <c r="M34" s="439"/>
    </row>
    <row r="35" spans="1:13" ht="19.5">
      <c r="A35" s="423">
        <v>87149500007</v>
      </c>
      <c r="B35" s="426"/>
      <c r="C35" s="426"/>
      <c r="D35" s="425"/>
      <c r="E35" s="442"/>
      <c r="F35" s="442"/>
      <c r="G35" s="443"/>
      <c r="H35" s="426"/>
      <c r="I35" s="426"/>
      <c r="J35" s="425"/>
      <c r="K35" s="442"/>
      <c r="L35" s="442"/>
      <c r="M35" s="443"/>
    </row>
    <row r="36" spans="1:13" ht="19.5">
      <c r="A36" s="416" t="s">
        <v>222</v>
      </c>
      <c r="B36" s="410"/>
      <c r="C36" s="410">
        <v>884974</v>
      </c>
      <c r="D36" s="410">
        <v>17276648</v>
      </c>
      <c r="E36" s="435"/>
      <c r="F36" s="435">
        <f>C36+零件進出口!C36</f>
        <v>1010329</v>
      </c>
      <c r="G36" s="439">
        <f>D36+零件進出口!D36</f>
        <v>20115901</v>
      </c>
      <c r="H36" s="410"/>
      <c r="I36" s="410">
        <v>538901</v>
      </c>
      <c r="J36" s="410">
        <v>5669608</v>
      </c>
      <c r="K36" s="435"/>
      <c r="L36" s="435">
        <f>I36+零件進出口!I36</f>
        <v>585567</v>
      </c>
      <c r="M36" s="439">
        <f>J36+零件進出口!J36</f>
        <v>6532968</v>
      </c>
    </row>
    <row r="37" spans="1:13" ht="19.5">
      <c r="A37" s="423">
        <v>87149610004</v>
      </c>
      <c r="B37" s="426"/>
      <c r="C37" s="426"/>
      <c r="D37" s="425"/>
      <c r="E37" s="442"/>
      <c r="F37" s="442"/>
      <c r="G37" s="443"/>
      <c r="H37" s="426"/>
      <c r="I37" s="426"/>
      <c r="J37" s="425"/>
      <c r="K37" s="442"/>
      <c r="L37" s="442"/>
      <c r="M37" s="443"/>
    </row>
    <row r="38" spans="1:13" ht="19.5">
      <c r="A38" s="416" t="s">
        <v>223</v>
      </c>
      <c r="B38" s="410"/>
      <c r="C38" s="410">
        <v>1245872</v>
      </c>
      <c r="D38" s="410">
        <v>22883957</v>
      </c>
      <c r="E38" s="435"/>
      <c r="F38" s="435">
        <f>C38+零件進出口!C38</f>
        <v>1397319</v>
      </c>
      <c r="G38" s="439">
        <f>D38+零件進出口!D38</f>
        <v>26608514</v>
      </c>
      <c r="H38" s="410"/>
      <c r="I38" s="410">
        <v>237886</v>
      </c>
      <c r="J38" s="410">
        <v>1425309</v>
      </c>
      <c r="K38" s="435"/>
      <c r="L38" s="435">
        <f>I38+零件進出口!I38</f>
        <v>261007</v>
      </c>
      <c r="M38" s="439">
        <f>J38+零件進出口!J38</f>
        <v>1578823</v>
      </c>
    </row>
    <row r="39" spans="1:13" ht="19.5">
      <c r="A39" s="423">
        <v>87149620002</v>
      </c>
      <c r="B39" s="426"/>
      <c r="C39" s="420"/>
      <c r="D39" s="425"/>
      <c r="E39" s="442"/>
      <c r="F39" s="442"/>
      <c r="G39" s="443"/>
      <c r="H39" s="426"/>
      <c r="I39" s="426"/>
      <c r="J39" s="425"/>
      <c r="K39" s="442"/>
      <c r="L39" s="442"/>
      <c r="M39" s="443"/>
    </row>
    <row r="40" spans="1:13" ht="19.5">
      <c r="A40" s="416" t="s">
        <v>224</v>
      </c>
      <c r="B40" s="410"/>
      <c r="C40" s="410">
        <v>925442</v>
      </c>
      <c r="D40" s="410">
        <v>30910915</v>
      </c>
      <c r="E40" s="435"/>
      <c r="F40" s="435">
        <f>C40+零件進出口!C40</f>
        <v>1078886</v>
      </c>
      <c r="G40" s="439">
        <f>D40+零件進出口!D40</f>
        <v>38661693</v>
      </c>
      <c r="H40" s="410"/>
      <c r="I40" s="410">
        <v>842046</v>
      </c>
      <c r="J40" s="410">
        <v>15275875</v>
      </c>
      <c r="K40" s="435"/>
      <c r="L40" s="435">
        <f>I40+零件進出口!I40</f>
        <v>928840</v>
      </c>
      <c r="M40" s="439">
        <f>J40+零件進出口!J40</f>
        <v>16946898</v>
      </c>
    </row>
    <row r="41" spans="1:13" ht="19.5">
      <c r="A41" s="416" t="s">
        <v>219</v>
      </c>
      <c r="B41" s="410"/>
      <c r="C41" s="410"/>
      <c r="D41" s="417"/>
      <c r="E41" s="435"/>
      <c r="F41" s="435"/>
      <c r="G41" s="439"/>
      <c r="H41" s="410"/>
      <c r="I41" s="410"/>
      <c r="J41" s="417"/>
      <c r="K41" s="435"/>
      <c r="L41" s="435"/>
      <c r="M41" s="439"/>
    </row>
    <row r="42" spans="1:13" ht="19.5">
      <c r="A42" s="423">
        <v>73151100209</v>
      </c>
      <c r="B42" s="426"/>
      <c r="C42" s="420"/>
      <c r="D42" s="425"/>
      <c r="E42" s="442"/>
      <c r="F42" s="442"/>
      <c r="G42" s="443"/>
      <c r="H42" s="426"/>
      <c r="I42" s="426"/>
      <c r="J42" s="425"/>
      <c r="K42" s="442"/>
      <c r="L42" s="442"/>
      <c r="M42" s="443"/>
    </row>
    <row r="43" spans="1:13" ht="19.5">
      <c r="A43" s="416" t="s">
        <v>225</v>
      </c>
      <c r="B43" s="410"/>
      <c r="C43" s="410">
        <v>864681</v>
      </c>
      <c r="D43" s="410">
        <v>13712385</v>
      </c>
      <c r="E43" s="435"/>
      <c r="F43" s="435">
        <f>C43+零件進出口!C43</f>
        <v>942282</v>
      </c>
      <c r="G43" s="439">
        <f>D43+零件進出口!D43</f>
        <v>15071808</v>
      </c>
      <c r="H43" s="410"/>
      <c r="I43" s="410">
        <v>718655</v>
      </c>
      <c r="J43" s="410">
        <v>5078197</v>
      </c>
      <c r="K43" s="435"/>
      <c r="L43" s="435">
        <f>I43+零件進出口!I43</f>
        <v>767890</v>
      </c>
      <c r="M43" s="439">
        <f>J43+零件進出口!J43</f>
        <v>5982108</v>
      </c>
    </row>
    <row r="44" spans="1:13" ht="19.5">
      <c r="A44" s="416" t="s">
        <v>226</v>
      </c>
      <c r="B44" s="410"/>
      <c r="C44" s="410"/>
      <c r="D44" s="417"/>
      <c r="E44" s="435"/>
      <c r="F44" s="435"/>
      <c r="G44" s="439"/>
      <c r="H44" s="410"/>
      <c r="I44" s="410"/>
      <c r="J44" s="417"/>
      <c r="K44" s="435"/>
      <c r="L44" s="435"/>
      <c r="M44" s="439"/>
    </row>
    <row r="45" spans="1:13" ht="19.5">
      <c r="A45" s="423">
        <v>87149990111</v>
      </c>
      <c r="B45" s="426"/>
      <c r="C45" s="420"/>
      <c r="D45" s="425"/>
      <c r="E45" s="442"/>
      <c r="F45" s="442"/>
      <c r="G45" s="443"/>
      <c r="H45" s="426"/>
      <c r="I45" s="426"/>
      <c r="J45" s="425"/>
      <c r="K45" s="442"/>
      <c r="L45" s="442"/>
      <c r="M45" s="443"/>
    </row>
    <row r="46" spans="1:13" ht="19.5">
      <c r="A46" s="427" t="s">
        <v>227</v>
      </c>
      <c r="B46" s="410"/>
      <c r="C46" s="410">
        <v>328880</v>
      </c>
      <c r="D46" s="410">
        <v>23051456</v>
      </c>
      <c r="E46" s="435"/>
      <c r="F46" s="435">
        <f>C46+零件進出口!C46</f>
        <v>380611</v>
      </c>
      <c r="G46" s="439">
        <f>D46+零件進出口!D46</f>
        <v>29857538</v>
      </c>
      <c r="H46" s="410"/>
      <c r="I46" s="410">
        <v>320454</v>
      </c>
      <c r="J46" s="410">
        <v>21576546</v>
      </c>
      <c r="K46" s="435"/>
      <c r="L46" s="435">
        <f>I46+零件進出口!I46</f>
        <v>362928</v>
      </c>
      <c r="M46" s="439">
        <f>J46+零件進出口!J46</f>
        <v>23606098</v>
      </c>
    </row>
    <row r="47" spans="1:13" ht="19.5">
      <c r="A47" s="416" t="s">
        <v>228</v>
      </c>
      <c r="B47" s="410"/>
      <c r="C47" s="410"/>
      <c r="D47" s="417"/>
      <c r="E47" s="435"/>
      <c r="F47" s="435"/>
      <c r="G47" s="439"/>
      <c r="H47" s="410"/>
      <c r="I47" s="410"/>
      <c r="J47" s="417"/>
      <c r="K47" s="435"/>
      <c r="L47" s="435"/>
      <c r="M47" s="439"/>
    </row>
    <row r="48" spans="1:13" ht="19.5">
      <c r="A48" s="423">
        <v>87149990120</v>
      </c>
      <c r="B48" s="426"/>
      <c r="C48" s="420"/>
      <c r="D48" s="425"/>
      <c r="E48" s="442"/>
      <c r="F48" s="442"/>
      <c r="G48" s="443"/>
      <c r="H48" s="426"/>
      <c r="I48" s="426"/>
      <c r="J48" s="425"/>
      <c r="K48" s="442"/>
      <c r="L48" s="442"/>
      <c r="M48" s="443"/>
    </row>
    <row r="49" spans="1:13" ht="19.5">
      <c r="A49" s="416" t="s">
        <v>229</v>
      </c>
      <c r="B49" s="410"/>
      <c r="C49" s="410">
        <v>220604</v>
      </c>
      <c r="D49" s="410">
        <v>5918418</v>
      </c>
      <c r="E49" s="435"/>
      <c r="F49" s="435">
        <f>C49+零件進出口!C49</f>
        <v>382974</v>
      </c>
      <c r="G49" s="439">
        <f>D49+零件進出口!D49</f>
        <v>12295256</v>
      </c>
      <c r="H49" s="410"/>
      <c r="I49" s="410">
        <v>84711</v>
      </c>
      <c r="J49" s="410">
        <v>1026648</v>
      </c>
      <c r="K49" s="435"/>
      <c r="L49" s="435">
        <f>I49+零件進出口!I49</f>
        <v>102655</v>
      </c>
      <c r="M49" s="439">
        <f>J49+零件進出口!J49</f>
        <v>1651048</v>
      </c>
    </row>
    <row r="50" spans="1:13" ht="19.5">
      <c r="A50" s="423">
        <v>87149990139</v>
      </c>
      <c r="B50" s="426"/>
      <c r="C50" s="420"/>
      <c r="D50" s="425"/>
      <c r="E50" s="442"/>
      <c r="F50" s="442"/>
      <c r="G50" s="443"/>
      <c r="H50" s="426"/>
      <c r="I50" s="426"/>
      <c r="J50" s="425"/>
      <c r="K50" s="442"/>
      <c r="L50" s="442"/>
      <c r="M50" s="443"/>
    </row>
    <row r="51" spans="1:13" ht="19.5">
      <c r="A51" s="416" t="s">
        <v>230</v>
      </c>
      <c r="B51" s="410"/>
      <c r="C51" s="410">
        <v>130869</v>
      </c>
      <c r="D51" s="410">
        <v>1213180</v>
      </c>
      <c r="E51" s="435"/>
      <c r="F51" s="435">
        <f>C51+零件進出口!C51</f>
        <v>139345</v>
      </c>
      <c r="G51" s="439">
        <f>D51+零件進出口!D51</f>
        <v>1483121</v>
      </c>
      <c r="H51" s="410"/>
      <c r="I51" s="410">
        <v>55243</v>
      </c>
      <c r="J51" s="410">
        <v>200393</v>
      </c>
      <c r="K51" s="435"/>
      <c r="L51" s="435">
        <f>I51+零件進出口!I51</f>
        <v>63902</v>
      </c>
      <c r="M51" s="439">
        <f>J51+零件進出口!J51</f>
        <v>287595</v>
      </c>
    </row>
    <row r="52" spans="1:13" ht="19.5">
      <c r="A52" s="423">
        <v>87149990148</v>
      </c>
      <c r="B52" s="426"/>
      <c r="C52" s="420"/>
      <c r="D52" s="425"/>
      <c r="E52" s="442"/>
      <c r="F52" s="442"/>
      <c r="G52" s="443"/>
      <c r="H52" s="426"/>
      <c r="I52" s="426"/>
      <c r="J52" s="425"/>
      <c r="K52" s="442"/>
      <c r="L52" s="442"/>
      <c r="M52" s="442"/>
    </row>
    <row r="53" spans="1:13" ht="19.5">
      <c r="A53" s="428" t="s">
        <v>231</v>
      </c>
      <c r="B53" s="410"/>
      <c r="C53" s="410">
        <v>308816</v>
      </c>
      <c r="D53" s="410">
        <v>8651866</v>
      </c>
      <c r="E53" s="435"/>
      <c r="F53" s="435">
        <f>C53+零件進出口!C53</f>
        <v>367026</v>
      </c>
      <c r="G53" s="439">
        <f>D53+零件進出口!D53</f>
        <v>10608089</v>
      </c>
      <c r="H53" s="410"/>
      <c r="I53" s="410">
        <v>164995</v>
      </c>
      <c r="J53" s="410">
        <v>1692801</v>
      </c>
      <c r="K53" s="435"/>
      <c r="L53" s="435">
        <f>I53+零件進出口!I53</f>
        <v>172790</v>
      </c>
      <c r="M53" s="439">
        <f>J53+零件進出口!J53</f>
        <v>1931860</v>
      </c>
    </row>
    <row r="54" spans="1:13" ht="19.5">
      <c r="A54" s="416" t="s">
        <v>232</v>
      </c>
      <c r="B54" s="410"/>
      <c r="C54" s="410"/>
      <c r="D54" s="417"/>
      <c r="E54" s="435"/>
      <c r="F54" s="435"/>
      <c r="G54" s="439"/>
      <c r="H54" s="410"/>
      <c r="I54" s="410"/>
      <c r="J54" s="417"/>
      <c r="K54" s="435"/>
      <c r="L54" s="435"/>
      <c r="M54" s="439"/>
    </row>
    <row r="55" spans="1:13" ht="19.5">
      <c r="A55" s="423">
        <v>87149990157</v>
      </c>
      <c r="B55" s="426"/>
      <c r="C55" s="420"/>
      <c r="D55" s="425"/>
      <c r="E55" s="442"/>
      <c r="F55" s="442"/>
      <c r="G55" s="443"/>
      <c r="H55" s="426"/>
      <c r="I55" s="426"/>
      <c r="J55" s="425"/>
      <c r="K55" s="442"/>
      <c r="L55" s="442"/>
      <c r="M55" s="442"/>
    </row>
    <row r="56" spans="1:13" ht="19.5">
      <c r="A56" s="416" t="s">
        <v>233</v>
      </c>
      <c r="B56" s="410"/>
      <c r="C56" s="410">
        <v>634353</v>
      </c>
      <c r="D56" s="410">
        <v>20560130</v>
      </c>
      <c r="E56" s="435"/>
      <c r="F56" s="435">
        <f>C56+零件進出口!C56</f>
        <v>758219</v>
      </c>
      <c r="G56" s="439">
        <f>D56+零件進出口!D56</f>
        <v>25244264</v>
      </c>
      <c r="H56" s="410"/>
      <c r="I56" s="410">
        <v>327993</v>
      </c>
      <c r="J56" s="410">
        <v>4790193</v>
      </c>
      <c r="K56" s="435"/>
      <c r="L56" s="435">
        <f>I56+零件進出口!I56</f>
        <v>349037</v>
      </c>
      <c r="M56" s="439">
        <f>J56+零件進出口!J56</f>
        <v>5525604</v>
      </c>
    </row>
    <row r="57" spans="1:13" ht="19.5">
      <c r="A57" s="416" t="s">
        <v>234</v>
      </c>
      <c r="B57" s="410"/>
      <c r="C57" s="410"/>
      <c r="D57" s="417"/>
      <c r="E57" s="435"/>
      <c r="F57" s="435"/>
      <c r="G57" s="439"/>
      <c r="H57" s="410"/>
      <c r="I57" s="410"/>
      <c r="J57" s="417"/>
      <c r="K57" s="435"/>
      <c r="L57" s="435"/>
      <c r="M57" s="439"/>
    </row>
    <row r="58" spans="1:13" ht="19.5">
      <c r="A58" s="423">
        <v>87149990166</v>
      </c>
      <c r="B58" s="426"/>
      <c r="C58" s="420"/>
      <c r="D58" s="425"/>
      <c r="E58" s="442"/>
      <c r="F58" s="442"/>
      <c r="G58" s="443"/>
      <c r="H58" s="426"/>
      <c r="I58" s="426"/>
      <c r="J58" s="425"/>
      <c r="K58" s="442"/>
      <c r="L58" s="442"/>
      <c r="M58" s="442"/>
    </row>
    <row r="59" spans="1:13" ht="19.5">
      <c r="A59" s="416" t="s">
        <v>231</v>
      </c>
      <c r="B59" s="410"/>
      <c r="C59" s="410">
        <v>707464</v>
      </c>
      <c r="D59" s="410">
        <v>15326533</v>
      </c>
      <c r="E59" s="435"/>
      <c r="F59" s="435">
        <f>C59+零件進出口!C59</f>
        <v>787942</v>
      </c>
      <c r="G59" s="439">
        <f>D59+零件進出口!D59</f>
        <v>19002746</v>
      </c>
      <c r="H59" s="410"/>
      <c r="I59" s="410">
        <v>237007</v>
      </c>
      <c r="J59" s="410">
        <v>5480869</v>
      </c>
      <c r="K59" s="435"/>
      <c r="L59" s="435">
        <f>I59+零件進出口!I59</f>
        <v>264731</v>
      </c>
      <c r="M59" s="439">
        <f>J59+零件進出口!J59</f>
        <v>7858555</v>
      </c>
    </row>
    <row r="60" spans="1:13" ht="19.5">
      <c r="A60" s="423">
        <v>40115000008</v>
      </c>
      <c r="B60" s="426"/>
      <c r="C60" s="426"/>
      <c r="D60" s="425"/>
      <c r="E60" s="442"/>
      <c r="F60" s="442"/>
      <c r="G60" s="443"/>
      <c r="H60" s="426"/>
      <c r="I60" s="426"/>
      <c r="J60" s="425"/>
      <c r="K60" s="442"/>
      <c r="L60" s="442"/>
      <c r="M60" s="442"/>
    </row>
    <row r="61" spans="1:13" ht="19.5">
      <c r="A61" s="416" t="s">
        <v>235</v>
      </c>
      <c r="B61" s="410"/>
      <c r="C61" s="410">
        <v>2114401</v>
      </c>
      <c r="D61" s="410">
        <v>28100234</v>
      </c>
      <c r="E61" s="435"/>
      <c r="F61" s="435">
        <f>C61+零件進出口!C61</f>
        <v>2454333</v>
      </c>
      <c r="G61" s="439">
        <f>D61+零件進出口!D61</f>
        <v>33869730</v>
      </c>
      <c r="H61" s="410"/>
      <c r="I61" s="410">
        <v>1001637</v>
      </c>
      <c r="J61" s="410">
        <v>8168165</v>
      </c>
      <c r="K61" s="435"/>
      <c r="L61" s="435">
        <f>I61+零件進出口!I61</f>
        <v>1114170</v>
      </c>
      <c r="M61" s="439">
        <f>J61+零件進出口!J61</f>
        <v>9305131</v>
      </c>
    </row>
    <row r="62" spans="1:13" ht="19.5">
      <c r="A62" s="416" t="s">
        <v>236</v>
      </c>
      <c r="B62" s="3" t="s">
        <v>205</v>
      </c>
      <c r="C62" s="410">
        <v>3127467</v>
      </c>
      <c r="D62" s="417" t="s">
        <v>213</v>
      </c>
      <c r="E62" s="155" t="s">
        <v>205</v>
      </c>
      <c r="F62" s="435">
        <f>C62+零件進出口!C62</f>
        <v>3537294</v>
      </c>
      <c r="G62" s="439" t="s">
        <v>213</v>
      </c>
      <c r="H62" s="410" t="s">
        <v>205</v>
      </c>
      <c r="I62" s="410">
        <v>1583305</v>
      </c>
      <c r="J62" s="417" t="s">
        <v>213</v>
      </c>
      <c r="K62" s="435" t="s">
        <v>205</v>
      </c>
      <c r="L62" s="435">
        <f>I62+零件進出口!I62</f>
        <v>1751850</v>
      </c>
      <c r="M62" s="439"/>
    </row>
    <row r="63" spans="1:13" ht="19.5">
      <c r="A63" s="423">
        <v>40132000003</v>
      </c>
      <c r="B63" s="426"/>
      <c r="C63" s="426"/>
      <c r="D63" s="425"/>
      <c r="E63" s="442"/>
      <c r="F63" s="442"/>
      <c r="G63" s="443"/>
      <c r="H63" s="426"/>
      <c r="I63" s="426"/>
      <c r="J63" s="425"/>
      <c r="K63" s="442"/>
      <c r="L63" s="442"/>
      <c r="M63" s="443"/>
    </row>
    <row r="64" spans="1:13" ht="19.5">
      <c r="A64" s="416" t="s">
        <v>238</v>
      </c>
      <c r="B64" s="410"/>
      <c r="C64" s="410">
        <v>955102</v>
      </c>
      <c r="D64" s="410">
        <v>8273393</v>
      </c>
      <c r="E64" s="435"/>
      <c r="F64" s="435">
        <f>C64+零件進出口!C64</f>
        <v>979820</v>
      </c>
      <c r="G64" s="439">
        <f>D64+零件進出口!D64</f>
        <v>8544663</v>
      </c>
      <c r="H64" s="410"/>
      <c r="I64" s="410">
        <v>193723</v>
      </c>
      <c r="J64" s="410">
        <v>875791</v>
      </c>
      <c r="K64" s="435"/>
      <c r="L64" s="435">
        <f>I64+零件進出口!I64</f>
        <v>239738</v>
      </c>
      <c r="M64" s="439">
        <f>J64+零件進出口!J64</f>
        <v>1197584</v>
      </c>
    </row>
    <row r="65" spans="1:13" ht="19.5">
      <c r="A65" s="416" t="s">
        <v>239</v>
      </c>
      <c r="B65" s="3" t="s">
        <v>205</v>
      </c>
      <c r="C65" s="410">
        <v>5680379</v>
      </c>
      <c r="D65" s="417" t="s">
        <v>213</v>
      </c>
      <c r="E65" s="155" t="s">
        <v>205</v>
      </c>
      <c r="F65" s="435">
        <f>C65+零件進出口!C65</f>
        <v>5825749</v>
      </c>
      <c r="G65" s="439" t="s">
        <v>213</v>
      </c>
      <c r="H65" s="410" t="s">
        <v>205</v>
      </c>
      <c r="I65" s="410">
        <v>1032754</v>
      </c>
      <c r="J65" s="417" t="s">
        <v>213</v>
      </c>
      <c r="K65" s="435" t="s">
        <v>205</v>
      </c>
      <c r="L65" s="435">
        <f>I65+零件進出口!I65</f>
        <v>1272277</v>
      </c>
      <c r="M65" s="439" t="s">
        <v>213</v>
      </c>
    </row>
    <row r="66" spans="1:13" ht="19.5">
      <c r="A66" s="416"/>
      <c r="B66" s="410"/>
      <c r="C66" s="410"/>
      <c r="D66" s="417"/>
      <c r="E66" s="435"/>
      <c r="F66" s="435"/>
      <c r="G66" s="439"/>
      <c r="H66" s="410"/>
      <c r="I66" s="410"/>
      <c r="J66" s="417"/>
      <c r="K66" s="435"/>
      <c r="L66" s="435"/>
      <c r="M66" s="439"/>
    </row>
    <row r="67" spans="1:13" ht="19.5">
      <c r="A67" s="367" t="s">
        <v>240</v>
      </c>
      <c r="B67" s="432"/>
      <c r="C67" s="432">
        <f>SUM(C6:C66)-C65-C62-C20-C17-C11-C8-C14</f>
        <v>17964532</v>
      </c>
      <c r="D67" s="433">
        <f>SUM(D7:D66)</f>
        <v>535864047</v>
      </c>
      <c r="E67" s="444"/>
      <c r="F67" s="444">
        <f>C67+零件進出口!C67</f>
        <v>20547068</v>
      </c>
      <c r="G67" s="445" t="e">
        <f>SUM(G7:G66)</f>
        <v>#VALUE!</v>
      </c>
      <c r="H67" s="432"/>
      <c r="I67" s="432">
        <f>SUM(I6:I66)-I65-I62-I20-I17-I11-I8</f>
        <v>10080736</v>
      </c>
      <c r="J67" s="433">
        <f>SUM(J6:J66)</f>
        <v>280078561</v>
      </c>
      <c r="K67" s="444"/>
      <c r="L67" s="444">
        <f>SUM(L6:L66)-L65-L62-L20-L17-L11-L8</f>
        <v>11169234</v>
      </c>
      <c r="M67" s="445">
        <f>SUM(M6:M66)</f>
        <v>322604692</v>
      </c>
    </row>
    <row r="68" spans="1:13">
      <c r="A68" s="3"/>
      <c r="B68" s="410"/>
      <c r="C68" s="410"/>
      <c r="D68" s="4"/>
      <c r="E68" s="435"/>
      <c r="F68" s="435"/>
      <c r="G68" s="116"/>
      <c r="H68" s="410"/>
      <c r="I68" s="410"/>
      <c r="J68" s="410"/>
      <c r="K68" s="435"/>
      <c r="L68" s="435"/>
      <c r="M68" s="435"/>
    </row>
    <row r="69" spans="1:13">
      <c r="A69" s="57" t="s">
        <v>88</v>
      </c>
      <c r="B69" s="3"/>
      <c r="C69" s="3"/>
      <c r="D69" s="3"/>
      <c r="E69" s="155"/>
      <c r="F69" s="155"/>
      <c r="G69" s="155"/>
      <c r="H69" s="3"/>
      <c r="I69" s="3"/>
      <c r="J69" s="3"/>
      <c r="K69" s="155"/>
      <c r="L69" s="155"/>
      <c r="M69" s="155"/>
    </row>
    <row r="70" spans="1:13" ht="18">
      <c r="A70" s="156" t="s">
        <v>89</v>
      </c>
      <c r="B70" s="61"/>
      <c r="C70" s="62"/>
      <c r="D70" s="64"/>
      <c r="E70" s="62"/>
      <c r="F70" s="62"/>
      <c r="G70" s="62"/>
      <c r="H70" s="60"/>
      <c r="I70" s="60"/>
      <c r="J70" s="60"/>
      <c r="K70" s="446"/>
      <c r="L70" s="446"/>
      <c r="M70" s="446"/>
    </row>
  </sheetData>
  <mergeCells count="1">
    <mergeCell ref="A1:M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__o�_1">
    <pageSetUpPr fitToPage="1"/>
  </sheetPr>
  <dimension ref="A1:J74"/>
  <sheetViews>
    <sheetView zoomScaleNormal="100" workbookViewId="0">
      <selection activeCell="A2" sqref="A2"/>
    </sheetView>
  </sheetViews>
  <sheetFormatPr defaultRowHeight="16.5"/>
  <cols>
    <col min="1" max="1" width="17.125" customWidth="1"/>
    <col min="2" max="2" width="11.625" customWidth="1"/>
    <col min="3" max="3" width="13.5" customWidth="1"/>
    <col min="4" max="4" width="12.5" customWidth="1"/>
    <col min="5" max="5" width="14.875" customWidth="1"/>
    <col min="6" max="6" width="16.5" bestFit="1" customWidth="1"/>
    <col min="7" max="7" width="12" customWidth="1"/>
    <col min="8" max="8" width="12.5" customWidth="1"/>
    <col min="9" max="9" width="12.625" customWidth="1"/>
    <col min="10" max="10" width="10.75" customWidth="1"/>
  </cols>
  <sheetData>
    <row r="1" spans="1:10" ht="23.25">
      <c r="A1" s="1" t="s">
        <v>477</v>
      </c>
      <c r="B1" s="66"/>
      <c r="C1" s="67"/>
      <c r="D1" s="68"/>
      <c r="E1" s="66"/>
      <c r="F1" s="67"/>
      <c r="G1" s="68"/>
      <c r="H1" s="69"/>
      <c r="I1" s="70"/>
      <c r="J1" s="68"/>
    </row>
    <row r="2" spans="1:10" ht="8.25" customHeight="1">
      <c r="A2" s="3"/>
      <c r="B2" s="4"/>
      <c r="C2" s="71"/>
      <c r="D2" s="72"/>
      <c r="E2" s="4"/>
      <c r="F2" s="71"/>
      <c r="G2" s="72"/>
      <c r="H2" s="73"/>
      <c r="I2" s="74"/>
      <c r="J2" s="72"/>
    </row>
    <row r="3" spans="1:10">
      <c r="A3" s="760" t="s">
        <v>0</v>
      </c>
      <c r="B3" s="761"/>
      <c r="C3" s="761"/>
      <c r="D3" s="761"/>
      <c r="E3" s="761"/>
      <c r="F3" s="761"/>
      <c r="G3" s="761"/>
      <c r="H3" s="761"/>
      <c r="I3" s="761"/>
      <c r="J3" s="762"/>
    </row>
    <row r="4" spans="1:10">
      <c r="A4" s="75" t="s">
        <v>478</v>
      </c>
      <c r="B4" s="6" t="s">
        <v>448</v>
      </c>
      <c r="C4" s="76" t="s">
        <v>449</v>
      </c>
      <c r="D4" s="77" t="s">
        <v>61</v>
      </c>
      <c r="E4" s="6" t="s">
        <v>448</v>
      </c>
      <c r="F4" s="76" t="s">
        <v>449</v>
      </c>
      <c r="G4" s="78" t="s">
        <v>317</v>
      </c>
      <c r="H4" s="6" t="s">
        <v>448</v>
      </c>
      <c r="I4" s="76" t="s">
        <v>449</v>
      </c>
      <c r="J4" s="78" t="s">
        <v>318</v>
      </c>
    </row>
    <row r="5" spans="1:10">
      <c r="A5" s="12"/>
      <c r="B5" s="6" t="s">
        <v>62</v>
      </c>
      <c r="C5" s="79" t="s">
        <v>62</v>
      </c>
      <c r="D5" s="80" t="s">
        <v>2</v>
      </c>
      <c r="E5" s="81" t="s">
        <v>63</v>
      </c>
      <c r="F5" s="79" t="s">
        <v>63</v>
      </c>
      <c r="G5" s="80" t="s">
        <v>2</v>
      </c>
      <c r="H5" s="82" t="s">
        <v>64</v>
      </c>
      <c r="I5" s="83" t="s">
        <v>65</v>
      </c>
      <c r="J5" s="80" t="s">
        <v>2</v>
      </c>
    </row>
    <row r="6" spans="1:10">
      <c r="A6" s="84" t="s">
        <v>7</v>
      </c>
      <c r="B6" s="16"/>
      <c r="C6" s="85"/>
      <c r="D6" s="86"/>
      <c r="E6" s="16"/>
      <c r="F6" s="85"/>
      <c r="G6" s="86"/>
      <c r="H6" s="87"/>
      <c r="I6" s="88"/>
      <c r="J6" s="86"/>
    </row>
    <row r="7" spans="1:10">
      <c r="A7" s="84" t="s">
        <v>8</v>
      </c>
      <c r="B7" s="21">
        <f>SUM(B8:B10)</f>
        <v>47025</v>
      </c>
      <c r="C7" s="89">
        <f>SUM(C8:C10)</f>
        <v>47354</v>
      </c>
      <c r="D7" s="90">
        <f>IF(C7,(B7-C7)/C7,0)</f>
        <v>-6.9476707353127512E-3</v>
      </c>
      <c r="E7" s="21">
        <f>SUM(E8:E10)</f>
        <v>34994091</v>
      </c>
      <c r="F7" s="89">
        <f>SUM(F8:F10)</f>
        <v>36429971</v>
      </c>
      <c r="G7" s="94">
        <f>IF(F7,(E7-F7)/F7,0)</f>
        <v>-3.9414799424353095E-2</v>
      </c>
      <c r="H7" s="91">
        <f>IF(B7,E7/B7,0)</f>
        <v>744.15929824561408</v>
      </c>
      <c r="I7" s="92">
        <f>IF(C7,F7/C7,0)</f>
        <v>769.31137813067539</v>
      </c>
      <c r="J7" s="94">
        <f>IF(I7,(H7-I7)/I7,0)</f>
        <v>-3.2694277765886591E-2</v>
      </c>
    </row>
    <row r="8" spans="1:10">
      <c r="A8" s="24" t="s">
        <v>342</v>
      </c>
      <c r="B8" s="26">
        <f>整車出口!E8</f>
        <v>42812</v>
      </c>
      <c r="C8" s="93">
        <f>VLOOKUP(A8,[3]進出口值表查詢結果!$A$10:$C$66,3,0)</f>
        <v>43828</v>
      </c>
      <c r="D8" s="90">
        <f t="shared" ref="D8:D66" si="0">IF(C8,(B8-C8)/C8,0)</f>
        <v>-2.3181527790453592E-2</v>
      </c>
      <c r="E8" s="26">
        <f>整車出口!G8</f>
        <v>28874540</v>
      </c>
      <c r="F8" s="93">
        <f>VLOOKUP(A8,[3]進出口值表查詢結果!$A$10:$C$66,2,0)</f>
        <v>31995482</v>
      </c>
      <c r="G8" s="94">
        <f t="shared" ref="G8:G66" si="1">IF(F8,(E8-F8)/F8,0)</f>
        <v>-9.7543209381874607E-2</v>
      </c>
      <c r="H8" s="91">
        <f t="shared" ref="H8:H10" si="2">IF(B8,E8/B8,0)</f>
        <v>674.44968700364382</v>
      </c>
      <c r="I8" s="92">
        <f t="shared" ref="I8:I10" si="3">IF(C8,F8/C8,0)</f>
        <v>730.02377475586388</v>
      </c>
      <c r="J8" s="94">
        <f t="shared" ref="J8:J66" si="4">IF(I8,(H8-I8)/I8,0)</f>
        <v>-7.6126408034868823E-2</v>
      </c>
    </row>
    <row r="9" spans="1:10">
      <c r="A9" s="29" t="s">
        <v>9</v>
      </c>
      <c r="B9" s="26">
        <f>整車出口!E9</f>
        <v>4040</v>
      </c>
      <c r="C9" s="93">
        <f>VLOOKUP(A9,[3]進出口值表查詢結果!$A$10:$C$66,3,0)</f>
        <v>2730</v>
      </c>
      <c r="D9" s="90">
        <f t="shared" si="0"/>
        <v>0.47985347985347987</v>
      </c>
      <c r="E9" s="26">
        <f>整車出口!G9</f>
        <v>5747268</v>
      </c>
      <c r="F9" s="93">
        <f>VLOOKUP(A9,[3]進出口值表查詢結果!$A$10:$C$66,2,0)</f>
        <v>3540341</v>
      </c>
      <c r="G9" s="94">
        <f t="shared" si="1"/>
        <v>0.62336565884472706</v>
      </c>
      <c r="H9" s="91">
        <f t="shared" si="2"/>
        <v>1422.5910891089109</v>
      </c>
      <c r="I9" s="92">
        <f t="shared" si="3"/>
        <v>1296.8282051282051</v>
      </c>
      <c r="J9" s="94">
        <f t="shared" si="4"/>
        <v>9.6977289268837849E-2</v>
      </c>
    </row>
    <row r="10" spans="1:10">
      <c r="A10" s="29" t="s">
        <v>10</v>
      </c>
      <c r="B10" s="26">
        <f>整車出口!E10</f>
        <v>173</v>
      </c>
      <c r="C10" s="93">
        <f>VLOOKUP(A10,[3]進出口值表查詢結果!$A$10:$C$66,3,0)</f>
        <v>796</v>
      </c>
      <c r="D10" s="90">
        <f t="shared" si="0"/>
        <v>-0.78266331658291455</v>
      </c>
      <c r="E10" s="26">
        <f>整車出口!G10</f>
        <v>372283</v>
      </c>
      <c r="F10" s="93">
        <f>VLOOKUP(A10,[3]進出口值表查詢結果!$A$10:$C$66,2,0)</f>
        <v>894148</v>
      </c>
      <c r="G10" s="94">
        <f t="shared" si="1"/>
        <v>-0.58364498942009602</v>
      </c>
      <c r="H10" s="91">
        <f t="shared" si="2"/>
        <v>2151.9248554913293</v>
      </c>
      <c r="I10" s="92">
        <f t="shared" si="3"/>
        <v>1123.3015075376884</v>
      </c>
      <c r="J10" s="94">
        <f t="shared" si="4"/>
        <v>0.91571438393990501</v>
      </c>
    </row>
    <row r="11" spans="1:10">
      <c r="A11" s="29"/>
      <c r="B11" s="26"/>
      <c r="C11" s="95"/>
      <c r="D11" s="90"/>
      <c r="E11" s="25"/>
      <c r="F11" s="95"/>
      <c r="G11" s="94"/>
      <c r="H11" s="91"/>
      <c r="I11" s="92"/>
      <c r="J11" s="94"/>
    </row>
    <row r="12" spans="1:10">
      <c r="A12" s="30" t="s">
        <v>11</v>
      </c>
      <c r="B12" s="31">
        <f>SUM(B13:B39)</f>
        <v>35354</v>
      </c>
      <c r="C12" s="98">
        <f>SUM(C13:C39)</f>
        <v>38007</v>
      </c>
      <c r="D12" s="90">
        <f t="shared" si="0"/>
        <v>-6.9802931039019134E-2</v>
      </c>
      <c r="E12" s="31">
        <f>SUM(E13:E39)</f>
        <v>40213819</v>
      </c>
      <c r="F12" s="98">
        <f>SUM(F13:F39)</f>
        <v>41832788</v>
      </c>
      <c r="G12" s="94">
        <f t="shared" si="1"/>
        <v>-3.8700958683413597E-2</v>
      </c>
      <c r="H12" s="91">
        <f t="shared" ref="H12:H66" si="5">IF(B12,E12/B12,0)</f>
        <v>1137.4616450755218</v>
      </c>
      <c r="I12" s="92">
        <f t="shared" ref="I12:I66" si="6">IF(C12,F12/C12,0)</f>
        <v>1100.6600889309864</v>
      </c>
      <c r="J12" s="94">
        <f t="shared" si="4"/>
        <v>3.3435895890691243E-2</v>
      </c>
    </row>
    <row r="13" spans="1:10">
      <c r="A13" s="24" t="s">
        <v>322</v>
      </c>
      <c r="B13" s="26">
        <f>整車出口!E13</f>
        <v>12372</v>
      </c>
      <c r="C13" s="93">
        <f>VLOOKUP(A13,[3]進出口值表查詢結果!$A$10:$C$66,3,0)</f>
        <v>15199</v>
      </c>
      <c r="D13" s="90">
        <f t="shared" si="0"/>
        <v>-0.18599907888676886</v>
      </c>
      <c r="E13" s="26">
        <f>整車出口!G13</f>
        <v>21793008</v>
      </c>
      <c r="F13" s="93">
        <f>VLOOKUP(A13,[3]進出口值表查詢結果!$A$10:$C$66,2,0)</f>
        <v>23076961</v>
      </c>
      <c r="G13" s="94">
        <f t="shared" si="1"/>
        <v>-5.5637871901763843E-2</v>
      </c>
      <c r="H13" s="91">
        <f t="shared" si="5"/>
        <v>1761.478176527643</v>
      </c>
      <c r="I13" s="92">
        <f t="shared" si="6"/>
        <v>1518.3210079610501</v>
      </c>
      <c r="J13" s="94">
        <f t="shared" si="4"/>
        <v>0.16014872170749195</v>
      </c>
    </row>
    <row r="14" spans="1:10">
      <c r="A14" s="24" t="s">
        <v>323</v>
      </c>
      <c r="B14" s="26">
        <f>整車出口!E14</f>
        <v>7679</v>
      </c>
      <c r="C14" s="93">
        <f>VLOOKUP(A14,[3]進出口值表查詢結果!$A$10:$C$66,3,0)</f>
        <v>6801</v>
      </c>
      <c r="D14" s="90">
        <f t="shared" si="0"/>
        <v>0.12909866196147626</v>
      </c>
      <c r="E14" s="26">
        <f>整車出口!G14</f>
        <v>6501027</v>
      </c>
      <c r="F14" s="93">
        <f>VLOOKUP(A14,[3]進出口值表查詢結果!$A$10:$C$66,2,0)</f>
        <v>4281334</v>
      </c>
      <c r="G14" s="94">
        <f t="shared" si="1"/>
        <v>0.5184582655779717</v>
      </c>
      <c r="H14" s="91">
        <f t="shared" si="5"/>
        <v>846.5981247558276</v>
      </c>
      <c r="I14" s="92">
        <f t="shared" si="6"/>
        <v>629.51536538744301</v>
      </c>
      <c r="J14" s="94">
        <f t="shared" si="4"/>
        <v>0.34484108141630238</v>
      </c>
    </row>
    <row r="15" spans="1:10">
      <c r="A15" s="29" t="s">
        <v>14</v>
      </c>
      <c r="B15" s="26">
        <f>整車出口!E15</f>
        <v>1180</v>
      </c>
      <c r="C15" s="93">
        <f>VLOOKUP(A15,[3]進出口值表查詢結果!$A$10:$C$66,3,0)</f>
        <v>2039</v>
      </c>
      <c r="D15" s="90">
        <f t="shared" si="0"/>
        <v>-0.42128494359980384</v>
      </c>
      <c r="E15" s="26">
        <f>整車出口!G15</f>
        <v>1674120</v>
      </c>
      <c r="F15" s="93">
        <f>VLOOKUP(A15,[3]進出口值表查詢結果!$A$10:$C$66,2,0)</f>
        <v>3401313</v>
      </c>
      <c r="G15" s="94">
        <f t="shared" si="1"/>
        <v>-0.50780184005412032</v>
      </c>
      <c r="H15" s="91">
        <f t="shared" si="5"/>
        <v>1418.7457627118645</v>
      </c>
      <c r="I15" s="92">
        <f t="shared" si="6"/>
        <v>1668.1280039234919</v>
      </c>
      <c r="J15" s="94">
        <f t="shared" si="4"/>
        <v>-0.14949826429690777</v>
      </c>
    </row>
    <row r="16" spans="1:10">
      <c r="A16" s="24" t="s">
        <v>325</v>
      </c>
      <c r="B16" s="26">
        <f>整車出口!E16</f>
        <v>2149</v>
      </c>
      <c r="C16" s="93">
        <f>VLOOKUP(A16,[3]進出口值表查詢結果!$A$10:$C$66,3,0)</f>
        <v>1545</v>
      </c>
      <c r="D16" s="90">
        <f t="shared" si="0"/>
        <v>0.39093851132686086</v>
      </c>
      <c r="E16" s="26">
        <f>整車出口!G16</f>
        <v>3765910</v>
      </c>
      <c r="F16" s="93">
        <f>VLOOKUP(A16,[3]進出口值表查詢結果!$A$10:$C$66,2,0)</f>
        <v>2447174</v>
      </c>
      <c r="G16" s="94">
        <f t="shared" si="1"/>
        <v>0.5388811747754757</v>
      </c>
      <c r="H16" s="91">
        <f t="shared" si="5"/>
        <v>1752.4011167985109</v>
      </c>
      <c r="I16" s="92">
        <f t="shared" si="6"/>
        <v>1583.9313915857606</v>
      </c>
      <c r="J16" s="94">
        <f t="shared" si="4"/>
        <v>0.10636175664407156</v>
      </c>
    </row>
    <row r="17" spans="1:10">
      <c r="A17" s="29" t="s">
        <v>17</v>
      </c>
      <c r="B17" s="26">
        <f>整車出口!E17</f>
        <v>1171</v>
      </c>
      <c r="C17" s="93">
        <f>VLOOKUP(A17,[3]進出口值表查詢結果!$A$10:$C$66,3,0)</f>
        <v>1523</v>
      </c>
      <c r="D17" s="90">
        <f t="shared" si="0"/>
        <v>-0.23112278397898883</v>
      </c>
      <c r="E17" s="26">
        <f>整車出口!G17</f>
        <v>1654527</v>
      </c>
      <c r="F17" s="93">
        <f>VLOOKUP(A17,[3]進出口值表查詢結果!$A$10:$C$66,2,0)</f>
        <v>2041897</v>
      </c>
      <c r="G17" s="94">
        <f t="shared" si="1"/>
        <v>-0.1897108424176146</v>
      </c>
      <c r="H17" s="91">
        <f t="shared" si="5"/>
        <v>1412.9180187873612</v>
      </c>
      <c r="I17" s="92">
        <f t="shared" si="6"/>
        <v>1340.7071569271175</v>
      </c>
      <c r="J17" s="94">
        <f t="shared" si="4"/>
        <v>5.3860279246774577E-2</v>
      </c>
    </row>
    <row r="18" spans="1:10">
      <c r="A18" s="29" t="s">
        <v>18</v>
      </c>
      <c r="B18" s="26">
        <f>整車出口!E18</f>
        <v>867</v>
      </c>
      <c r="C18" s="93">
        <f>VLOOKUP(A18,[3]進出口值表查詢結果!$A$10:$C$66,3,0)</f>
        <v>1788</v>
      </c>
      <c r="D18" s="90">
        <f t="shared" si="0"/>
        <v>-0.5151006711409396</v>
      </c>
      <c r="E18" s="26">
        <f>整車出口!G18</f>
        <v>1557825</v>
      </c>
      <c r="F18" s="93">
        <f>VLOOKUP(A18,[3]進出口值表查詢結果!$A$10:$C$66,2,0)</f>
        <v>3177566</v>
      </c>
      <c r="G18" s="94">
        <f t="shared" si="1"/>
        <v>-0.50974267725674305</v>
      </c>
      <c r="H18" s="91">
        <f t="shared" si="5"/>
        <v>1796.7993079584776</v>
      </c>
      <c r="I18" s="92">
        <f t="shared" si="6"/>
        <v>1777.1621923937359</v>
      </c>
      <c r="J18" s="94">
        <f t="shared" si="4"/>
        <v>1.1049703650453852E-2</v>
      </c>
    </row>
    <row r="19" spans="1:10">
      <c r="A19" s="24" t="s">
        <v>326</v>
      </c>
      <c r="B19" s="26">
        <f>整車出口!E19</f>
        <v>4251</v>
      </c>
      <c r="C19" s="93">
        <f>VLOOKUP(A19,[3]進出口值表查詢結果!$A$10:$C$66,3,0)</f>
        <v>2530</v>
      </c>
      <c r="D19" s="90">
        <f t="shared" si="0"/>
        <v>0.68023715415019759</v>
      </c>
      <c r="E19" s="26">
        <f>整車出口!G19</f>
        <v>451314</v>
      </c>
      <c r="F19" s="93">
        <f>VLOOKUP(A19,[3]進出口值表查詢結果!$A$10:$C$66,2,0)</f>
        <v>376158</v>
      </c>
      <c r="G19" s="94">
        <f t="shared" si="1"/>
        <v>0.19979902062431212</v>
      </c>
      <c r="H19" s="91">
        <f t="shared" si="5"/>
        <v>106.166549047283</v>
      </c>
      <c r="I19" s="92">
        <f t="shared" si="6"/>
        <v>148.67905138339921</v>
      </c>
      <c r="J19" s="94">
        <f t="shared" si="4"/>
        <v>-0.28593471602458015</v>
      </c>
    </row>
    <row r="20" spans="1:10">
      <c r="A20" s="29" t="s">
        <v>67</v>
      </c>
      <c r="B20" s="26">
        <f>整車出口!E20</f>
        <v>0</v>
      </c>
      <c r="C20" s="93">
        <v>0</v>
      </c>
      <c r="D20" s="90">
        <f t="shared" si="0"/>
        <v>0</v>
      </c>
      <c r="E20" s="26">
        <f>整車出口!G20</f>
        <v>0</v>
      </c>
      <c r="F20" s="93">
        <v>0</v>
      </c>
      <c r="G20" s="94">
        <f t="shared" si="1"/>
        <v>0</v>
      </c>
      <c r="H20" s="91">
        <f t="shared" si="5"/>
        <v>0</v>
      </c>
      <c r="I20" s="92">
        <f t="shared" si="6"/>
        <v>0</v>
      </c>
      <c r="J20" s="94">
        <f t="shared" si="4"/>
        <v>0</v>
      </c>
    </row>
    <row r="21" spans="1:10">
      <c r="A21" s="24" t="s">
        <v>327</v>
      </c>
      <c r="B21" s="26">
        <f>整車出口!E21</f>
        <v>5</v>
      </c>
      <c r="C21" s="93">
        <v>0</v>
      </c>
      <c r="D21" s="90">
        <f t="shared" si="0"/>
        <v>0</v>
      </c>
      <c r="E21" s="26">
        <f>整車出口!G21</f>
        <v>7728</v>
      </c>
      <c r="F21" s="93">
        <v>0</v>
      </c>
      <c r="G21" s="94">
        <f t="shared" si="1"/>
        <v>0</v>
      </c>
      <c r="H21" s="91">
        <f t="shared" si="5"/>
        <v>1545.6</v>
      </c>
      <c r="I21" s="92">
        <f t="shared" si="6"/>
        <v>0</v>
      </c>
      <c r="J21" s="94">
        <f t="shared" si="4"/>
        <v>0</v>
      </c>
    </row>
    <row r="22" spans="1:10">
      <c r="A22" s="29" t="s">
        <v>22</v>
      </c>
      <c r="B22" s="26">
        <f>整車出口!E22</f>
        <v>0</v>
      </c>
      <c r="C22" s="93">
        <v>0</v>
      </c>
      <c r="D22" s="90">
        <f t="shared" si="0"/>
        <v>0</v>
      </c>
      <c r="E22" s="26">
        <f>整車出口!G22</f>
        <v>0</v>
      </c>
      <c r="F22" s="93">
        <f>_xlfn.IFNA(VLOOKUP(A22,[4]出!$C$11:$J$116,3,0),-[5]整車!$B$22)</f>
        <v>0</v>
      </c>
      <c r="G22" s="94">
        <f t="shared" si="1"/>
        <v>0</v>
      </c>
      <c r="H22" s="91">
        <f t="shared" si="5"/>
        <v>0</v>
      </c>
      <c r="I22" s="92">
        <f t="shared" si="6"/>
        <v>0</v>
      </c>
      <c r="J22" s="94">
        <f t="shared" si="4"/>
        <v>0</v>
      </c>
    </row>
    <row r="23" spans="1:10">
      <c r="A23" s="29" t="s">
        <v>23</v>
      </c>
      <c r="B23" s="26">
        <f>整車出口!E23</f>
        <v>0</v>
      </c>
      <c r="C23" s="93">
        <v>0</v>
      </c>
      <c r="D23" s="90">
        <f t="shared" si="0"/>
        <v>0</v>
      </c>
      <c r="E23" s="26">
        <f>整車出口!G23</f>
        <v>0</v>
      </c>
      <c r="F23" s="93">
        <v>0</v>
      </c>
      <c r="G23" s="94">
        <f t="shared" si="1"/>
        <v>0</v>
      </c>
      <c r="H23" s="91">
        <f t="shared" si="5"/>
        <v>0</v>
      </c>
      <c r="I23" s="92">
        <f t="shared" si="6"/>
        <v>0</v>
      </c>
      <c r="J23" s="94">
        <f t="shared" si="4"/>
        <v>0</v>
      </c>
    </row>
    <row r="24" spans="1:10">
      <c r="A24" s="29" t="s">
        <v>24</v>
      </c>
      <c r="B24" s="26">
        <f>整車出口!E24</f>
        <v>0</v>
      </c>
      <c r="C24" s="93">
        <v>0</v>
      </c>
      <c r="D24" s="90">
        <f t="shared" si="0"/>
        <v>0</v>
      </c>
      <c r="E24" s="26">
        <f>整車出口!G24</f>
        <v>0</v>
      </c>
      <c r="F24" s="93">
        <v>0</v>
      </c>
      <c r="G24" s="94">
        <f t="shared" si="1"/>
        <v>0</v>
      </c>
      <c r="H24" s="91">
        <f t="shared" si="5"/>
        <v>0</v>
      </c>
      <c r="I24" s="92">
        <f t="shared" si="6"/>
        <v>0</v>
      </c>
      <c r="J24" s="94">
        <f t="shared" si="4"/>
        <v>0</v>
      </c>
    </row>
    <row r="25" spans="1:10">
      <c r="A25" s="24" t="s">
        <v>328</v>
      </c>
      <c r="B25" s="26">
        <f>整車出口!E25</f>
        <v>1392</v>
      </c>
      <c r="C25" s="93">
        <f>VLOOKUP(A25,[3]進出口值表查詢結果!$A$10:$C$66,3,0)</f>
        <v>437</v>
      </c>
      <c r="D25" s="90">
        <f t="shared" si="0"/>
        <v>2.1853546910755148</v>
      </c>
      <c r="E25" s="26">
        <f>整車出口!G25</f>
        <v>261806</v>
      </c>
      <c r="F25" s="93">
        <f>VLOOKUP(A25,[3]進出口值表查詢結果!$A$10:$C$66,2,0)</f>
        <v>178608</v>
      </c>
      <c r="G25" s="94">
        <f t="shared" si="1"/>
        <v>0.46581340141539013</v>
      </c>
      <c r="H25" s="91">
        <f t="shared" si="5"/>
        <v>188.07902298850576</v>
      </c>
      <c r="I25" s="92">
        <f t="shared" si="6"/>
        <v>408.71395881006868</v>
      </c>
      <c r="J25" s="94">
        <f t="shared" si="4"/>
        <v>-0.53982725832002476</v>
      </c>
    </row>
    <row r="26" spans="1:10">
      <c r="A26" s="24" t="s">
        <v>329</v>
      </c>
      <c r="B26" s="26">
        <f>整車出口!E26</f>
        <v>102</v>
      </c>
      <c r="C26" s="93">
        <v>0</v>
      </c>
      <c r="D26" s="90">
        <f t="shared" si="0"/>
        <v>0</v>
      </c>
      <c r="E26" s="26">
        <f>整車出口!G26</f>
        <v>72635</v>
      </c>
      <c r="F26" s="93">
        <v>0</v>
      </c>
      <c r="G26" s="94">
        <f t="shared" si="1"/>
        <v>0</v>
      </c>
      <c r="H26" s="91">
        <f t="shared" si="5"/>
        <v>712.10784313725492</v>
      </c>
      <c r="I26" s="92">
        <f t="shared" si="6"/>
        <v>0</v>
      </c>
      <c r="J26" s="94">
        <f t="shared" si="4"/>
        <v>0</v>
      </c>
    </row>
    <row r="27" spans="1:10">
      <c r="A27" s="546" t="s">
        <v>344</v>
      </c>
      <c r="B27" s="26">
        <f>整車出口!E27</f>
        <v>1269</v>
      </c>
      <c r="C27" s="93">
        <f>VLOOKUP(A27,[3]進出口值表查詢結果!$A$10:$C$66,3,0)</f>
        <v>2688</v>
      </c>
      <c r="D27" s="90">
        <f t="shared" si="0"/>
        <v>-0.5279017857142857</v>
      </c>
      <c r="E27" s="26">
        <f>整車出口!G27</f>
        <v>1364727</v>
      </c>
      <c r="F27" s="93">
        <f>VLOOKUP(A27,[3]進出口值表查詢結果!$A$10:$C$66,2,0)</f>
        <v>1456029</v>
      </c>
      <c r="G27" s="94">
        <f t="shared" si="1"/>
        <v>-6.2706168627135864E-2</v>
      </c>
      <c r="H27" s="91">
        <f t="shared" si="5"/>
        <v>1075.4349881796691</v>
      </c>
      <c r="I27" s="92">
        <f t="shared" si="6"/>
        <v>541.67745535714289</v>
      </c>
      <c r="J27" s="94">
        <f t="shared" si="4"/>
        <v>0.98537889576852544</v>
      </c>
    </row>
    <row r="28" spans="1:10">
      <c r="A28" s="546" t="s">
        <v>343</v>
      </c>
      <c r="B28" s="26">
        <f>整車出口!E28</f>
        <v>1391</v>
      </c>
      <c r="C28" s="93">
        <f>VLOOKUP(A28,[3]進出口值表查詢結果!$A$10:$C$66,3,0)</f>
        <v>1566</v>
      </c>
      <c r="D28" s="90">
        <f t="shared" si="0"/>
        <v>-0.11174968071519796</v>
      </c>
      <c r="E28" s="26">
        <f>整車出口!G28</f>
        <v>390051</v>
      </c>
      <c r="F28" s="93">
        <f>VLOOKUP(A28,[3]進出口值表查詢結果!$A$10:$C$66,2,0)</f>
        <v>586045</v>
      </c>
      <c r="G28" s="94">
        <f t="shared" si="1"/>
        <v>-0.33443506897934461</v>
      </c>
      <c r="H28" s="91">
        <f t="shared" si="5"/>
        <v>280.41049604601005</v>
      </c>
      <c r="I28" s="92">
        <f t="shared" si="6"/>
        <v>374.23052362707534</v>
      </c>
      <c r="J28" s="94">
        <f t="shared" si="4"/>
        <v>-0.25070116320751518</v>
      </c>
    </row>
    <row r="29" spans="1:10">
      <c r="A29" s="101" t="s">
        <v>68</v>
      </c>
      <c r="B29" s="26">
        <f>整車出口!E29</f>
        <v>357</v>
      </c>
      <c r="C29" s="93">
        <f>VLOOKUP(A29,[3]進出口值表查詢結果!$A$10:$C$66,3,0)</f>
        <v>778</v>
      </c>
      <c r="D29" s="90">
        <f t="shared" si="0"/>
        <v>-0.54113110539845755</v>
      </c>
      <c r="E29" s="26">
        <f>整車出口!G29</f>
        <v>190241</v>
      </c>
      <c r="F29" s="93">
        <f>VLOOKUP(A29,[3]進出口值表查詢結果!$A$10:$C$66,2,0)</f>
        <v>452638</v>
      </c>
      <c r="G29" s="94">
        <f t="shared" si="1"/>
        <v>-0.57970607858818746</v>
      </c>
      <c r="H29" s="91">
        <f t="shared" si="5"/>
        <v>532.8879551820728</v>
      </c>
      <c r="I29" s="92">
        <f t="shared" si="6"/>
        <v>581.79691516709511</v>
      </c>
      <c r="J29" s="94">
        <f t="shared" si="4"/>
        <v>-8.4065347735601856E-2</v>
      </c>
    </row>
    <row r="30" spans="1:10">
      <c r="A30" s="101" t="s">
        <v>69</v>
      </c>
      <c r="B30" s="26">
        <f>整車出口!E30</f>
        <v>0</v>
      </c>
      <c r="C30" s="93">
        <v>0</v>
      </c>
      <c r="D30" s="90">
        <f t="shared" si="0"/>
        <v>0</v>
      </c>
      <c r="E30" s="26">
        <f>整車出口!G30</f>
        <v>0</v>
      </c>
      <c r="F30" s="93">
        <v>0</v>
      </c>
      <c r="G30" s="94">
        <f t="shared" si="1"/>
        <v>0</v>
      </c>
      <c r="H30" s="91">
        <f t="shared" si="5"/>
        <v>0</v>
      </c>
      <c r="I30" s="92">
        <f t="shared" si="6"/>
        <v>0</v>
      </c>
      <c r="J30" s="94">
        <f t="shared" si="4"/>
        <v>0</v>
      </c>
    </row>
    <row r="31" spans="1:10">
      <c r="A31" s="101" t="s">
        <v>70</v>
      </c>
      <c r="B31" s="26">
        <f>整車出口!E31</f>
        <v>0</v>
      </c>
      <c r="C31" s="93">
        <v>0</v>
      </c>
      <c r="D31" s="90">
        <f t="shared" si="0"/>
        <v>0</v>
      </c>
      <c r="E31" s="26">
        <f>整車出口!G31</f>
        <v>0</v>
      </c>
      <c r="F31" s="93">
        <v>0</v>
      </c>
      <c r="G31" s="94">
        <f t="shared" si="1"/>
        <v>0</v>
      </c>
      <c r="H31" s="91">
        <f t="shared" si="5"/>
        <v>0</v>
      </c>
      <c r="I31" s="92">
        <f t="shared" si="6"/>
        <v>0</v>
      </c>
      <c r="J31" s="94">
        <f t="shared" si="4"/>
        <v>0</v>
      </c>
    </row>
    <row r="32" spans="1:10">
      <c r="A32" s="29" t="s">
        <v>30</v>
      </c>
      <c r="B32" s="26">
        <f>整車出口!E32</f>
        <v>0</v>
      </c>
      <c r="C32" s="93">
        <f>VLOOKUP(A32,[3]進出口值表查詢結果!$A$10:$C$66,3,0)</f>
        <v>245</v>
      </c>
      <c r="D32" s="90">
        <f t="shared" si="0"/>
        <v>-1</v>
      </c>
      <c r="E32" s="26">
        <f>整車出口!G32</f>
        <v>0</v>
      </c>
      <c r="F32" s="93">
        <f>VLOOKUP(A32,[3]進出口值表查詢結果!$A$10:$C$66,2,0)</f>
        <v>57583</v>
      </c>
      <c r="G32" s="94">
        <f t="shared" si="1"/>
        <v>-1</v>
      </c>
      <c r="H32" s="91">
        <f t="shared" si="5"/>
        <v>0</v>
      </c>
      <c r="I32" s="92">
        <f t="shared" si="6"/>
        <v>235.03265306122449</v>
      </c>
      <c r="J32" s="94">
        <f t="shared" si="4"/>
        <v>-1</v>
      </c>
    </row>
    <row r="33" spans="1:10">
      <c r="A33" s="101" t="s">
        <v>71</v>
      </c>
      <c r="B33" s="26">
        <f>整車出口!E33</f>
        <v>677</v>
      </c>
      <c r="C33" s="93">
        <f>VLOOKUP(A33,[3]進出口值表查詢結果!$A$10:$C$66,3,0)</f>
        <v>277</v>
      </c>
      <c r="D33" s="90">
        <f t="shared" si="0"/>
        <v>1.4440433212996391</v>
      </c>
      <c r="E33" s="26">
        <f>整車出口!G33</f>
        <v>330325</v>
      </c>
      <c r="F33" s="93">
        <f>VLOOKUP(A33,[3]進出口值表查詢結果!$A$10:$C$66,2,0)</f>
        <v>91579</v>
      </c>
      <c r="G33" s="94">
        <f t="shared" si="1"/>
        <v>2.6069950534511186</v>
      </c>
      <c r="H33" s="91">
        <f t="shared" si="5"/>
        <v>487.92466765140324</v>
      </c>
      <c r="I33" s="92">
        <f t="shared" si="6"/>
        <v>330.61010830324909</v>
      </c>
      <c r="J33" s="94">
        <f t="shared" si="4"/>
        <v>0.47583106322889202</v>
      </c>
    </row>
    <row r="34" spans="1:10">
      <c r="A34" s="102" t="s">
        <v>72</v>
      </c>
      <c r="B34" s="26">
        <f>整車出口!E34</f>
        <v>242</v>
      </c>
      <c r="C34" s="93">
        <f>VLOOKUP(A34,[3]進出口值表查詢結果!$A$10:$C$66,3,0)</f>
        <v>234</v>
      </c>
      <c r="D34" s="90">
        <f t="shared" si="0"/>
        <v>3.4188034188034191E-2</v>
      </c>
      <c r="E34" s="26">
        <f>整車出口!G34</f>
        <v>128540</v>
      </c>
      <c r="F34" s="93">
        <f>VLOOKUP(A34,[3]進出口值表查詢結果!$A$10:$C$66,2,0)</f>
        <v>97131</v>
      </c>
      <c r="G34" s="94">
        <f t="shared" si="1"/>
        <v>0.32336741102222771</v>
      </c>
      <c r="H34" s="91">
        <f t="shared" si="5"/>
        <v>531.15702479338847</v>
      </c>
      <c r="I34" s="92">
        <f t="shared" si="6"/>
        <v>415.08974358974359</v>
      </c>
      <c r="J34" s="94">
        <f t="shared" si="4"/>
        <v>0.27961972801322854</v>
      </c>
    </row>
    <row r="35" spans="1:10">
      <c r="A35" s="101" t="s">
        <v>73</v>
      </c>
      <c r="B35" s="26">
        <f>整車出口!E35</f>
        <v>0</v>
      </c>
      <c r="C35" s="93">
        <f>VLOOKUP(A35,[3]進出口值表查詢結果!$A$10:$C$66,3,0)</f>
        <v>101</v>
      </c>
      <c r="D35" s="90">
        <f t="shared" si="0"/>
        <v>-1</v>
      </c>
      <c r="E35" s="26">
        <f>整車出口!G35</f>
        <v>0</v>
      </c>
      <c r="F35" s="93">
        <f>VLOOKUP(A35,[3]進出口值表查詢結果!$A$10:$C$66,2,0)</f>
        <v>43057</v>
      </c>
      <c r="G35" s="94">
        <f t="shared" si="1"/>
        <v>-1</v>
      </c>
      <c r="H35" s="91">
        <f t="shared" si="5"/>
        <v>0</v>
      </c>
      <c r="I35" s="92">
        <f t="shared" si="6"/>
        <v>426.30693069306932</v>
      </c>
      <c r="J35" s="94">
        <f t="shared" si="4"/>
        <v>-1</v>
      </c>
    </row>
    <row r="36" spans="1:10">
      <c r="A36" s="101" t="s">
        <v>313</v>
      </c>
      <c r="B36" s="26">
        <f>整車出口!E36</f>
        <v>0</v>
      </c>
      <c r="C36" s="93">
        <v>0</v>
      </c>
      <c r="D36" s="90">
        <f t="shared" si="0"/>
        <v>0</v>
      </c>
      <c r="E36" s="26">
        <f>整車出口!G36</f>
        <v>0</v>
      </c>
      <c r="F36" s="93">
        <v>0</v>
      </c>
      <c r="G36" s="94">
        <f t="shared" si="1"/>
        <v>0</v>
      </c>
      <c r="H36" s="91">
        <f t="shared" si="5"/>
        <v>0</v>
      </c>
      <c r="I36" s="92">
        <f t="shared" si="6"/>
        <v>0</v>
      </c>
      <c r="J36" s="94">
        <f t="shared" si="4"/>
        <v>0</v>
      </c>
    </row>
    <row r="37" spans="1:10">
      <c r="A37" s="101" t="s">
        <v>35</v>
      </c>
      <c r="B37" s="26">
        <f>整車出口!E37</f>
        <v>0</v>
      </c>
      <c r="C37" s="93">
        <v>0</v>
      </c>
      <c r="D37" s="90">
        <f t="shared" si="0"/>
        <v>0</v>
      </c>
      <c r="E37" s="26">
        <f>整車出口!G37</f>
        <v>0</v>
      </c>
      <c r="F37" s="93">
        <v>0</v>
      </c>
      <c r="G37" s="94">
        <f t="shared" si="1"/>
        <v>0</v>
      </c>
      <c r="H37" s="91">
        <f t="shared" si="5"/>
        <v>0</v>
      </c>
      <c r="I37" s="92">
        <f t="shared" si="6"/>
        <v>0</v>
      </c>
      <c r="J37" s="94">
        <f t="shared" si="4"/>
        <v>0</v>
      </c>
    </row>
    <row r="38" spans="1:10">
      <c r="A38" s="101" t="s">
        <v>36</v>
      </c>
      <c r="B38" s="26">
        <f>整車出口!E38</f>
        <v>0</v>
      </c>
      <c r="C38" s="93">
        <v>0</v>
      </c>
      <c r="D38" s="90">
        <f t="shared" si="0"/>
        <v>0</v>
      </c>
      <c r="E38" s="26">
        <f>整車出口!G38</f>
        <v>0</v>
      </c>
      <c r="F38" s="93">
        <v>0</v>
      </c>
      <c r="G38" s="94">
        <f t="shared" si="1"/>
        <v>0</v>
      </c>
      <c r="H38" s="91">
        <f t="shared" si="5"/>
        <v>0</v>
      </c>
      <c r="I38" s="92">
        <f t="shared" si="6"/>
        <v>0</v>
      </c>
      <c r="J38" s="94">
        <f t="shared" si="4"/>
        <v>0</v>
      </c>
    </row>
    <row r="39" spans="1:10">
      <c r="A39" s="29" t="s">
        <v>37</v>
      </c>
      <c r="B39" s="26">
        <f>整車出口!E39</f>
        <v>250</v>
      </c>
      <c r="C39" s="93">
        <f>VLOOKUP(A39,[3]進出口值表查詢結果!$A$10:$C$66,3,0)</f>
        <v>256</v>
      </c>
      <c r="D39" s="90">
        <f t="shared" si="0"/>
        <v>-2.34375E-2</v>
      </c>
      <c r="E39" s="26">
        <f>整車出口!G39</f>
        <v>70035</v>
      </c>
      <c r="F39" s="93">
        <f>VLOOKUP(A39,[3]進出口值表查詢結果!$A$10:$C$66,2,0)</f>
        <v>67715</v>
      </c>
      <c r="G39" s="94">
        <f t="shared" si="1"/>
        <v>3.4261241970021415E-2</v>
      </c>
      <c r="H39" s="91">
        <f t="shared" si="5"/>
        <v>280.14</v>
      </c>
      <c r="I39" s="92">
        <f t="shared" si="6"/>
        <v>264.51171875</v>
      </c>
      <c r="J39" s="94">
        <f t="shared" si="4"/>
        <v>5.9083511777301874E-2</v>
      </c>
    </row>
    <row r="40" spans="1:10">
      <c r="A40" s="29"/>
      <c r="B40" s="26"/>
      <c r="C40" s="95"/>
      <c r="D40" s="90"/>
      <c r="E40" s="25"/>
      <c r="F40" s="95"/>
      <c r="G40" s="94"/>
      <c r="H40" s="91"/>
      <c r="I40" s="92"/>
      <c r="J40" s="94"/>
    </row>
    <row r="41" spans="1:10">
      <c r="A41" s="32" t="s">
        <v>38</v>
      </c>
      <c r="B41" s="31">
        <f>SUM(B42:B45)</f>
        <v>2471</v>
      </c>
      <c r="C41" s="98">
        <f>SUM(C42:C45)</f>
        <v>3338</v>
      </c>
      <c r="D41" s="90">
        <f t="shared" si="0"/>
        <v>-0.2597363690832834</v>
      </c>
      <c r="E41" s="25">
        <f>SUM(E42:E45)</f>
        <v>1911481</v>
      </c>
      <c r="F41" s="98">
        <f>SUM(F42:F45)</f>
        <v>2752946</v>
      </c>
      <c r="G41" s="94">
        <f t="shared" si="1"/>
        <v>-0.30565982769004552</v>
      </c>
      <c r="H41" s="91">
        <f t="shared" si="5"/>
        <v>773.56576284904895</v>
      </c>
      <c r="I41" s="92">
        <f t="shared" si="6"/>
        <v>824.72917914919117</v>
      </c>
      <c r="J41" s="94">
        <f t="shared" si="4"/>
        <v>-6.2036626802659665E-2</v>
      </c>
    </row>
    <row r="42" spans="1:10">
      <c r="A42" s="24" t="s">
        <v>332</v>
      </c>
      <c r="B42" s="26">
        <f>整車出口!E42</f>
        <v>863</v>
      </c>
      <c r="C42" s="93">
        <f>VLOOKUP(A42,[3]進出口值表查詢結果!$A$10:$C$66,3,0)</f>
        <v>1775</v>
      </c>
      <c r="D42" s="90">
        <f t="shared" si="0"/>
        <v>-0.5138028169014085</v>
      </c>
      <c r="E42" s="26">
        <f>整車出口!G42</f>
        <v>798939</v>
      </c>
      <c r="F42" s="93">
        <f>VLOOKUP(A42,[3]進出口值表查詢結果!$A$10:$C$66,2,0)</f>
        <v>1603844</v>
      </c>
      <c r="G42" s="94">
        <f t="shared" si="1"/>
        <v>-0.50185990657445489</v>
      </c>
      <c r="H42" s="91">
        <f t="shared" si="5"/>
        <v>925.76940903823868</v>
      </c>
      <c r="I42" s="92">
        <f t="shared" si="6"/>
        <v>903.57408450704224</v>
      </c>
      <c r="J42" s="94">
        <f t="shared" si="4"/>
        <v>2.4563923326005318E-2</v>
      </c>
    </row>
    <row r="43" spans="1:10">
      <c r="A43" s="24" t="s">
        <v>333</v>
      </c>
      <c r="B43" s="26">
        <f>整車出口!E43</f>
        <v>1608</v>
      </c>
      <c r="C43" s="93">
        <f>VLOOKUP(A43,[3]進出口值表查詢結果!$A$10:$C$66,3,0)</f>
        <v>923</v>
      </c>
      <c r="D43" s="90">
        <f t="shared" si="0"/>
        <v>0.74214517876489705</v>
      </c>
      <c r="E43" s="26">
        <f>整車出口!G43</f>
        <v>1112542</v>
      </c>
      <c r="F43" s="93">
        <f>VLOOKUP(A43,[3]進出口值表查詢結果!$A$10:$C$66,2,0)</f>
        <v>1053784</v>
      </c>
      <c r="G43" s="94">
        <f t="shared" si="1"/>
        <v>5.5759054986600672E-2</v>
      </c>
      <c r="H43" s="91">
        <f t="shared" si="5"/>
        <v>691.8793532338309</v>
      </c>
      <c r="I43" s="92">
        <f t="shared" si="6"/>
        <v>1141.6944745395449</v>
      </c>
      <c r="J43" s="94">
        <f t="shared" si="4"/>
        <v>-0.39398904990507927</v>
      </c>
    </row>
    <row r="44" spans="1:10">
      <c r="A44" s="24" t="s">
        <v>334</v>
      </c>
      <c r="B44" s="26">
        <f>整車出口!E44</f>
        <v>0</v>
      </c>
      <c r="C44" s="93">
        <f>VLOOKUP(A44,[3]進出口值表查詢結果!$A$10:$C$66,3,0)</f>
        <v>640</v>
      </c>
      <c r="D44" s="90">
        <f t="shared" si="0"/>
        <v>-1</v>
      </c>
      <c r="E44" s="26">
        <f>整車出口!G44</f>
        <v>0</v>
      </c>
      <c r="F44" s="93">
        <f>VLOOKUP(A44,[3]進出口值表查詢結果!$A$10:$C$66,2,0)</f>
        <v>95318</v>
      </c>
      <c r="G44" s="94">
        <f t="shared" si="1"/>
        <v>-1</v>
      </c>
      <c r="H44" s="91">
        <f t="shared" si="5"/>
        <v>0</v>
      </c>
      <c r="I44" s="92">
        <f t="shared" si="6"/>
        <v>148.93437499999999</v>
      </c>
      <c r="J44" s="94">
        <f t="shared" si="4"/>
        <v>-1</v>
      </c>
    </row>
    <row r="45" spans="1:10">
      <c r="A45" s="29" t="s">
        <v>42</v>
      </c>
      <c r="B45" s="26">
        <f>整車出口!E45</f>
        <v>0</v>
      </c>
      <c r="C45" s="93">
        <v>0</v>
      </c>
      <c r="D45" s="90">
        <f t="shared" si="0"/>
        <v>0</v>
      </c>
      <c r="E45" s="26">
        <f>整車出口!G45</f>
        <v>0</v>
      </c>
      <c r="F45" s="93">
        <f>_xlfn.IFNA(VLOOKUP(A45,[4]出!$C$11:$J$116,3,0),-[5]整車!$B$22)</f>
        <v>0</v>
      </c>
      <c r="G45" s="94">
        <f t="shared" si="1"/>
        <v>0</v>
      </c>
      <c r="H45" s="91">
        <f t="shared" si="5"/>
        <v>0</v>
      </c>
      <c r="I45" s="92">
        <f t="shared" si="6"/>
        <v>0</v>
      </c>
      <c r="J45" s="94">
        <f t="shared" si="4"/>
        <v>0</v>
      </c>
    </row>
    <row r="46" spans="1:10">
      <c r="A46" s="29"/>
      <c r="B46" s="25"/>
      <c r="C46" s="95"/>
      <c r="D46" s="90"/>
      <c r="E46" s="25"/>
      <c r="F46" s="95"/>
      <c r="G46" s="94"/>
      <c r="H46" s="91"/>
      <c r="I46" s="92"/>
      <c r="J46" s="94"/>
    </row>
    <row r="47" spans="1:10">
      <c r="A47" s="32" t="s">
        <v>43</v>
      </c>
      <c r="B47" s="31">
        <f>SUM(B48:B65)</f>
        <v>24172</v>
      </c>
      <c r="C47" s="98">
        <f>SUM(C48:C65)</f>
        <v>31139</v>
      </c>
      <c r="D47" s="90">
        <f t="shared" si="0"/>
        <v>-0.22373871993320274</v>
      </c>
      <c r="E47" s="31">
        <f>SUM(E48:E65)</f>
        <v>27374890</v>
      </c>
      <c r="F47" s="95">
        <f>SUM(F48:F65)</f>
        <v>38002968</v>
      </c>
      <c r="G47" s="94">
        <f t="shared" si="1"/>
        <v>-0.27966441989478297</v>
      </c>
      <c r="H47" s="91">
        <f t="shared" si="5"/>
        <v>1132.5041370180375</v>
      </c>
      <c r="I47" s="92">
        <f t="shared" si="6"/>
        <v>1220.4299431580976</v>
      </c>
      <c r="J47" s="94">
        <f t="shared" si="4"/>
        <v>-7.2044943368510889E-2</v>
      </c>
    </row>
    <row r="48" spans="1:10">
      <c r="A48" s="24" t="s">
        <v>324</v>
      </c>
      <c r="B48" s="26">
        <f>整車出口!E48</f>
        <v>7689</v>
      </c>
      <c r="C48" s="93">
        <f>VLOOKUP(A48,[3]進出口值表查詢結果!$A$10:$C$66,3,0)</f>
        <v>8128</v>
      </c>
      <c r="D48" s="90">
        <f t="shared" si="0"/>
        <v>-5.4010826771653545E-2</v>
      </c>
      <c r="E48" s="26">
        <f>整車出口!G48</f>
        <v>8952193</v>
      </c>
      <c r="F48" s="93">
        <f>VLOOKUP(A48,[3]進出口值表查詢結果!$A$10:$C$66,2,0)</f>
        <v>8498428</v>
      </c>
      <c r="G48" s="94">
        <f t="shared" si="1"/>
        <v>5.3393992394828782E-2</v>
      </c>
      <c r="H48" s="91">
        <f t="shared" si="5"/>
        <v>1164.2857328651321</v>
      </c>
      <c r="I48" s="92">
        <f t="shared" si="6"/>
        <v>1045.5743110236222</v>
      </c>
      <c r="J48" s="94">
        <f t="shared" si="4"/>
        <v>0.11353704905516558</v>
      </c>
    </row>
    <row r="49" spans="1:10">
      <c r="A49" s="24" t="s">
        <v>335</v>
      </c>
      <c r="B49" s="26">
        <f>整車出口!E49</f>
        <v>2559</v>
      </c>
      <c r="C49" s="93">
        <f>VLOOKUP(A49,[3]進出口值表查詢結果!$A$10:$C$66,3,0)</f>
        <v>2215</v>
      </c>
      <c r="D49" s="90">
        <f t="shared" si="0"/>
        <v>0.15530474040632053</v>
      </c>
      <c r="E49" s="26">
        <f>整車出口!G49</f>
        <v>2606625</v>
      </c>
      <c r="F49" s="93">
        <f>VLOOKUP(A49,[3]進出口值表查詢結果!$A$10:$C$66,2,0)</f>
        <v>2118765</v>
      </c>
      <c r="G49" s="94">
        <f t="shared" si="1"/>
        <v>0.23025677694317209</v>
      </c>
      <c r="H49" s="91">
        <f t="shared" si="5"/>
        <v>1018.6107854630715</v>
      </c>
      <c r="I49" s="92">
        <f t="shared" si="6"/>
        <v>956.55304740406325</v>
      </c>
      <c r="J49" s="94">
        <f t="shared" si="4"/>
        <v>6.4876420839830362E-2</v>
      </c>
    </row>
    <row r="50" spans="1:10">
      <c r="A50" s="24" t="s">
        <v>341</v>
      </c>
      <c r="B50" s="26">
        <f>整車出口!E50</f>
        <v>424</v>
      </c>
      <c r="C50" s="93">
        <f>VLOOKUP(A50,[3]進出口值表查詢結果!$A$10:$C$66,3,0)</f>
        <v>460</v>
      </c>
      <c r="D50" s="90">
        <f t="shared" si="0"/>
        <v>-7.8260869565217397E-2</v>
      </c>
      <c r="E50" s="26">
        <f>整車出口!G50</f>
        <v>341467</v>
      </c>
      <c r="F50" s="93">
        <f>VLOOKUP(A50,[3]進出口值表查詢結果!$A$10:$C$66,2,0)</f>
        <v>329732</v>
      </c>
      <c r="G50" s="94">
        <f t="shared" si="1"/>
        <v>3.558950905583929E-2</v>
      </c>
      <c r="H50" s="91">
        <f t="shared" si="5"/>
        <v>805.34669811320759</v>
      </c>
      <c r="I50" s="92">
        <f t="shared" si="6"/>
        <v>716.80869565217392</v>
      </c>
      <c r="J50" s="94">
        <f t="shared" si="4"/>
        <v>0.12351692020208985</v>
      </c>
    </row>
    <row r="51" spans="1:10">
      <c r="A51" s="24" t="s">
        <v>336</v>
      </c>
      <c r="B51" s="26">
        <f>整車出口!E51</f>
        <v>163</v>
      </c>
      <c r="C51" s="93">
        <f>VLOOKUP(A51,[3]進出口值表查詢結果!$A$10:$C$66,3,0)</f>
        <v>206</v>
      </c>
      <c r="D51" s="90">
        <f t="shared" si="0"/>
        <v>-0.20873786407766989</v>
      </c>
      <c r="E51" s="26">
        <f>整車出口!G51</f>
        <v>315366</v>
      </c>
      <c r="F51" s="93">
        <f>VLOOKUP(A51,[3]進出口值表查詢結果!$A$10:$C$66,2,0)</f>
        <v>403394</v>
      </c>
      <c r="G51" s="94">
        <f t="shared" si="1"/>
        <v>-0.21821841673401191</v>
      </c>
      <c r="H51" s="91">
        <f t="shared" si="5"/>
        <v>1934.7607361963189</v>
      </c>
      <c r="I51" s="92">
        <f t="shared" si="6"/>
        <v>1958.2233009708739</v>
      </c>
      <c r="J51" s="94">
        <f t="shared" si="4"/>
        <v>-1.1981557344824959E-2</v>
      </c>
    </row>
    <row r="52" spans="1:10">
      <c r="A52" s="29" t="s">
        <v>47</v>
      </c>
      <c r="B52" s="26">
        <f>整車出口!E52</f>
        <v>535</v>
      </c>
      <c r="C52" s="93">
        <f>VLOOKUP(A52,[3]進出口值表查詢結果!$A$10:$C$66,3,0)</f>
        <v>283</v>
      </c>
      <c r="D52" s="90">
        <f t="shared" si="0"/>
        <v>0.89045936395759717</v>
      </c>
      <c r="E52" s="26">
        <f>整車出口!G52</f>
        <v>383524</v>
      </c>
      <c r="F52" s="93">
        <f>VLOOKUP(A52,[3]進出口值表查詢結果!$A$10:$C$66,2,0)</f>
        <v>105768</v>
      </c>
      <c r="G52" s="94">
        <f t="shared" si="1"/>
        <v>2.6260872853793207</v>
      </c>
      <c r="H52" s="91">
        <f t="shared" si="5"/>
        <v>716.86728971962611</v>
      </c>
      <c r="I52" s="92">
        <f t="shared" si="6"/>
        <v>373.73851590106005</v>
      </c>
      <c r="J52" s="94">
        <f t="shared" si="4"/>
        <v>0.9180985079670051</v>
      </c>
    </row>
    <row r="53" spans="1:10">
      <c r="A53" s="24" t="s">
        <v>337</v>
      </c>
      <c r="B53" s="26">
        <f>整車出口!E53</f>
        <v>360</v>
      </c>
      <c r="C53" s="93">
        <f>VLOOKUP(A53,[3]進出口值表查詢結果!$A$10:$C$66,3,0)</f>
        <v>207</v>
      </c>
      <c r="D53" s="90">
        <f t="shared" si="0"/>
        <v>0.73913043478260865</v>
      </c>
      <c r="E53" s="26">
        <f>整車出口!G53</f>
        <v>581049</v>
      </c>
      <c r="F53" s="93">
        <f>VLOOKUP(A53,[3]進出口值表查詢結果!$A$10:$C$66,2,0)</f>
        <v>316490</v>
      </c>
      <c r="G53" s="94">
        <f t="shared" si="1"/>
        <v>0.83591582672438303</v>
      </c>
      <c r="H53" s="91">
        <f t="shared" si="5"/>
        <v>1614.0250000000001</v>
      </c>
      <c r="I53" s="92">
        <f t="shared" si="6"/>
        <v>1528.9371980676328</v>
      </c>
      <c r="J53" s="94">
        <f t="shared" si="4"/>
        <v>5.5651600366520337E-2</v>
      </c>
    </row>
    <row r="54" spans="1:10">
      <c r="A54" s="29" t="s">
        <v>49</v>
      </c>
      <c r="B54" s="26">
        <f>整車出口!E54</f>
        <v>7015</v>
      </c>
      <c r="C54" s="93">
        <f>VLOOKUP(A54,[3]進出口值表查詢結果!$A$10:$C$66,3,0)</f>
        <v>6140</v>
      </c>
      <c r="D54" s="90">
        <f t="shared" si="0"/>
        <v>0.14250814332247558</v>
      </c>
      <c r="E54" s="26">
        <f>整車出口!G54</f>
        <v>6546361</v>
      </c>
      <c r="F54" s="93">
        <f>VLOOKUP(A54,[3]進出口值表查詢結果!$A$10:$C$66,2,0)</f>
        <v>5490371</v>
      </c>
      <c r="G54" s="94">
        <f t="shared" si="1"/>
        <v>0.19233490778674156</v>
      </c>
      <c r="H54" s="91">
        <f t="shared" si="5"/>
        <v>933.19472558802568</v>
      </c>
      <c r="I54" s="92">
        <f t="shared" si="6"/>
        <v>894.19723127035832</v>
      </c>
      <c r="J54" s="94">
        <f t="shared" si="4"/>
        <v>4.3611736822607723E-2</v>
      </c>
    </row>
    <row r="55" spans="1:10">
      <c r="A55" s="29" t="s">
        <v>50</v>
      </c>
      <c r="B55" s="26">
        <f>整車出口!E55</f>
        <v>793</v>
      </c>
      <c r="C55" s="93">
        <f>VLOOKUP(A55,[3]進出口值表查詢結果!$A$10:$C$66,3,0)</f>
        <v>460</v>
      </c>
      <c r="D55" s="90">
        <f t="shared" si="0"/>
        <v>0.72391304347826091</v>
      </c>
      <c r="E55" s="26">
        <f>整車出口!G55</f>
        <v>559921</v>
      </c>
      <c r="F55" s="93">
        <f>VLOOKUP(A55,[3]進出口值表查詢結果!$A$10:$C$66,2,0)</f>
        <v>345790</v>
      </c>
      <c r="G55" s="94">
        <f t="shared" si="1"/>
        <v>0.6192515688712803</v>
      </c>
      <c r="H55" s="91">
        <f t="shared" si="5"/>
        <v>706.07944514501889</v>
      </c>
      <c r="I55" s="92">
        <f t="shared" si="6"/>
        <v>751.71739130434787</v>
      </c>
      <c r="J55" s="94">
        <f t="shared" si="4"/>
        <v>-6.071157417302793E-2</v>
      </c>
    </row>
    <row r="56" spans="1:10">
      <c r="A56" s="29" t="s">
        <v>51</v>
      </c>
      <c r="B56" s="26">
        <f>整車出口!E56</f>
        <v>575</v>
      </c>
      <c r="C56" s="93">
        <f>VLOOKUP(A56,[3]進出口值表查詢結果!$A$10:$C$66,3,0)</f>
        <v>8911</v>
      </c>
      <c r="D56" s="90">
        <f t="shared" si="0"/>
        <v>-0.93547301088542256</v>
      </c>
      <c r="E56" s="26">
        <f>整車出口!G56</f>
        <v>1226309</v>
      </c>
      <c r="F56" s="93">
        <f>VLOOKUP(A56,[3]進出口值表查詢結果!$A$10:$C$66,2,0)</f>
        <v>13597566</v>
      </c>
      <c r="G56" s="94">
        <f t="shared" si="1"/>
        <v>-0.90981407996107544</v>
      </c>
      <c r="H56" s="91">
        <f t="shared" si="5"/>
        <v>2132.7113043478262</v>
      </c>
      <c r="I56" s="92">
        <f t="shared" si="6"/>
        <v>1525.9304230726068</v>
      </c>
      <c r="J56" s="94">
        <f t="shared" si="4"/>
        <v>0.39764649298583882</v>
      </c>
    </row>
    <row r="57" spans="1:10">
      <c r="A57" s="543" t="s">
        <v>340</v>
      </c>
      <c r="B57" s="26">
        <f>整車出口!E57</f>
        <v>1177</v>
      </c>
      <c r="C57" s="93">
        <f>VLOOKUP(A57,[3]進出口值表查詢結果!$A$10:$C$66,3,0)</f>
        <v>1776</v>
      </c>
      <c r="D57" s="90">
        <f t="shared" si="0"/>
        <v>-0.3372747747747748</v>
      </c>
      <c r="E57" s="26">
        <f>整車出口!G57</f>
        <v>2198522</v>
      </c>
      <c r="F57" s="93">
        <f>VLOOKUP(A57,[3]進出口值表查詢結果!$A$10:$C$66,2,0)</f>
        <v>3411481</v>
      </c>
      <c r="G57" s="94">
        <f t="shared" si="1"/>
        <v>-0.35555203150772346</v>
      </c>
      <c r="H57" s="91">
        <f t="shared" si="5"/>
        <v>1867.9031435853865</v>
      </c>
      <c r="I57" s="92">
        <f t="shared" si="6"/>
        <v>1920.8789414414414</v>
      </c>
      <c r="J57" s="94">
        <f t="shared" si="4"/>
        <v>-2.7578936242750141E-2</v>
      </c>
    </row>
    <row r="58" spans="1:10">
      <c r="A58" s="29" t="s">
        <v>52</v>
      </c>
      <c r="B58" s="26">
        <f>整車出口!E58</f>
        <v>1150</v>
      </c>
      <c r="C58" s="93">
        <f>VLOOKUP(A58,[3]進出口值表查詢結果!$A$10:$C$66,3,0)</f>
        <v>580</v>
      </c>
      <c r="D58" s="90">
        <f t="shared" si="0"/>
        <v>0.98275862068965514</v>
      </c>
      <c r="E58" s="26">
        <f>整車出口!G58</f>
        <v>1363565</v>
      </c>
      <c r="F58" s="93">
        <f>VLOOKUP(A58,[3]進出口值表查詢結果!$A$10:$C$66,2,0)</f>
        <v>201374</v>
      </c>
      <c r="G58" s="94">
        <f t="shared" si="1"/>
        <v>5.7713061269081409</v>
      </c>
      <c r="H58" s="91">
        <f t="shared" si="5"/>
        <v>1185.7086956521739</v>
      </c>
      <c r="I58" s="92">
        <f t="shared" si="6"/>
        <v>347.19655172413792</v>
      </c>
      <c r="J58" s="94">
        <f t="shared" si="4"/>
        <v>2.4150935248754104</v>
      </c>
    </row>
    <row r="59" spans="1:10">
      <c r="A59" s="29" t="s">
        <v>53</v>
      </c>
      <c r="B59" s="26">
        <f>整車出口!E59</f>
        <v>0</v>
      </c>
      <c r="C59" s="93">
        <v>0</v>
      </c>
      <c r="D59" s="90">
        <f t="shared" si="0"/>
        <v>0</v>
      </c>
      <c r="E59" s="26">
        <f>整車出口!G59</f>
        <v>0</v>
      </c>
      <c r="F59" s="93">
        <v>0</v>
      </c>
      <c r="G59" s="94">
        <f t="shared" si="1"/>
        <v>0</v>
      </c>
      <c r="H59" s="91">
        <f t="shared" si="5"/>
        <v>0</v>
      </c>
      <c r="I59" s="92">
        <f t="shared" si="6"/>
        <v>0</v>
      </c>
      <c r="J59" s="94">
        <f t="shared" si="4"/>
        <v>0</v>
      </c>
    </row>
    <row r="60" spans="1:10">
      <c r="A60" s="29" t="s">
        <v>54</v>
      </c>
      <c r="B60" s="26">
        <f>整車出口!E60</f>
        <v>990</v>
      </c>
      <c r="C60" s="93">
        <f>VLOOKUP(A60,[3]進出口值表查詢結果!$A$10:$C$66,3,0)</f>
        <v>611</v>
      </c>
      <c r="D60" s="90">
        <f t="shared" si="0"/>
        <v>0.62029459901800332</v>
      </c>
      <c r="E60" s="26">
        <f>整車出口!G60</f>
        <v>940113</v>
      </c>
      <c r="F60" s="93">
        <f>VLOOKUP(A60,[3]進出口值表查詢結果!$A$10:$C$66,2,0)</f>
        <v>879445</v>
      </c>
      <c r="G60" s="94">
        <f t="shared" si="1"/>
        <v>6.8984416308012442E-2</v>
      </c>
      <c r="H60" s="91">
        <f t="shared" si="5"/>
        <v>949.60909090909092</v>
      </c>
      <c r="I60" s="92">
        <f t="shared" si="6"/>
        <v>1439.353518821604</v>
      </c>
      <c r="J60" s="94">
        <f t="shared" si="4"/>
        <v>-0.34025305215737822</v>
      </c>
    </row>
    <row r="61" spans="1:10">
      <c r="A61" s="543" t="s">
        <v>338</v>
      </c>
      <c r="B61" s="26">
        <f>整車出口!E61</f>
        <v>290</v>
      </c>
      <c r="C61" s="93">
        <f>VLOOKUP(A61,[3]進出口值表查詢結果!$A$10:$C$66,3,0)</f>
        <v>513</v>
      </c>
      <c r="D61" s="90">
        <f t="shared" si="0"/>
        <v>-0.43469785575048731</v>
      </c>
      <c r="E61" s="26">
        <f>整車出口!G61</f>
        <v>620149</v>
      </c>
      <c r="F61" s="93">
        <f>VLOOKUP(A61,[3]進出口值表查詢結果!$A$10:$C$66,2,0)</f>
        <v>1099101</v>
      </c>
      <c r="G61" s="94">
        <f t="shared" si="1"/>
        <v>-0.43576704961600438</v>
      </c>
      <c r="H61" s="91">
        <f t="shared" si="5"/>
        <v>2138.4448275862069</v>
      </c>
      <c r="I61" s="92">
        <f t="shared" si="6"/>
        <v>2142.4970760233919</v>
      </c>
      <c r="J61" s="94">
        <f t="shared" si="4"/>
        <v>-1.8913670793456565E-3</v>
      </c>
    </row>
    <row r="62" spans="1:10">
      <c r="A62" s="29" t="s">
        <v>55</v>
      </c>
      <c r="B62" s="26">
        <f>整車出口!E62</f>
        <v>250</v>
      </c>
      <c r="C62" s="93">
        <f>VLOOKUP(A62,[3]進出口值表查詢結果!$A$10:$C$66,3,0)</f>
        <v>545</v>
      </c>
      <c r="D62" s="90">
        <f t="shared" si="0"/>
        <v>-0.54128440366972475</v>
      </c>
      <c r="E62" s="26">
        <f>整車出口!G62</f>
        <v>390944</v>
      </c>
      <c r="F62" s="93">
        <f>VLOOKUP(A62,[3]進出口值表查詢結果!$A$10:$C$66,2,0)</f>
        <v>1028592</v>
      </c>
      <c r="G62" s="94">
        <f t="shared" si="1"/>
        <v>-0.61992315709241375</v>
      </c>
      <c r="H62" s="91">
        <f t="shared" si="5"/>
        <v>1563.7760000000001</v>
      </c>
      <c r="I62" s="92">
        <f t="shared" si="6"/>
        <v>1887.3247706422019</v>
      </c>
      <c r="J62" s="94">
        <f t="shared" si="4"/>
        <v>-0.17143248246146187</v>
      </c>
    </row>
    <row r="63" spans="1:10">
      <c r="A63" s="543" t="s">
        <v>101</v>
      </c>
      <c r="B63" s="26">
        <f>整車出口!E63</f>
        <v>0</v>
      </c>
      <c r="C63" s="93">
        <v>0</v>
      </c>
      <c r="D63" s="90">
        <f t="shared" si="0"/>
        <v>0</v>
      </c>
      <c r="E63" s="26">
        <f>整車出口!G63</f>
        <v>0</v>
      </c>
      <c r="F63" s="93">
        <v>0</v>
      </c>
      <c r="G63" s="94">
        <f t="shared" si="1"/>
        <v>0</v>
      </c>
      <c r="H63" s="91">
        <f t="shared" si="5"/>
        <v>0</v>
      </c>
      <c r="I63" s="92">
        <f t="shared" si="6"/>
        <v>0</v>
      </c>
      <c r="J63" s="94">
        <f t="shared" si="4"/>
        <v>0</v>
      </c>
    </row>
    <row r="64" spans="1:10">
      <c r="A64" s="29" t="s">
        <v>56</v>
      </c>
      <c r="B64" s="26">
        <f>整車出口!E64</f>
        <v>64</v>
      </c>
      <c r="C64" s="93">
        <f>VLOOKUP(A64,[3]進出口值表查詢結果!$A$10:$C$66,3,0)</f>
        <v>22</v>
      </c>
      <c r="D64" s="90">
        <f t="shared" si="0"/>
        <v>1.9090909090909092</v>
      </c>
      <c r="E64" s="26">
        <f>整車出口!G64</f>
        <v>91586</v>
      </c>
      <c r="F64" s="93">
        <f>VLOOKUP(A64,[3]進出口值表查詢結果!$A$10:$C$66,2,0)</f>
        <v>57343</v>
      </c>
      <c r="G64" s="94">
        <f t="shared" si="1"/>
        <v>0.59716094379436024</v>
      </c>
      <c r="H64" s="91">
        <f t="shared" si="5"/>
        <v>1431.03125</v>
      </c>
      <c r="I64" s="92">
        <f t="shared" si="6"/>
        <v>2606.5</v>
      </c>
      <c r="J64" s="94">
        <f t="shared" si="4"/>
        <v>-0.45097592557068866</v>
      </c>
    </row>
    <row r="65" spans="1:10">
      <c r="A65" s="543" t="s">
        <v>339</v>
      </c>
      <c r="B65" s="26">
        <f>整車出口!E65</f>
        <v>138</v>
      </c>
      <c r="C65" s="93">
        <f>VLOOKUP(A65,[3]進出口值表查詢結果!$A$10:$C$66,3,0)</f>
        <v>82</v>
      </c>
      <c r="D65" s="90">
        <f t="shared" si="0"/>
        <v>0.68292682926829273</v>
      </c>
      <c r="E65" s="26">
        <f>整車出口!G65</f>
        <v>257196</v>
      </c>
      <c r="F65" s="93">
        <f>VLOOKUP(A65,[3]進出口值表查詢結果!$A$10:$C$66,2,0)</f>
        <v>119328</v>
      </c>
      <c r="G65" s="94">
        <f t="shared" si="1"/>
        <v>1.1553700724054707</v>
      </c>
      <c r="H65" s="91">
        <f t="shared" si="5"/>
        <v>1863.7391304347825</v>
      </c>
      <c r="I65" s="92">
        <f t="shared" si="6"/>
        <v>1455.219512195122</v>
      </c>
      <c r="J65" s="94">
        <f t="shared" si="4"/>
        <v>0.28072714447281577</v>
      </c>
    </row>
    <row r="66" spans="1:10">
      <c r="A66" s="29" t="s">
        <v>57</v>
      </c>
      <c r="B66" s="25">
        <f>B67-B7-B12-B41-B47</f>
        <v>1537</v>
      </c>
      <c r="C66" s="95">
        <f>C67-C47-C41-C12-C7</f>
        <v>2499</v>
      </c>
      <c r="D66" s="90">
        <f t="shared" si="0"/>
        <v>-0.38495398159263705</v>
      </c>
      <c r="E66" s="25">
        <f>E67-E47-E41-E12-E7</f>
        <v>2177849</v>
      </c>
      <c r="F66" s="95">
        <f>F67-F47-F41-F12-F7</f>
        <v>3285420</v>
      </c>
      <c r="G66" s="94">
        <f t="shared" si="1"/>
        <v>-0.33711702004614325</v>
      </c>
      <c r="H66" s="91">
        <f t="shared" si="5"/>
        <v>1416.9479505530253</v>
      </c>
      <c r="I66" s="92">
        <f t="shared" si="6"/>
        <v>1314.6938775510205</v>
      </c>
      <c r="J66" s="94">
        <f t="shared" si="4"/>
        <v>7.7777857452627067E-2</v>
      </c>
    </row>
    <row r="67" spans="1:10">
      <c r="A67" s="30" t="s">
        <v>399</v>
      </c>
      <c r="B67" s="26">
        <f>整車出口!E67</f>
        <v>110559</v>
      </c>
      <c r="C67" s="93">
        <f>VLOOKUP(A67,[3]進出口值表查詢結果!$A$10:$C$66,3,0)</f>
        <v>122337</v>
      </c>
      <c r="D67" s="100">
        <f t="shared" ref="D67" si="7">(B67-C67)/C67</f>
        <v>-9.6275043527305718E-2</v>
      </c>
      <c r="E67" s="26">
        <f>整車出口!G67</f>
        <v>106672130</v>
      </c>
      <c r="F67" s="93">
        <f>VLOOKUP(A67,[3]進出口值表查詢結果!$A$10:$C$66,2,0)</f>
        <v>122304093</v>
      </c>
      <c r="G67" s="99">
        <f t="shared" ref="G67" si="8">(E67-F67)/F67</f>
        <v>-0.12781226381360761</v>
      </c>
      <c r="H67" s="91">
        <f t="shared" ref="H67:I67" si="9">E67/B67</f>
        <v>964.84347723839755</v>
      </c>
      <c r="I67" s="92">
        <f t="shared" si="9"/>
        <v>999.73101351185664</v>
      </c>
      <c r="J67" s="94">
        <f t="shared" ref="J67" si="10">(H67-I67)/I67</f>
        <v>-3.4896923074243844E-2</v>
      </c>
    </row>
    <row r="68" spans="1:10" ht="11.25" customHeight="1">
      <c r="A68" s="34"/>
      <c r="B68" s="35"/>
      <c r="C68" s="103"/>
      <c r="D68" s="72"/>
      <c r="E68" s="35"/>
      <c r="F68" s="103"/>
      <c r="G68" s="104"/>
      <c r="H68" s="105"/>
      <c r="I68" s="106"/>
      <c r="J68" s="104"/>
    </row>
    <row r="69" spans="1:10">
      <c r="A69" s="38" t="s">
        <v>308</v>
      </c>
      <c r="B69" s="39"/>
      <c r="C69" s="107"/>
      <c r="D69" s="108"/>
      <c r="E69" s="39"/>
      <c r="F69" s="107"/>
      <c r="G69" s="613"/>
      <c r="H69" s="614"/>
      <c r="I69" s="110"/>
      <c r="J69" s="109"/>
    </row>
    <row r="70" spans="1:10">
      <c r="A70" s="75" t="s">
        <v>478</v>
      </c>
      <c r="B70" s="6" t="s">
        <v>450</v>
      </c>
      <c r="C70" s="76" t="s">
        <v>451</v>
      </c>
      <c r="D70" s="77" t="s">
        <v>443</v>
      </c>
      <c r="E70" s="6" t="s">
        <v>450</v>
      </c>
      <c r="F70" s="76" t="s">
        <v>451</v>
      </c>
      <c r="G70" s="111" t="s">
        <v>443</v>
      </c>
      <c r="H70" s="81" t="s">
        <v>450</v>
      </c>
      <c r="I70" s="76" t="s">
        <v>451</v>
      </c>
      <c r="J70" s="111" t="s">
        <v>443</v>
      </c>
    </row>
    <row r="71" spans="1:10">
      <c r="A71" s="48"/>
      <c r="B71" s="50" t="s">
        <v>62</v>
      </c>
      <c r="C71" s="112" t="s">
        <v>62</v>
      </c>
      <c r="D71" s="80" t="s">
        <v>2</v>
      </c>
      <c r="E71" s="50" t="s">
        <v>63</v>
      </c>
      <c r="F71" s="112" t="s">
        <v>63</v>
      </c>
      <c r="G71" s="113" t="s">
        <v>2</v>
      </c>
      <c r="H71" s="82" t="s">
        <v>64</v>
      </c>
      <c r="I71" s="83" t="s">
        <v>65</v>
      </c>
      <c r="J71" s="113" t="s">
        <v>2</v>
      </c>
    </row>
    <row r="72" spans="1:10">
      <c r="A72" s="30" t="s">
        <v>58</v>
      </c>
      <c r="B72" s="26">
        <f>整車出口!E72</f>
        <v>4068</v>
      </c>
      <c r="C72" s="93">
        <v>2906</v>
      </c>
      <c r="D72" s="94">
        <f>(B72-C72)/C72</f>
        <v>0.39986235375086027</v>
      </c>
      <c r="E72" s="25">
        <f>整車出口!G72</f>
        <v>1019842</v>
      </c>
      <c r="F72" s="93">
        <v>1586393</v>
      </c>
      <c r="G72" s="94">
        <f>(E72-F72)/F72</f>
        <v>-0.35713155567378324</v>
      </c>
      <c r="H72" s="91">
        <f>E72/B72</f>
        <v>250.69862340216324</v>
      </c>
      <c r="I72" s="92">
        <f>F72/C72</f>
        <v>545.90261527873361</v>
      </c>
      <c r="J72" s="94">
        <f>(H72-I72)/I72</f>
        <v>-0.54076310245526404</v>
      </c>
    </row>
    <row r="73" spans="1:10">
      <c r="A73" s="57" t="s">
        <v>452</v>
      </c>
      <c r="B73" s="3"/>
      <c r="C73" s="58"/>
      <c r="D73" s="3"/>
      <c r="E73" s="3"/>
      <c r="F73" s="3"/>
      <c r="G73" s="3"/>
      <c r="H73" s="3"/>
      <c r="I73" s="3"/>
      <c r="J73" s="3"/>
    </row>
    <row r="74" spans="1:10">
      <c r="A74" s="60" t="s">
        <v>60</v>
      </c>
      <c r="B74" s="61"/>
      <c r="C74" s="62"/>
      <c r="D74" s="64"/>
      <c r="E74" s="61"/>
      <c r="F74" s="62"/>
      <c r="G74" s="64"/>
      <c r="H74" s="60"/>
      <c r="I74" s="60"/>
      <c r="J74" s="60"/>
    </row>
  </sheetData>
  <mergeCells count="1">
    <mergeCell ref="A3:J3"/>
  </mergeCells>
  <phoneticPr fontId="3" type="noConversion"/>
  <conditionalFormatting sqref="D1:D1048576">
    <cfRule type="cellIs" dxfId="51" priority="2" operator="lessThan">
      <formula>0</formula>
    </cfRule>
  </conditionalFormatting>
  <conditionalFormatting sqref="D7:D67">
    <cfRule type="cellIs" dxfId="50" priority="1" operator="greaterThanOrEqual">
      <formula>0</formula>
    </cfRule>
  </conditionalFormatting>
  <conditionalFormatting sqref="G1:G1048576">
    <cfRule type="cellIs" dxfId="49" priority="6" operator="lessThan">
      <formula>0</formula>
    </cfRule>
  </conditionalFormatting>
  <conditionalFormatting sqref="J1:J1048576">
    <cfRule type="cellIs" dxfId="48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68"/>
  <sheetViews>
    <sheetView zoomScaleNormal="100" workbookViewId="0">
      <selection activeCell="A3" sqref="A3"/>
    </sheetView>
  </sheetViews>
  <sheetFormatPr defaultRowHeight="16.5"/>
  <cols>
    <col min="1" max="1" width="19.375" customWidth="1"/>
    <col min="2" max="3" width="16.375" customWidth="1"/>
    <col min="4" max="4" width="11.75" customWidth="1"/>
    <col min="5" max="6" width="17.625" customWidth="1"/>
    <col min="7" max="7" width="11.75" customWidth="1"/>
  </cols>
  <sheetData>
    <row r="1" spans="1:7" ht="25.5">
      <c r="A1" s="639" t="s">
        <v>508</v>
      </c>
      <c r="B1" s="447"/>
      <c r="C1" s="448"/>
      <c r="D1" s="449"/>
      <c r="E1" s="447"/>
      <c r="F1" s="448"/>
      <c r="G1" s="449"/>
    </row>
    <row r="2" spans="1:7" ht="23.25">
      <c r="A2" s="450"/>
      <c r="B2" s="451"/>
      <c r="C2" s="452"/>
      <c r="D2" s="453"/>
      <c r="E2" s="409"/>
      <c r="F2" s="452"/>
      <c r="G2" s="453"/>
    </row>
    <row r="3" spans="1:7" ht="19.5">
      <c r="A3" s="373"/>
      <c r="B3" s="409"/>
      <c r="C3" s="452"/>
      <c r="D3" s="453"/>
      <c r="E3" s="409"/>
      <c r="F3" s="452"/>
      <c r="G3" s="453"/>
    </row>
    <row r="4" spans="1:7">
      <c r="A4" s="29" t="s">
        <v>242</v>
      </c>
      <c r="B4" s="24" t="s">
        <v>448</v>
      </c>
      <c r="C4" s="616" t="s">
        <v>449</v>
      </c>
      <c r="D4" s="617" t="s">
        <v>61</v>
      </c>
      <c r="E4" s="24" t="s">
        <v>448</v>
      </c>
      <c r="F4" s="616" t="s">
        <v>449</v>
      </c>
      <c r="G4" s="617" t="s">
        <v>61</v>
      </c>
    </row>
    <row r="5" spans="1:7">
      <c r="A5" s="48"/>
      <c r="B5" s="81" t="s">
        <v>243</v>
      </c>
      <c r="C5" s="79" t="s">
        <v>243</v>
      </c>
      <c r="D5" s="539" t="s">
        <v>2</v>
      </c>
      <c r="E5" s="81" t="s">
        <v>63</v>
      </c>
      <c r="F5" s="79" t="s">
        <v>63</v>
      </c>
      <c r="G5" s="80" t="s">
        <v>2</v>
      </c>
    </row>
    <row r="6" spans="1:7" ht="19.5">
      <c r="A6" s="454">
        <v>85121010001</v>
      </c>
      <c r="B6" s="455"/>
      <c r="C6" s="456"/>
      <c r="D6" s="457"/>
      <c r="E6" s="455"/>
      <c r="F6" s="456"/>
      <c r="G6" s="458"/>
    </row>
    <row r="7" spans="1:7" ht="19.5">
      <c r="A7" s="416" t="s">
        <v>203</v>
      </c>
      <c r="B7" s="459">
        <f>零件進出口!F7</f>
        <v>18182</v>
      </c>
      <c r="C7" s="460">
        <v>20310</v>
      </c>
      <c r="D7" s="461">
        <f>(B7-C7)/C7</f>
        <v>-0.10477597242737567</v>
      </c>
      <c r="E7" s="459">
        <f>零件進出口!G7</f>
        <v>2350794</v>
      </c>
      <c r="F7" s="460">
        <v>2200399</v>
      </c>
      <c r="G7" s="461">
        <f>(E7-F7)/F7</f>
        <v>6.834896761905454E-2</v>
      </c>
    </row>
    <row r="8" spans="1:7" ht="19.5">
      <c r="A8" s="416" t="s">
        <v>204</v>
      </c>
      <c r="B8" s="459"/>
      <c r="C8" s="462"/>
      <c r="D8" s="463"/>
      <c r="E8" s="459"/>
      <c r="F8" s="460"/>
      <c r="G8" s="464"/>
    </row>
    <row r="9" spans="1:7" ht="19.5">
      <c r="A9" s="418">
        <v>85121020009</v>
      </c>
      <c r="B9" s="465"/>
      <c r="C9" s="466"/>
      <c r="D9" s="467"/>
      <c r="E9" s="465"/>
      <c r="F9" s="468"/>
      <c r="G9" s="465"/>
    </row>
    <row r="10" spans="1:7" ht="19.5">
      <c r="A10" s="416" t="s">
        <v>208</v>
      </c>
      <c r="B10" s="459">
        <f>零件進出口!F10</f>
        <v>7830</v>
      </c>
      <c r="C10" s="460">
        <v>5747</v>
      </c>
      <c r="D10" s="469">
        <f>(B10-C10)/C10</f>
        <v>0.36244997389942579</v>
      </c>
      <c r="E10" s="459">
        <f>零件進出口!G10</f>
        <v>1395251</v>
      </c>
      <c r="F10" s="460">
        <v>854266</v>
      </c>
      <c r="G10" s="469">
        <f>(E10-F10)/F10</f>
        <v>0.63327464747514239</v>
      </c>
    </row>
    <row r="11" spans="1:7" ht="19.5">
      <c r="A11" s="416" t="s">
        <v>209</v>
      </c>
      <c r="B11" s="459"/>
      <c r="C11" s="462"/>
      <c r="D11" s="470"/>
      <c r="E11" s="464"/>
      <c r="F11" s="460"/>
      <c r="G11" s="464"/>
    </row>
    <row r="12" spans="1:7" ht="19.5">
      <c r="A12" s="423">
        <v>87149120007</v>
      </c>
      <c r="B12" s="465"/>
      <c r="C12" s="471"/>
      <c r="D12" s="472"/>
      <c r="E12" s="473"/>
      <c r="F12" s="474"/>
      <c r="G12" s="473"/>
    </row>
    <row r="13" spans="1:7" ht="19.5">
      <c r="A13" s="416" t="s">
        <v>210</v>
      </c>
      <c r="B13" s="459">
        <f>零件進出口!F13</f>
        <v>1213910</v>
      </c>
      <c r="C13" s="460">
        <f>VLOOKUP(A12,[27]進出口值表查詢結果!$B$10:$E$26,4,0)</f>
        <v>1224572</v>
      </c>
      <c r="D13" s="469">
        <f>(B13-C13)/C13</f>
        <v>-8.7067154891668271E-3</v>
      </c>
      <c r="E13" s="459">
        <f>零件進出口!G13</f>
        <v>69114127</v>
      </c>
      <c r="F13" s="460">
        <f>VLOOKUP(A12,[27]進出口值表查詢結果!$B$10:$E$26,3,0)</f>
        <v>73595324</v>
      </c>
      <c r="G13" s="469">
        <f>(E13-F13)/F13</f>
        <v>-6.0889697285659072E-2</v>
      </c>
    </row>
    <row r="14" spans="1:7" ht="19.5">
      <c r="A14" s="416" t="s">
        <v>211</v>
      </c>
      <c r="B14" s="475"/>
      <c r="C14" s="462"/>
      <c r="D14" s="476"/>
      <c r="E14" s="464"/>
      <c r="F14" s="460"/>
      <c r="G14" s="464"/>
    </row>
    <row r="15" spans="1:7" ht="19.5">
      <c r="A15" s="423">
        <v>87149200108</v>
      </c>
      <c r="B15" s="465"/>
      <c r="C15" s="471"/>
      <c r="D15" s="477"/>
      <c r="E15" s="473"/>
      <c r="F15" s="474"/>
      <c r="G15" s="473"/>
    </row>
    <row r="16" spans="1:7" ht="19.5">
      <c r="A16" s="416" t="s">
        <v>212</v>
      </c>
      <c r="B16" s="459">
        <f>零件進出口!F16</f>
        <v>202762</v>
      </c>
      <c r="C16" s="460">
        <f>VLOOKUP(A15,[27]進出口值表查詢結果!$B$10:$E$26,4,0)</f>
        <v>180618</v>
      </c>
      <c r="D16" s="478">
        <f>(B16-C16)/C16</f>
        <v>0.12260129112270095</v>
      </c>
      <c r="E16" s="459">
        <f>零件進出口!G16</f>
        <v>5990011</v>
      </c>
      <c r="F16" s="460">
        <f>VLOOKUP(A15,[27]進出口值表查詢結果!$B$10:$E$26,3,0)</f>
        <v>5870671</v>
      </c>
      <c r="G16" s="461">
        <f>(E16-F16)/F16</f>
        <v>2.032817032329013E-2</v>
      </c>
    </row>
    <row r="17" spans="1:7" ht="19.5">
      <c r="A17" s="416"/>
      <c r="B17" s="459"/>
      <c r="C17" s="462"/>
      <c r="D17" s="459"/>
      <c r="E17" s="464"/>
      <c r="F17" s="460"/>
      <c r="G17" s="464"/>
    </row>
    <row r="18" spans="1:7" ht="19.5">
      <c r="A18" s="423">
        <v>87149200206</v>
      </c>
      <c r="B18" s="465"/>
      <c r="C18" s="471"/>
      <c r="D18" s="477"/>
      <c r="E18" s="473"/>
      <c r="F18" s="474"/>
      <c r="G18" s="473"/>
    </row>
    <row r="19" spans="1:7" ht="19.5">
      <c r="A19" s="416" t="s">
        <v>143</v>
      </c>
      <c r="B19" s="459">
        <f>零件進出口!F19</f>
        <v>178595</v>
      </c>
      <c r="C19" s="460">
        <f>VLOOKUP(A18,[27]進出口值表查詢結果!$B$10:$E$26,4,0)</f>
        <v>136376</v>
      </c>
      <c r="D19" s="469">
        <f>(B19-C19)/C19</f>
        <v>0.30957793160086816</v>
      </c>
      <c r="E19" s="459">
        <f>零件進出口!G19</f>
        <v>2369503</v>
      </c>
      <c r="F19" s="460">
        <f>VLOOKUP(A18,[27]進出口值表查詢結果!$B$10:$E$26,3,0)</f>
        <v>1804249</v>
      </c>
      <c r="G19" s="469">
        <f>(E19-F19)/F19</f>
        <v>0.31329046046305137</v>
      </c>
    </row>
    <row r="20" spans="1:7" ht="19.5">
      <c r="A20" s="416"/>
      <c r="B20" s="459"/>
      <c r="C20" s="462"/>
      <c r="D20" s="476"/>
      <c r="E20" s="464"/>
      <c r="F20" s="460"/>
      <c r="G20" s="479"/>
    </row>
    <row r="21" spans="1:7" ht="19.5">
      <c r="A21" s="423">
        <v>87149200304</v>
      </c>
      <c r="B21" s="465"/>
      <c r="C21" s="471"/>
      <c r="D21" s="472"/>
      <c r="E21" s="473"/>
      <c r="F21" s="474"/>
      <c r="G21" s="480"/>
    </row>
    <row r="22" spans="1:7" ht="19.5">
      <c r="A22" s="416" t="s">
        <v>145</v>
      </c>
      <c r="B22" s="459">
        <f>零件進出口!F22</f>
        <v>144865</v>
      </c>
      <c r="C22" s="460">
        <f>VLOOKUP(A21,[27]進出口值表查詢結果!$B$10:$E$26,4,0)</f>
        <v>101990</v>
      </c>
      <c r="D22" s="461">
        <f>(B22-C22)/C22</f>
        <v>0.4203843514070007</v>
      </c>
      <c r="E22" s="459">
        <f>零件進出口!G22</f>
        <v>19526245</v>
      </c>
      <c r="F22" s="460">
        <f>VLOOKUP(A21,[27]進出口值表查詢結果!$B$10:$E$26,3,0)</f>
        <v>15209845</v>
      </c>
      <c r="G22" s="469">
        <f>(E22-F22)/F22</f>
        <v>0.28378987425578628</v>
      </c>
    </row>
    <row r="23" spans="1:7" ht="19.5">
      <c r="A23" s="423">
        <v>87149310007</v>
      </c>
      <c r="B23" s="465"/>
      <c r="C23" s="471"/>
      <c r="D23" s="481"/>
      <c r="E23" s="473"/>
      <c r="F23" s="474"/>
      <c r="G23" s="473"/>
    </row>
    <row r="24" spans="1:7" ht="19.5">
      <c r="A24" s="416" t="s">
        <v>214</v>
      </c>
      <c r="B24" s="459">
        <f>零件進出口!F24</f>
        <v>103391</v>
      </c>
      <c r="C24" s="460">
        <f>VLOOKUP(A23,[27]進出口值表查詢結果!$B$10:$E$26,4,0)</f>
        <v>81683</v>
      </c>
      <c r="D24" s="469">
        <f>(B24-C24)/C24</f>
        <v>0.26575909307934331</v>
      </c>
      <c r="E24" s="459">
        <f>零件進出口!G24</f>
        <v>8116485</v>
      </c>
      <c r="F24" s="460">
        <f>VLOOKUP(A23,[27]進出口值表查詢結果!$B$10:$E$26,3,0)</f>
        <v>7740548</v>
      </c>
      <c r="G24" s="469">
        <f>(E24-F24)/F24</f>
        <v>4.8567233224314353E-2</v>
      </c>
    </row>
    <row r="25" spans="1:7" ht="19.5">
      <c r="A25" s="416" t="s">
        <v>244</v>
      </c>
      <c r="B25" s="459"/>
      <c r="C25" s="462"/>
      <c r="D25" s="476"/>
      <c r="E25" s="464"/>
      <c r="F25" s="460"/>
      <c r="G25" s="479"/>
    </row>
    <row r="26" spans="1:7" ht="19.5">
      <c r="A26" s="423">
        <v>87149320103</v>
      </c>
      <c r="B26" s="465"/>
      <c r="C26" s="471"/>
      <c r="D26" s="472"/>
      <c r="E26" s="473"/>
      <c r="F26" s="474"/>
      <c r="G26" s="480"/>
    </row>
    <row r="27" spans="1:7" ht="39">
      <c r="A27" s="710" t="s">
        <v>427</v>
      </c>
      <c r="B27" s="459">
        <f>零件進出口!F28</f>
        <v>4099</v>
      </c>
      <c r="C27" s="460">
        <f>VLOOKUP(A26,[27]進出口值表查詢結果!$B$10:$E$26,4,0)</f>
        <v>4477</v>
      </c>
      <c r="D27" s="469">
        <f>(B27-C27)/C27</f>
        <v>-8.4431538976993528E-2</v>
      </c>
      <c r="E27" s="459">
        <f>零件進出口!G28</f>
        <v>132297</v>
      </c>
      <c r="F27" s="460">
        <f>VLOOKUP(A26,[27]進出口值表查詢結果!$B$10:$E$26,3,0)</f>
        <v>135599</v>
      </c>
      <c r="G27" s="469">
        <f>(E27-F27)/F27</f>
        <v>-2.4351212029587239E-2</v>
      </c>
    </row>
    <row r="28" spans="1:7" ht="19.5">
      <c r="A28" s="423">
        <v>87149410006</v>
      </c>
      <c r="B28" s="465"/>
      <c r="C28" s="471"/>
      <c r="D28" s="472"/>
      <c r="E28" s="473"/>
      <c r="F28" s="474"/>
      <c r="G28" s="473"/>
    </row>
    <row r="29" spans="1:7" ht="19.5">
      <c r="A29" s="416" t="s">
        <v>218</v>
      </c>
      <c r="B29" s="459">
        <f>零件進出口!F30</f>
        <v>14656</v>
      </c>
      <c r="C29" s="460">
        <f>VLOOKUP(A28,[27]進出口值表查詢結果!$B$10:$E$26,4,0)</f>
        <v>14553</v>
      </c>
      <c r="D29" s="469">
        <f>(B29-C29)/C29</f>
        <v>7.0775785061499346E-3</v>
      </c>
      <c r="E29" s="459">
        <f>零件進出口!G30</f>
        <v>414341</v>
      </c>
      <c r="F29" s="460">
        <f>VLOOKUP(A28,[27]進出口值表查詢結果!$B$10:$E$26,3,0)</f>
        <v>227269</v>
      </c>
      <c r="G29" s="461">
        <f>(E29-F29)/F29</f>
        <v>0.82313029933690918</v>
      </c>
    </row>
    <row r="30" spans="1:7" ht="19.5">
      <c r="A30" s="416" t="s">
        <v>219</v>
      </c>
      <c r="B30" s="459"/>
      <c r="C30" s="462"/>
      <c r="D30" s="476"/>
      <c r="E30" s="464"/>
      <c r="F30" s="460"/>
      <c r="G30" s="482"/>
    </row>
    <row r="31" spans="1:7" ht="19.5">
      <c r="A31" s="423">
        <v>87149490009</v>
      </c>
      <c r="B31" s="465"/>
      <c r="C31" s="471"/>
      <c r="D31" s="472"/>
      <c r="E31" s="473"/>
      <c r="F31" s="474"/>
      <c r="G31" s="483"/>
    </row>
    <row r="32" spans="1:7" ht="19.5">
      <c r="A32" s="416" t="s">
        <v>220</v>
      </c>
      <c r="B32" s="459">
        <f>零件進出口!F33</f>
        <v>738462</v>
      </c>
      <c r="C32" s="460">
        <f>VLOOKUP(A31,[27]進出口值表查詢結果!$B$10:$E$26,4,0)</f>
        <v>685991</v>
      </c>
      <c r="D32" s="469">
        <f>(B32-C32)/C32</f>
        <v>7.6489341696902732E-2</v>
      </c>
      <c r="E32" s="459">
        <f>零件進出口!G33</f>
        <v>31361786</v>
      </c>
      <c r="F32" s="460">
        <f>VLOOKUP(A31,[27]進出口值表查詢結果!$B$10:$E$26,3,0)</f>
        <v>27478819</v>
      </c>
      <c r="G32" s="469">
        <f>(E32-F32)/F32</f>
        <v>0.14130763771179541</v>
      </c>
    </row>
    <row r="33" spans="1:7" ht="19.5">
      <c r="A33" s="416" t="s">
        <v>221</v>
      </c>
      <c r="B33" s="459"/>
      <c r="C33" s="462"/>
      <c r="D33" s="476"/>
      <c r="E33" s="464"/>
      <c r="F33" s="460"/>
      <c r="G33" s="464"/>
    </row>
    <row r="34" spans="1:7" ht="19.5">
      <c r="A34" s="423">
        <v>87149500007</v>
      </c>
      <c r="B34" s="477"/>
      <c r="C34" s="471"/>
      <c r="D34" s="472"/>
      <c r="E34" s="473"/>
      <c r="F34" s="474"/>
      <c r="G34" s="473"/>
    </row>
    <row r="35" spans="1:7" ht="19.5">
      <c r="A35" s="416" t="s">
        <v>222</v>
      </c>
      <c r="B35" s="459">
        <f>零件進出口!F36</f>
        <v>277813</v>
      </c>
      <c r="C35" s="460">
        <f>VLOOKUP(A34,[27]進出口值表查詢結果!$B$10:$E$26,4,0)</f>
        <v>246731</v>
      </c>
      <c r="D35" s="469">
        <f>(B35-C35)/C35</f>
        <v>0.12597525240038746</v>
      </c>
      <c r="E35" s="459">
        <f>零件進出口!G36</f>
        <v>5740039</v>
      </c>
      <c r="F35" s="460">
        <f>VLOOKUP(A34,[27]進出口值表查詢結果!$B$10:$E$26,3,0)</f>
        <v>5228540</v>
      </c>
      <c r="G35" s="469">
        <f>(E35-F35)/F35</f>
        <v>9.7828265634383599E-2</v>
      </c>
    </row>
    <row r="36" spans="1:7" ht="19.5">
      <c r="A36" s="423">
        <v>87149610004</v>
      </c>
      <c r="B36" s="477"/>
      <c r="C36" s="471"/>
      <c r="D36" s="472"/>
      <c r="E36" s="473"/>
      <c r="F36" s="474"/>
      <c r="G36" s="483"/>
    </row>
    <row r="37" spans="1:7" ht="19.5">
      <c r="A37" s="416" t="s">
        <v>223</v>
      </c>
      <c r="B37" s="459">
        <f>零件進出口!F38</f>
        <v>289804</v>
      </c>
      <c r="C37" s="460">
        <f>VLOOKUP(A36,[27]進出口值表查詢結果!$B$10:$E$26,4,0)</f>
        <v>243354</v>
      </c>
      <c r="D37" s="469">
        <f>(B37-C37)/C37</f>
        <v>0.19087419972550276</v>
      </c>
      <c r="E37" s="459">
        <f>零件進出口!G38</f>
        <v>7677992</v>
      </c>
      <c r="F37" s="460">
        <f>VLOOKUP(A36,[27]進出口值表查詢結果!$B$10:$E$26,3,0)</f>
        <v>5895916</v>
      </c>
      <c r="G37" s="469">
        <f>(E37-F37)/F37</f>
        <v>0.30225600229039901</v>
      </c>
    </row>
    <row r="38" spans="1:7" ht="19.5">
      <c r="A38" s="423">
        <v>87149620002</v>
      </c>
      <c r="B38" s="465"/>
      <c r="C38" s="471"/>
      <c r="D38" s="472"/>
      <c r="E38" s="473"/>
      <c r="F38" s="474"/>
      <c r="G38" s="473"/>
    </row>
    <row r="39" spans="1:7" ht="19.5">
      <c r="A39" s="416" t="s">
        <v>224</v>
      </c>
      <c r="B39" s="459">
        <f>零件進出口!F40</f>
        <v>314021</v>
      </c>
      <c r="C39" s="460">
        <f>VLOOKUP(A38,[27]進出口值表查詢結果!$B$10:$E$26,4,0)</f>
        <v>266066</v>
      </c>
      <c r="D39" s="461">
        <f>(B39-C39)/C39</f>
        <v>0.18023723437041936</v>
      </c>
      <c r="E39" s="459">
        <f>零件進出口!G40</f>
        <v>16514013</v>
      </c>
      <c r="F39" s="460">
        <f>VLOOKUP(A38,[27]進出口值表查詢結果!$B$10:$E$26,3,0)</f>
        <v>12270371</v>
      </c>
      <c r="G39" s="469">
        <f>(E39-F39)/F39</f>
        <v>0.34584463664546083</v>
      </c>
    </row>
    <row r="40" spans="1:7" ht="19.5">
      <c r="A40" s="416" t="s">
        <v>219</v>
      </c>
      <c r="B40" s="459"/>
      <c r="C40" s="460"/>
      <c r="D40" s="484"/>
      <c r="E40" s="464"/>
      <c r="F40" s="460"/>
      <c r="G40" s="464"/>
    </row>
    <row r="41" spans="1:7" ht="19.5">
      <c r="A41" s="423">
        <v>73151100209</v>
      </c>
      <c r="B41" s="465"/>
      <c r="C41" s="465"/>
      <c r="D41" s="481"/>
      <c r="E41" s="473"/>
      <c r="F41" s="473"/>
      <c r="G41" s="473"/>
    </row>
    <row r="42" spans="1:7" ht="19.5">
      <c r="A42" s="416" t="s">
        <v>225</v>
      </c>
      <c r="B42" s="459">
        <f>零件進出口!F43</f>
        <v>225746</v>
      </c>
      <c r="C42" s="460">
        <v>194217</v>
      </c>
      <c r="D42" s="469">
        <f>(B42-C42)/C42</f>
        <v>0.16233903314333967</v>
      </c>
      <c r="E42" s="459">
        <f>零件進出口!G43</f>
        <v>4026213</v>
      </c>
      <c r="F42" s="460">
        <v>4049136</v>
      </c>
      <c r="G42" s="469">
        <f>(E42-F42)/F42</f>
        <v>-5.6612077243145204E-3</v>
      </c>
    </row>
    <row r="43" spans="1:7" ht="19.5">
      <c r="A43" s="416" t="s">
        <v>226</v>
      </c>
      <c r="B43" s="459"/>
      <c r="C43" s="462"/>
      <c r="D43" s="484"/>
      <c r="E43" s="464"/>
      <c r="F43" s="460"/>
      <c r="G43" s="482"/>
    </row>
    <row r="44" spans="1:7" ht="19.5">
      <c r="A44" s="423">
        <v>87149990111</v>
      </c>
      <c r="B44" s="465"/>
      <c r="C44" s="471"/>
      <c r="D44" s="481"/>
      <c r="E44" s="473"/>
      <c r="F44" s="474"/>
      <c r="G44" s="483"/>
    </row>
    <row r="45" spans="1:7" ht="19.5">
      <c r="A45" s="427" t="s">
        <v>227</v>
      </c>
      <c r="B45" s="459">
        <f>零件進出口!F46</f>
        <v>123000</v>
      </c>
      <c r="C45" s="460">
        <f>VLOOKUP(A44,[27]進出口值表查詢結果!$B$10:$E$26,4,0)</f>
        <v>140346</v>
      </c>
      <c r="D45" s="461">
        <f>(B45-C45)/C45</f>
        <v>-0.12359454491043564</v>
      </c>
      <c r="E45" s="459">
        <f>零件進出口!G46</f>
        <v>14819695</v>
      </c>
      <c r="F45" s="460">
        <f>VLOOKUP(A44,[27]進出口值表查詢結果!$B$10:$E$26,3,0)</f>
        <v>11329128</v>
      </c>
      <c r="G45" s="461">
        <f>(E45-F45)/F45</f>
        <v>0.30810553115826744</v>
      </c>
    </row>
    <row r="46" spans="1:7" ht="19.5">
      <c r="A46" s="416" t="s">
        <v>228</v>
      </c>
      <c r="B46" s="459"/>
      <c r="C46" s="462"/>
      <c r="D46" s="476"/>
      <c r="E46" s="464"/>
      <c r="F46" s="460"/>
      <c r="G46" s="482"/>
    </row>
    <row r="47" spans="1:7" ht="19.5">
      <c r="A47" s="423">
        <v>87149320906</v>
      </c>
      <c r="B47" s="465"/>
      <c r="C47" s="471"/>
      <c r="D47" s="472"/>
      <c r="E47" s="473"/>
      <c r="F47" s="474"/>
      <c r="G47" s="483"/>
    </row>
    <row r="48" spans="1:7" ht="19.5">
      <c r="A48" s="416" t="s">
        <v>428</v>
      </c>
      <c r="B48" s="459">
        <f>零件進出口!F49</f>
        <v>319169</v>
      </c>
      <c r="C48" s="460">
        <f>VLOOKUP(A47,[27]進出口值表查詢結果!$B$10:$E$26,4,0)</f>
        <v>254513</v>
      </c>
      <c r="D48" s="461">
        <f>(B48-C48)/C48</f>
        <v>0.25403810414399264</v>
      </c>
      <c r="E48" s="459">
        <f>零件進出口!G49</f>
        <v>13091715</v>
      </c>
      <c r="F48" s="460">
        <f>VLOOKUP(A47,[27]進出口值表查詢結果!$B$10:$E$26,3,0)</f>
        <v>8012021</v>
      </c>
      <c r="G48" s="461">
        <f>(E48-F48)/F48</f>
        <v>0.63400907211800872</v>
      </c>
    </row>
    <row r="49" spans="1:7" ht="19.5">
      <c r="A49" s="423">
        <v>87149990139</v>
      </c>
      <c r="B49" s="465"/>
      <c r="C49" s="471"/>
      <c r="D49" s="472"/>
      <c r="E49" s="473"/>
      <c r="F49" s="474"/>
      <c r="G49" s="483"/>
    </row>
    <row r="50" spans="1:7" ht="19.5">
      <c r="A50" s="416" t="s">
        <v>230</v>
      </c>
      <c r="B50" s="459">
        <f>零件進出口!F51</f>
        <v>16359</v>
      </c>
      <c r="C50" s="460">
        <f>VLOOKUP(A49,[27]進出口值表查詢結果!$B$10:$E$26,4,0)</f>
        <v>15442</v>
      </c>
      <c r="D50" s="469">
        <f>(B50-C50)/C50</f>
        <v>5.9383499546690845E-2</v>
      </c>
      <c r="E50" s="459">
        <f>零件進出口!G51</f>
        <v>444126</v>
      </c>
      <c r="F50" s="460">
        <f>VLOOKUP(A49,[27]進出口值表查詢結果!$B$10:$E$26,3,0)</f>
        <v>312867</v>
      </c>
      <c r="G50" s="469">
        <f>(E50-F50)/F50</f>
        <v>0.41953609680790876</v>
      </c>
    </row>
    <row r="51" spans="1:7" ht="19.5">
      <c r="A51" s="423">
        <v>87149990148</v>
      </c>
      <c r="B51" s="465"/>
      <c r="C51" s="471"/>
      <c r="D51" s="472"/>
      <c r="E51" s="473"/>
      <c r="F51" s="474"/>
      <c r="G51" s="483"/>
    </row>
    <row r="52" spans="1:7" ht="19.5">
      <c r="A52" s="428" t="s">
        <v>231</v>
      </c>
      <c r="B52" s="459">
        <f>零件進出口!F53</f>
        <v>142618</v>
      </c>
      <c r="C52" s="460">
        <f>VLOOKUP(A51,[27]進出口值表查詢結果!$B$10:$E$26,4,0)</f>
        <v>96101</v>
      </c>
      <c r="D52" s="469">
        <f>(B52-C52)/C52</f>
        <v>0.48404282993933467</v>
      </c>
      <c r="E52" s="459">
        <f>零件進出口!G53</f>
        <v>4624537</v>
      </c>
      <c r="F52" s="460">
        <f>VLOOKUP(A51,[27]進出口值表查詢結果!$B$10:$E$26,3,0)</f>
        <v>3347422</v>
      </c>
      <c r="G52" s="469">
        <f>(E52-F52)/F52</f>
        <v>0.3815219592868781</v>
      </c>
    </row>
    <row r="53" spans="1:7" ht="19.5">
      <c r="A53" s="416" t="s">
        <v>232</v>
      </c>
      <c r="B53" s="459"/>
      <c r="C53" s="462"/>
      <c r="D53" s="459"/>
      <c r="E53" s="464"/>
      <c r="F53" s="460"/>
      <c r="G53" s="464"/>
    </row>
    <row r="54" spans="1:7" ht="19.5">
      <c r="A54" s="423">
        <v>87149990157</v>
      </c>
      <c r="B54" s="465"/>
      <c r="C54" s="471"/>
      <c r="D54" s="477"/>
      <c r="E54" s="473"/>
      <c r="F54" s="474"/>
      <c r="G54" s="473"/>
    </row>
    <row r="55" spans="1:7" ht="19.5">
      <c r="A55" s="416" t="s">
        <v>233</v>
      </c>
      <c r="B55" s="459">
        <f>零件進出口!F56</f>
        <v>260642</v>
      </c>
      <c r="C55" s="460">
        <f>VLOOKUP(A54,[27]進出口值表查詢結果!$B$10:$E$26,4,0)</f>
        <v>176588</v>
      </c>
      <c r="D55" s="469">
        <f>(B55-C55)/C55</f>
        <v>0.47598930844678006</v>
      </c>
      <c r="E55" s="459">
        <f>零件進出口!G56</f>
        <v>9577064</v>
      </c>
      <c r="F55" s="460">
        <f>VLOOKUP(A54,[27]進出口值表查詢結果!$B$10:$E$26,3,0)</f>
        <v>7944572</v>
      </c>
      <c r="G55" s="469">
        <f>(E55-F55)/F55</f>
        <v>0.20548520423755992</v>
      </c>
    </row>
    <row r="56" spans="1:7" ht="19.5">
      <c r="A56" s="416" t="s">
        <v>234</v>
      </c>
      <c r="B56" s="459"/>
      <c r="C56" s="462"/>
      <c r="D56" s="459"/>
      <c r="E56" s="464"/>
      <c r="F56" s="460"/>
      <c r="G56" s="482"/>
    </row>
    <row r="57" spans="1:7" ht="19.5">
      <c r="A57" s="423">
        <v>87149990166</v>
      </c>
      <c r="B57" s="465"/>
      <c r="C57" s="471"/>
      <c r="D57" s="477"/>
      <c r="E57" s="473"/>
      <c r="F57" s="474"/>
      <c r="G57" s="483"/>
    </row>
    <row r="58" spans="1:7" ht="19.5">
      <c r="A58" s="416" t="s">
        <v>231</v>
      </c>
      <c r="B58" s="459">
        <f>零件進出口!F59</f>
        <v>210467</v>
      </c>
      <c r="C58" s="460">
        <f>VLOOKUP(A57,[27]進出口值表查詢結果!$B$10:$E$26,4,0)</f>
        <v>183797</v>
      </c>
      <c r="D58" s="469">
        <f>(B58-C58)/C58</f>
        <v>0.14510574166063647</v>
      </c>
      <c r="E58" s="459">
        <f>零件進出口!G59</f>
        <v>8378874</v>
      </c>
      <c r="F58" s="460">
        <f>VLOOKUP(A57,[27]進出口值表查詢結果!$B$10:$E$26,3,0)</f>
        <v>6209659</v>
      </c>
      <c r="G58" s="469">
        <f>(E58-F58)/F58</f>
        <v>0.3493291660620978</v>
      </c>
    </row>
    <row r="59" spans="1:7" ht="19.5">
      <c r="A59" s="423">
        <v>40115000008</v>
      </c>
      <c r="B59" s="477"/>
      <c r="C59" s="472"/>
      <c r="D59" s="472"/>
      <c r="E59" s="472"/>
      <c r="F59" s="472"/>
      <c r="G59" s="473"/>
    </row>
    <row r="60" spans="1:7" ht="19.5">
      <c r="A60" s="416" t="s">
        <v>235</v>
      </c>
      <c r="B60" s="459">
        <f>零件進出口!F61</f>
        <v>687861</v>
      </c>
      <c r="C60" s="460">
        <v>548474</v>
      </c>
      <c r="D60" s="469">
        <f>(B60-C60)/C60</f>
        <v>0.25413602103290217</v>
      </c>
      <c r="E60" s="459">
        <f>零件進出口!G61</f>
        <v>10840029</v>
      </c>
      <c r="F60" s="460">
        <v>8157739</v>
      </c>
      <c r="G60" s="469">
        <f>(E60-F60)/F60</f>
        <v>0.32880311566722104</v>
      </c>
    </row>
    <row r="61" spans="1:7" ht="19.5">
      <c r="A61" s="416" t="s">
        <v>236</v>
      </c>
      <c r="B61" s="459"/>
      <c r="C61" s="460"/>
      <c r="D61" s="463"/>
      <c r="E61" s="459"/>
      <c r="F61" s="460"/>
      <c r="G61" s="464"/>
    </row>
    <row r="62" spans="1:7" ht="19.5">
      <c r="A62" s="423">
        <v>40132000003</v>
      </c>
      <c r="B62" s="477"/>
      <c r="C62" s="472"/>
      <c r="D62" s="472"/>
      <c r="E62" s="472"/>
      <c r="F62" s="472"/>
      <c r="G62" s="473"/>
    </row>
    <row r="63" spans="1:7" ht="19.5">
      <c r="A63" s="416" t="s">
        <v>238</v>
      </c>
      <c r="B63" s="459">
        <f>零件進出口!F64</f>
        <v>64930</v>
      </c>
      <c r="C63" s="460">
        <v>104058</v>
      </c>
      <c r="D63" s="469">
        <f>(B63-C63)/C63</f>
        <v>-0.37602106517519074</v>
      </c>
      <c r="E63" s="459">
        <f>零件進出口!G64</f>
        <v>678215</v>
      </c>
      <c r="F63" s="460">
        <v>1014506</v>
      </c>
      <c r="G63" s="469">
        <f>(E63-F63)/F63</f>
        <v>-0.33148251464259454</v>
      </c>
    </row>
    <row r="64" spans="1:7" ht="19.5">
      <c r="A64" s="416" t="s">
        <v>239</v>
      </c>
      <c r="B64" s="459"/>
      <c r="C64" s="462"/>
      <c r="D64" s="463"/>
      <c r="E64" s="464"/>
      <c r="F64" s="460"/>
      <c r="G64" s="482"/>
    </row>
    <row r="65" spans="1:7" ht="19.5">
      <c r="A65" s="485" t="s">
        <v>240</v>
      </c>
      <c r="B65" s="486">
        <f>SUM(B6:B64)</f>
        <v>5559182</v>
      </c>
      <c r="C65" s="537">
        <f>SUM(C6:C64)</f>
        <v>4926004</v>
      </c>
      <c r="D65" s="94">
        <f>(B65-C65)/C65</f>
        <v>0.12853785746012386</v>
      </c>
      <c r="E65" s="535">
        <f>SUM(E7:E64)</f>
        <v>237183352</v>
      </c>
      <c r="F65" s="536">
        <f>SUM(F6:F64)</f>
        <v>208888866</v>
      </c>
      <c r="G65" s="94">
        <f>(E65-F65)/F65</f>
        <v>0.13545234143786294</v>
      </c>
    </row>
    <row r="66" spans="1:7" ht="7.5" customHeight="1">
      <c r="A66" s="739"/>
      <c r="B66" s="740"/>
      <c r="C66" s="741"/>
      <c r="D66" s="735"/>
      <c r="E66" s="742"/>
      <c r="F66" s="743"/>
      <c r="G66" s="735"/>
    </row>
    <row r="67" spans="1:7">
      <c r="A67" s="57" t="s">
        <v>456</v>
      </c>
      <c r="B67" s="3"/>
      <c r="C67" s="58"/>
      <c r="D67" s="3"/>
      <c r="E67" s="3"/>
      <c r="F67" s="3"/>
      <c r="G67" s="3"/>
    </row>
    <row r="68" spans="1:7" ht="18">
      <c r="A68" s="156" t="s">
        <v>186</v>
      </c>
      <c r="B68" s="61"/>
      <c r="C68" s="62"/>
      <c r="D68" s="64"/>
      <c r="E68" s="61"/>
      <c r="F68" s="62"/>
      <c r="G68" s="64"/>
    </row>
  </sheetData>
  <phoneticPr fontId="3" type="noConversion"/>
  <conditionalFormatting sqref="C59">
    <cfRule type="cellIs" dxfId="18" priority="11" operator="greaterThanOrEqual">
      <formula>0</formula>
    </cfRule>
    <cfRule type="cellIs" dxfId="17" priority="12" operator="lessThan">
      <formula>0</formula>
    </cfRule>
  </conditionalFormatting>
  <conditionalFormatting sqref="C62">
    <cfRule type="cellIs" dxfId="16" priority="9" operator="greaterThanOrEqual">
      <formula>0</formula>
    </cfRule>
    <cfRule type="cellIs" dxfId="15" priority="10" operator="lessThan">
      <formula>0</formula>
    </cfRule>
  </conditionalFormatting>
  <conditionalFormatting sqref="D1:D3 D5:D1048576">
    <cfRule type="cellIs" dxfId="14" priority="15" operator="greaterThanOrEqual">
      <formula>0</formula>
    </cfRule>
  </conditionalFormatting>
  <conditionalFormatting sqref="D1:D1048576">
    <cfRule type="cellIs" dxfId="13" priority="3" operator="lessThan">
      <formula>0</formula>
    </cfRule>
  </conditionalFormatting>
  <conditionalFormatting sqref="E59:F59">
    <cfRule type="cellIs" dxfId="12" priority="7" operator="greaterThanOrEqual">
      <formula>0</formula>
    </cfRule>
    <cfRule type="cellIs" dxfId="11" priority="8" operator="lessThan">
      <formula>0</formula>
    </cfRule>
  </conditionalFormatting>
  <conditionalFormatting sqref="E62:F62">
    <cfRule type="cellIs" dxfId="10" priority="5" operator="greaterThanOrEqual">
      <formula>0</formula>
    </cfRule>
    <cfRule type="cellIs" dxfId="9" priority="6" operator="lessThan">
      <formula>0</formula>
    </cfRule>
  </conditionalFormatting>
  <conditionalFormatting sqref="G1:G3 G5:G1048576">
    <cfRule type="cellIs" dxfId="8" priority="13" operator="greaterThanOrEqual">
      <formula>0</formula>
    </cfRule>
  </conditionalFormatting>
  <conditionalFormatting sqref="G1:G1048576">
    <cfRule type="cellIs" dxfId="7" priority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67"/>
  <sheetViews>
    <sheetView zoomScaleNormal="100" workbookViewId="0">
      <selection activeCell="A3" sqref="A3"/>
    </sheetView>
  </sheetViews>
  <sheetFormatPr defaultRowHeight="16.5"/>
  <cols>
    <col min="1" max="1" width="19.375" customWidth="1"/>
    <col min="2" max="2" width="15" customWidth="1"/>
    <col min="3" max="3" width="14.5" customWidth="1"/>
    <col min="4" max="4" width="12.625" customWidth="1"/>
    <col min="5" max="6" width="18.125" customWidth="1"/>
    <col min="7" max="7" width="13.625" customWidth="1"/>
  </cols>
  <sheetData>
    <row r="1" spans="1:7" ht="25.5">
      <c r="A1" s="639" t="s">
        <v>509</v>
      </c>
      <c r="B1" s="447"/>
      <c r="C1" s="448"/>
      <c r="D1" s="449"/>
      <c r="E1" s="447"/>
      <c r="F1" s="448"/>
      <c r="G1" s="449"/>
    </row>
    <row r="2" spans="1:7" ht="23.25">
      <c r="A2" s="450"/>
      <c r="B2" s="451"/>
      <c r="C2" s="452"/>
      <c r="D2" s="453"/>
      <c r="E2" s="409"/>
      <c r="F2" s="452"/>
      <c r="G2" s="453"/>
    </row>
    <row r="3" spans="1:7" ht="19.5">
      <c r="A3" s="373"/>
      <c r="B3" s="409"/>
      <c r="C3" s="452"/>
      <c r="D3" s="453"/>
      <c r="E3" s="409"/>
      <c r="F3" s="452"/>
      <c r="G3" s="453"/>
    </row>
    <row r="4" spans="1:7">
      <c r="A4" s="29" t="s">
        <v>242</v>
      </c>
      <c r="B4" s="24" t="s">
        <v>448</v>
      </c>
      <c r="C4" s="616" t="s">
        <v>449</v>
      </c>
      <c r="D4" s="617" t="s">
        <v>61</v>
      </c>
      <c r="E4" s="24" t="s">
        <v>448</v>
      </c>
      <c r="F4" s="616" t="s">
        <v>449</v>
      </c>
      <c r="G4" s="77" t="s">
        <v>61</v>
      </c>
    </row>
    <row r="5" spans="1:7">
      <c r="A5" s="48"/>
      <c r="B5" s="81" t="s">
        <v>243</v>
      </c>
      <c r="C5" s="79" t="s">
        <v>243</v>
      </c>
      <c r="D5" s="80" t="s">
        <v>2</v>
      </c>
      <c r="E5" s="81" t="s">
        <v>63</v>
      </c>
      <c r="F5" s="79" t="s">
        <v>63</v>
      </c>
      <c r="G5" s="80" t="s">
        <v>2</v>
      </c>
    </row>
    <row r="6" spans="1:7" ht="19.5">
      <c r="A6" s="454">
        <v>85121010001</v>
      </c>
      <c r="B6" s="455"/>
      <c r="C6" s="456"/>
      <c r="D6" s="457"/>
      <c r="E6" s="455"/>
      <c r="F6" s="456"/>
      <c r="G6" s="458"/>
    </row>
    <row r="7" spans="1:7" ht="19.5">
      <c r="A7" s="416" t="s">
        <v>203</v>
      </c>
      <c r="B7" s="487">
        <f>零件進出口!L7</f>
        <v>10065</v>
      </c>
      <c r="C7" s="460">
        <v>7639</v>
      </c>
      <c r="D7" s="469">
        <f>(B7-C7)/C7</f>
        <v>0.3175808351878518</v>
      </c>
      <c r="E7" s="459">
        <f>零件進出口!M7</f>
        <v>513848</v>
      </c>
      <c r="F7" s="460">
        <v>400348</v>
      </c>
      <c r="G7" s="469">
        <f>(E7-F7)/F7</f>
        <v>0.28350335208368721</v>
      </c>
    </row>
    <row r="8" spans="1:7" ht="19.5">
      <c r="A8" s="416" t="s">
        <v>204</v>
      </c>
      <c r="B8" s="459"/>
      <c r="C8" s="460"/>
      <c r="D8" s="488"/>
      <c r="E8" s="464"/>
      <c r="F8" s="460"/>
      <c r="G8" s="464"/>
    </row>
    <row r="9" spans="1:7" ht="19.5">
      <c r="A9" s="418">
        <v>85121020009</v>
      </c>
      <c r="B9" s="465"/>
      <c r="C9" s="465"/>
      <c r="D9" s="489"/>
      <c r="E9" s="465"/>
      <c r="F9" s="465"/>
      <c r="G9" s="465"/>
    </row>
    <row r="10" spans="1:7" ht="19.5">
      <c r="A10" s="416" t="s">
        <v>208</v>
      </c>
      <c r="B10" s="487">
        <f>零件進出口!L10</f>
        <v>2825</v>
      </c>
      <c r="C10" s="460">
        <v>3026</v>
      </c>
      <c r="D10" s="461">
        <f>(B10-C10)/C10</f>
        <v>-6.6424322538003969E-2</v>
      </c>
      <c r="E10" s="459">
        <f>零件進出口!M10</f>
        <v>289575</v>
      </c>
      <c r="F10" s="460">
        <v>261207</v>
      </c>
      <c r="G10" s="469">
        <f>(E10-F10)/F10</f>
        <v>0.10860352134514006</v>
      </c>
    </row>
    <row r="11" spans="1:7" ht="19.5">
      <c r="A11" s="416" t="s">
        <v>209</v>
      </c>
      <c r="B11" s="459"/>
      <c r="C11" s="462"/>
      <c r="D11" s="470"/>
      <c r="E11" s="464"/>
      <c r="F11" s="460"/>
      <c r="G11" s="482"/>
    </row>
    <row r="12" spans="1:7" ht="19.5">
      <c r="A12" s="423">
        <v>87149120007</v>
      </c>
      <c r="B12" s="465"/>
      <c r="C12" s="471"/>
      <c r="D12" s="472"/>
      <c r="E12" s="473"/>
      <c r="F12" s="474"/>
      <c r="G12" s="483"/>
    </row>
    <row r="13" spans="1:7" ht="19.5">
      <c r="A13" s="416" t="s">
        <v>210</v>
      </c>
      <c r="B13" s="487">
        <f>零件進出口!L13</f>
        <v>676542</v>
      </c>
      <c r="C13" s="460">
        <f>VLOOKUP(A12,[28]進出口值表查詢結果!$B$10:$E$26,4,0)</f>
        <v>569045</v>
      </c>
      <c r="D13" s="461">
        <f>(B13-C13)/C13</f>
        <v>0.18890773137449587</v>
      </c>
      <c r="E13" s="459">
        <f>零件進出口!M13</f>
        <v>40397049</v>
      </c>
      <c r="F13" s="460">
        <f>VLOOKUP(A12,[28]進出口值表查詢結果!$B$10:$E$26,3,0)</f>
        <v>39823711</v>
      </c>
      <c r="G13" s="461">
        <f>(E13-F13)/F13</f>
        <v>1.4396900379274047E-2</v>
      </c>
    </row>
    <row r="14" spans="1:7" ht="19.5">
      <c r="A14" s="416" t="s">
        <v>211</v>
      </c>
      <c r="B14" s="475"/>
      <c r="C14" s="490"/>
      <c r="D14" s="476"/>
      <c r="E14" s="464"/>
      <c r="F14" s="460"/>
      <c r="G14" s="482"/>
    </row>
    <row r="15" spans="1:7" ht="19.5">
      <c r="A15" s="423">
        <v>87149200108</v>
      </c>
      <c r="B15" s="465"/>
      <c r="C15" s="471"/>
      <c r="D15" s="472"/>
      <c r="E15" s="473"/>
      <c r="F15" s="474"/>
      <c r="G15" s="483"/>
    </row>
    <row r="16" spans="1:7" ht="19.5">
      <c r="A16" s="416" t="s">
        <v>212</v>
      </c>
      <c r="B16" s="487">
        <f>零件進出口!L16</f>
        <v>117148</v>
      </c>
      <c r="C16" s="460">
        <f>VLOOKUP(A15,[28]進出口值表查詢結果!$B$10:$E$26,4,0)</f>
        <v>87889</v>
      </c>
      <c r="D16" s="461">
        <f>(B16-C16)/C16</f>
        <v>0.33290855510928558</v>
      </c>
      <c r="E16" s="459">
        <f>零件進出口!M16</f>
        <v>10759141</v>
      </c>
      <c r="F16" s="460">
        <f>VLOOKUP(A15,[28]進出口值表查詢結果!$B$10:$E$26,3,0)</f>
        <v>9328912</v>
      </c>
      <c r="G16" s="461">
        <f>(E16-F16)/F16</f>
        <v>0.15331144725129789</v>
      </c>
    </row>
    <row r="17" spans="1:7" ht="19.5">
      <c r="A17" s="416"/>
      <c r="B17" s="459"/>
      <c r="C17" s="462"/>
      <c r="D17" s="459"/>
      <c r="E17" s="464"/>
      <c r="F17" s="460"/>
      <c r="G17" s="479"/>
    </row>
    <row r="18" spans="1:7" ht="19.5">
      <c r="A18" s="423">
        <v>87149200206</v>
      </c>
      <c r="B18" s="465"/>
      <c r="C18" s="471"/>
      <c r="D18" s="477"/>
      <c r="E18" s="473"/>
      <c r="F18" s="474"/>
      <c r="G18" s="480"/>
    </row>
    <row r="19" spans="1:7" ht="19.5">
      <c r="A19" s="416" t="s">
        <v>143</v>
      </c>
      <c r="B19" s="487">
        <f>零件進出口!L19</f>
        <v>29746</v>
      </c>
      <c r="C19" s="460">
        <f>VLOOKUP(A18,[28]進出口值表查詢結果!$B$10:$E$26,4,0)</f>
        <v>18884</v>
      </c>
      <c r="D19" s="461">
        <f>(B19-C19)/C19</f>
        <v>0.57519593306502859</v>
      </c>
      <c r="E19" s="459">
        <f>零件進出口!M19</f>
        <v>1863355</v>
      </c>
      <c r="F19" s="460">
        <f>VLOOKUP(A18,[28]進出口值表查詢結果!$B$10:$E$26,3,0)</f>
        <v>2122082</v>
      </c>
      <c r="G19" s="469">
        <f>(E19-F19)/F19</f>
        <v>-0.1219213018158582</v>
      </c>
    </row>
    <row r="20" spans="1:7" ht="19.5">
      <c r="A20" s="416"/>
      <c r="B20" s="459"/>
      <c r="C20" s="462"/>
      <c r="D20" s="476"/>
      <c r="E20" s="464"/>
      <c r="F20" s="460"/>
      <c r="G20" s="482"/>
    </row>
    <row r="21" spans="1:7" ht="19.5">
      <c r="A21" s="423">
        <v>87149200304</v>
      </c>
      <c r="B21" s="465"/>
      <c r="C21" s="471"/>
      <c r="D21" s="472"/>
      <c r="E21" s="473"/>
      <c r="F21" s="474"/>
      <c r="G21" s="483"/>
    </row>
    <row r="22" spans="1:7" ht="19.5">
      <c r="A22" s="416" t="s">
        <v>145</v>
      </c>
      <c r="B22" s="487">
        <f>零件進出口!L22</f>
        <v>19982</v>
      </c>
      <c r="C22" s="460">
        <f>VLOOKUP(A21,[28]進出口值表查詢結果!$B$10:$E$26,4,0)</f>
        <v>11533</v>
      </c>
      <c r="D22" s="469">
        <f>(B22-C22)/C22</f>
        <v>0.73259342755570966</v>
      </c>
      <c r="E22" s="459">
        <f>零件進出口!M22</f>
        <v>1318977</v>
      </c>
      <c r="F22" s="460">
        <f>VLOOKUP(A21,[28]進出口值表查詢結果!$B$10:$E$26,3,0)</f>
        <v>1534406</v>
      </c>
      <c r="G22" s="461">
        <f>(E22-F22)/F22</f>
        <v>-0.14039895568708674</v>
      </c>
    </row>
    <row r="23" spans="1:7" ht="19.5">
      <c r="A23" s="423">
        <v>87149310007</v>
      </c>
      <c r="B23" s="465"/>
      <c r="C23" s="471"/>
      <c r="D23" s="472"/>
      <c r="E23" s="473"/>
      <c r="F23" s="474"/>
      <c r="G23" s="483"/>
    </row>
    <row r="24" spans="1:7" ht="19.5">
      <c r="A24" s="416" t="s">
        <v>214</v>
      </c>
      <c r="B24" s="487">
        <f>零件進出口!L24</f>
        <v>91183</v>
      </c>
      <c r="C24" s="460">
        <f>VLOOKUP(A23,[28]進出口值表查詢結果!$B$10:$E$26,4,0)</f>
        <v>87288</v>
      </c>
      <c r="D24" s="469">
        <f>(B24-C24)/C24</f>
        <v>4.462239941343598E-2</v>
      </c>
      <c r="E24" s="459">
        <f>零件進出口!M24</f>
        <v>4441641</v>
      </c>
      <c r="F24" s="460">
        <f>VLOOKUP(A23,[28]進出口值表查詢結果!$B$10:$E$26,3,0)</f>
        <v>3987890</v>
      </c>
      <c r="G24" s="469">
        <f>(E24-F24)/F24</f>
        <v>0.11378222568827125</v>
      </c>
    </row>
    <row r="25" spans="1:7" ht="19.5">
      <c r="A25" s="416" t="s">
        <v>244</v>
      </c>
      <c r="B25" s="459"/>
      <c r="C25" s="462"/>
      <c r="D25" s="459"/>
      <c r="E25" s="464"/>
      <c r="F25" s="460"/>
      <c r="G25" s="464"/>
    </row>
    <row r="26" spans="1:7" ht="19.5">
      <c r="A26" s="423">
        <v>87149320103</v>
      </c>
      <c r="B26" s="465"/>
      <c r="C26" s="471"/>
      <c r="D26" s="477"/>
      <c r="E26" s="473"/>
      <c r="F26" s="474"/>
      <c r="G26" s="473"/>
    </row>
    <row r="27" spans="1:7" ht="39">
      <c r="A27" s="710" t="s">
        <v>427</v>
      </c>
      <c r="B27" s="487">
        <f>零件進出口!L28</f>
        <v>698</v>
      </c>
      <c r="C27" s="460">
        <f>VLOOKUP(A26,[28]進出口值表查詢結果!$B$10:$E$26,4,0)</f>
        <v>206</v>
      </c>
      <c r="D27" s="469">
        <f>(B27-C27)/C27</f>
        <v>2.3883495145631066</v>
      </c>
      <c r="E27" s="459">
        <f>零件進出口!M28</f>
        <v>37058</v>
      </c>
      <c r="F27" s="460">
        <f>VLOOKUP(A26,[28]進出口值表查詢結果!$B$10:$E$26,3,0)</f>
        <v>7692</v>
      </c>
      <c r="G27" s="469">
        <f>(E27-F27)/F27</f>
        <v>3.8177327093083724</v>
      </c>
    </row>
    <row r="28" spans="1:7" ht="19.5">
      <c r="A28" s="423">
        <v>87149410006</v>
      </c>
      <c r="B28" s="465"/>
      <c r="C28" s="471"/>
      <c r="D28" s="472"/>
      <c r="E28" s="473"/>
      <c r="F28" s="474"/>
      <c r="G28" s="473"/>
    </row>
    <row r="29" spans="1:7" ht="19.5">
      <c r="A29" s="416" t="s">
        <v>218</v>
      </c>
      <c r="B29" s="487">
        <f>零件進出口!L30</f>
        <v>7403</v>
      </c>
      <c r="C29" s="460">
        <f>VLOOKUP(A28,[28]進出口值表查詢結果!$B$10:$E$26,4,0)</f>
        <v>3197</v>
      </c>
      <c r="D29" s="461">
        <f>(B29-C29)/C29</f>
        <v>1.3156083828589302</v>
      </c>
      <c r="E29" s="459">
        <f>零件進出口!M30</f>
        <v>579043</v>
      </c>
      <c r="F29" s="460">
        <f>VLOOKUP(A28,[28]進出口值表查詢結果!$B$10:$E$26,3,0)</f>
        <v>324352</v>
      </c>
      <c r="G29" s="461">
        <f>(E29-F29)/F29</f>
        <v>0.78523024368587213</v>
      </c>
    </row>
    <row r="30" spans="1:7" ht="19.5">
      <c r="A30" s="416" t="s">
        <v>219</v>
      </c>
      <c r="B30" s="459"/>
      <c r="C30" s="462"/>
      <c r="D30" s="476"/>
      <c r="E30" s="464"/>
      <c r="F30" s="460"/>
      <c r="G30" s="464"/>
    </row>
    <row r="31" spans="1:7" ht="19.5">
      <c r="A31" s="423">
        <v>87149490009</v>
      </c>
      <c r="B31" s="465"/>
      <c r="C31" s="471"/>
      <c r="D31" s="472"/>
      <c r="E31" s="473"/>
      <c r="F31" s="474"/>
      <c r="G31" s="473"/>
    </row>
    <row r="32" spans="1:7" ht="19.5">
      <c r="A32" s="416" t="s">
        <v>220</v>
      </c>
      <c r="B32" s="487">
        <f>零件進出口!L33</f>
        <v>363745</v>
      </c>
      <c r="C32" s="460">
        <f>VLOOKUP(A31,[28]進出口值表查詢結果!$B$10:$E$26,4,0)</f>
        <v>219834</v>
      </c>
      <c r="D32" s="461">
        <f>(B32-C32)/C32</f>
        <v>0.65463486084955014</v>
      </c>
      <c r="E32" s="459">
        <f>零件進出口!M33</f>
        <v>19480303</v>
      </c>
      <c r="F32" s="460">
        <f>VLOOKUP(A31,[28]進出口值表查詢結果!$B$10:$E$26,3,0)</f>
        <v>12443558</v>
      </c>
      <c r="G32" s="461">
        <f>(E32-F32)/F32</f>
        <v>0.5654930044927664</v>
      </c>
    </row>
    <row r="33" spans="1:7" ht="19.5">
      <c r="A33" s="416" t="s">
        <v>221</v>
      </c>
      <c r="B33" s="459"/>
      <c r="C33" s="462"/>
      <c r="D33" s="476"/>
      <c r="E33" s="464"/>
      <c r="F33" s="460"/>
      <c r="G33" s="482"/>
    </row>
    <row r="34" spans="1:7" ht="19.5">
      <c r="A34" s="423">
        <v>87149500007</v>
      </c>
      <c r="B34" s="477"/>
      <c r="C34" s="471"/>
      <c r="D34" s="472"/>
      <c r="E34" s="473"/>
      <c r="F34" s="474"/>
      <c r="G34" s="483"/>
    </row>
    <row r="35" spans="1:7" ht="19.5">
      <c r="A35" s="416" t="s">
        <v>222</v>
      </c>
      <c r="B35" s="487">
        <f>零件進出口!L36</f>
        <v>106713</v>
      </c>
      <c r="C35" s="460">
        <f>VLOOKUP(A34,[28]進出口值表查詢結果!$B$10:$E$26,4,0)</f>
        <v>90761</v>
      </c>
      <c r="D35" s="469">
        <f>(B35-C35)/C35</f>
        <v>0.17575831028745828</v>
      </c>
      <c r="E35" s="459">
        <f>零件進出口!M36</f>
        <v>1944285</v>
      </c>
      <c r="F35" s="460">
        <f>VLOOKUP(A34,[28]進出口值表查詢結果!$B$10:$E$26,3,0)</f>
        <v>1318425</v>
      </c>
      <c r="G35" s="461">
        <f>(E35-F35)/F35</f>
        <v>0.47470277035098696</v>
      </c>
    </row>
    <row r="36" spans="1:7" ht="19.5">
      <c r="A36" s="423">
        <v>87149610004</v>
      </c>
      <c r="B36" s="477"/>
      <c r="C36" s="471"/>
      <c r="D36" s="472"/>
      <c r="E36" s="473"/>
      <c r="F36" s="474"/>
      <c r="G36" s="473"/>
    </row>
    <row r="37" spans="1:7" ht="19.5">
      <c r="A37" s="416" t="s">
        <v>223</v>
      </c>
      <c r="B37" s="487">
        <f>零件進出口!L38</f>
        <v>56257</v>
      </c>
      <c r="C37" s="460">
        <f>VLOOKUP(A36,[28]進出口值表查詢結果!$B$10:$E$26,4,0)</f>
        <v>14611</v>
      </c>
      <c r="D37" s="469">
        <f>(B37-C37)/C37</f>
        <v>2.8503182533707481</v>
      </c>
      <c r="E37" s="459">
        <f>零件進出口!M38</f>
        <v>447410</v>
      </c>
      <c r="F37" s="460">
        <f>VLOOKUP(A36,[28]進出口值表查詢結果!$B$10:$E$26,3,0)</f>
        <v>375783</v>
      </c>
      <c r="G37" s="469">
        <f>(E37-F37)/F37</f>
        <v>0.19060734519656292</v>
      </c>
    </row>
    <row r="38" spans="1:7" ht="19.5">
      <c r="A38" s="423">
        <v>87149620002</v>
      </c>
      <c r="B38" s="465"/>
      <c r="C38" s="471"/>
      <c r="D38" s="472"/>
      <c r="E38" s="473"/>
      <c r="F38" s="474"/>
      <c r="G38" s="480"/>
    </row>
    <row r="39" spans="1:7" ht="19.5">
      <c r="A39" s="416" t="s">
        <v>224</v>
      </c>
      <c r="B39" s="487">
        <f>零件進出口!L40</f>
        <v>184675</v>
      </c>
      <c r="C39" s="460">
        <f>VLOOKUP(A38,[28]進出口值表查詢結果!$B$10:$E$26,4,0)</f>
        <v>186781</v>
      </c>
      <c r="D39" s="469">
        <f>(B39-C39)/C39</f>
        <v>-1.1275236774618403E-2</v>
      </c>
      <c r="E39" s="459">
        <f>零件進出口!M40</f>
        <v>4887907</v>
      </c>
      <c r="F39" s="460">
        <f>VLOOKUP(A38,[28]進出口值表查詢結果!$B$10:$E$26,3,0)</f>
        <v>4775602</v>
      </c>
      <c r="G39" s="469">
        <f>(E39-F39)/F39</f>
        <v>2.3516406936758969E-2</v>
      </c>
    </row>
    <row r="40" spans="1:7" ht="19.5">
      <c r="A40" s="416" t="s">
        <v>219</v>
      </c>
      <c r="B40" s="459"/>
      <c r="C40" s="460"/>
      <c r="D40" s="484"/>
      <c r="E40" s="464"/>
      <c r="F40" s="460"/>
      <c r="G40" s="464"/>
    </row>
    <row r="41" spans="1:7" ht="19.5">
      <c r="A41" s="423">
        <v>73151100209</v>
      </c>
      <c r="B41" s="465"/>
      <c r="C41" s="477"/>
      <c r="D41" s="477"/>
      <c r="E41" s="477"/>
      <c r="F41" s="477"/>
      <c r="G41" s="473"/>
    </row>
    <row r="42" spans="1:7" ht="19.5">
      <c r="A42" s="416" t="s">
        <v>225</v>
      </c>
      <c r="B42" s="487">
        <f>零件進出口!L43</f>
        <v>160308</v>
      </c>
      <c r="C42" s="460">
        <v>178480</v>
      </c>
      <c r="D42" s="469">
        <f>(B42-C42)/C42</f>
        <v>-0.10181532944867772</v>
      </c>
      <c r="E42" s="459">
        <f>零件進出口!M43</f>
        <v>1755524</v>
      </c>
      <c r="F42" s="460">
        <v>2023931</v>
      </c>
      <c r="G42" s="469">
        <f>(E42-F42)/F42</f>
        <v>-0.1326166751732149</v>
      </c>
    </row>
    <row r="43" spans="1:7" ht="19.5">
      <c r="A43" s="416" t="s">
        <v>226</v>
      </c>
      <c r="B43" s="459"/>
      <c r="C43" s="462"/>
      <c r="D43" s="484"/>
      <c r="E43" s="464"/>
      <c r="F43" s="460"/>
      <c r="G43" s="464"/>
    </row>
    <row r="44" spans="1:7" ht="19.5">
      <c r="A44" s="423">
        <v>87149990111</v>
      </c>
      <c r="B44" s="465"/>
      <c r="C44" s="471"/>
      <c r="D44" s="481"/>
      <c r="E44" s="473"/>
      <c r="F44" s="474"/>
      <c r="G44" s="483"/>
    </row>
    <row r="45" spans="1:7" ht="19.5">
      <c r="A45" s="427" t="s">
        <v>227</v>
      </c>
      <c r="B45" s="487">
        <f>零件進出口!L46</f>
        <v>77060</v>
      </c>
      <c r="C45" s="460">
        <f>VLOOKUP(A44,[28]進出口值表查詢結果!$B$10:$E$26,4,0)</f>
        <v>38589</v>
      </c>
      <c r="D45" s="461">
        <f>(B45-C45)/C45</f>
        <v>0.99694213376869056</v>
      </c>
      <c r="E45" s="459">
        <f>零件進出口!M46</f>
        <v>5759344</v>
      </c>
      <c r="F45" s="460">
        <f>VLOOKUP(A44,[28]進出口值表查詢結果!$B$10:$E$26,3,0)</f>
        <v>3629157</v>
      </c>
      <c r="G45" s="461">
        <f>(E45-F45)/F45</f>
        <v>0.58696468628940546</v>
      </c>
    </row>
    <row r="46" spans="1:7" ht="19.5">
      <c r="A46" s="416" t="s">
        <v>228</v>
      </c>
      <c r="B46" s="459"/>
      <c r="C46" s="462"/>
      <c r="D46" s="484"/>
      <c r="E46" s="464"/>
      <c r="F46" s="460"/>
      <c r="G46" s="464"/>
    </row>
    <row r="47" spans="1:7" ht="19.5">
      <c r="A47" s="423">
        <v>87149320906</v>
      </c>
      <c r="B47" s="465"/>
      <c r="C47" s="471"/>
      <c r="D47" s="481"/>
      <c r="E47" s="473"/>
      <c r="F47" s="474"/>
      <c r="G47" s="473"/>
    </row>
    <row r="48" spans="1:7" ht="19.5">
      <c r="A48" s="416" t="s">
        <v>428</v>
      </c>
      <c r="B48" s="487">
        <f>零件進出口!L49</f>
        <v>47305</v>
      </c>
      <c r="C48" s="460">
        <f>VLOOKUP(A47,[28]進出口值表查詢結果!$B$10:$E$26,4,0)</f>
        <v>48318</v>
      </c>
      <c r="D48" s="461">
        <f>(B48-C48)/C48</f>
        <v>-2.0965271741380024E-2</v>
      </c>
      <c r="E48" s="459">
        <f>零件進出口!M49</f>
        <v>2011026</v>
      </c>
      <c r="F48" s="460">
        <f>VLOOKUP(A47,[28]進出口值表查詢結果!$B$10:$E$26,3,0)</f>
        <v>1990760</v>
      </c>
      <c r="G48" s="461">
        <f>(E48-F48)/F48</f>
        <v>1.0180031746669614E-2</v>
      </c>
    </row>
    <row r="49" spans="1:7" ht="19.5">
      <c r="A49" s="423">
        <v>87149990139</v>
      </c>
      <c r="B49" s="465"/>
      <c r="C49" s="471"/>
      <c r="D49" s="472"/>
      <c r="E49" s="473"/>
      <c r="F49" s="474"/>
      <c r="G49" s="480"/>
    </row>
    <row r="50" spans="1:7" ht="19.5">
      <c r="A50" s="416" t="s">
        <v>230</v>
      </c>
      <c r="B50" s="487">
        <f>零件進出口!L51</f>
        <v>14975</v>
      </c>
      <c r="C50" s="460">
        <f>VLOOKUP(A49,[28]進出口值表查詢結果!$B$10:$E$26,4,0)</f>
        <v>2839</v>
      </c>
      <c r="D50" s="469">
        <f>(B50-C50)/C50</f>
        <v>4.2747446283902786</v>
      </c>
      <c r="E50" s="459">
        <f>零件進出口!M51</f>
        <v>193355</v>
      </c>
      <c r="F50" s="460">
        <f>VLOOKUP(A49,[28]進出口值表查詢結果!$B$10:$E$26,3,0)</f>
        <v>76112</v>
      </c>
      <c r="G50" s="469">
        <f>(E50-F50)/F50</f>
        <v>1.5404009880176581</v>
      </c>
    </row>
    <row r="51" spans="1:7" ht="19.5">
      <c r="A51" s="423">
        <v>87149990148</v>
      </c>
      <c r="B51" s="465"/>
      <c r="C51" s="471"/>
      <c r="D51" s="472"/>
      <c r="E51" s="473"/>
      <c r="F51" s="474"/>
      <c r="G51" s="480"/>
    </row>
    <row r="52" spans="1:7" ht="19.5">
      <c r="A52" s="428" t="s">
        <v>231</v>
      </c>
      <c r="B52" s="487">
        <f>零件進出口!L53</f>
        <v>19680</v>
      </c>
      <c r="C52" s="460">
        <f>VLOOKUP(A51,[28]進出口值表查詢結果!$B$10:$E$26,4,0)</f>
        <v>22622</v>
      </c>
      <c r="D52" s="469">
        <f>(B52-C52)/C52</f>
        <v>-0.13005039342233224</v>
      </c>
      <c r="E52" s="459">
        <f>零件進出口!M53</f>
        <v>454916</v>
      </c>
      <c r="F52" s="460">
        <f>VLOOKUP(A51,[28]進出口值表查詢結果!$B$10:$E$26,3,0)</f>
        <v>820274</v>
      </c>
      <c r="G52" s="461">
        <f>(E52-F52)/F52</f>
        <v>-0.44540970456213413</v>
      </c>
    </row>
    <row r="53" spans="1:7" ht="19.5">
      <c r="A53" s="416" t="s">
        <v>232</v>
      </c>
      <c r="B53" s="459"/>
      <c r="C53" s="462"/>
      <c r="D53" s="459"/>
      <c r="E53" s="464"/>
      <c r="F53" s="460"/>
      <c r="G53" s="482"/>
    </row>
    <row r="54" spans="1:7" ht="19.5">
      <c r="A54" s="423">
        <v>87149990157</v>
      </c>
      <c r="B54" s="465"/>
      <c r="C54" s="471"/>
      <c r="D54" s="477"/>
      <c r="E54" s="473"/>
      <c r="F54" s="474"/>
      <c r="G54" s="483"/>
    </row>
    <row r="55" spans="1:7" ht="19.5">
      <c r="A55" s="416" t="s">
        <v>233</v>
      </c>
      <c r="B55" s="487">
        <f>零件進出口!L56</f>
        <v>65309</v>
      </c>
      <c r="C55" s="460">
        <f>VLOOKUP(A54,[28]進出口值表查詢結果!$B$10:$E$26,4,0)</f>
        <v>44645</v>
      </c>
      <c r="D55" s="469">
        <f>(B55-C55)/C55</f>
        <v>0.46285138313360957</v>
      </c>
      <c r="E55" s="459">
        <f>零件進出口!M56</f>
        <v>2068609</v>
      </c>
      <c r="F55" s="460">
        <f>VLOOKUP(A54,[28]進出口值表查詢結果!$B$10:$E$26,3,0)</f>
        <v>1611769</v>
      </c>
      <c r="G55" s="469">
        <f>(E55-F55)/F55</f>
        <v>0.28344012076172204</v>
      </c>
    </row>
    <row r="56" spans="1:7" ht="19.5">
      <c r="A56" s="416" t="s">
        <v>234</v>
      </c>
      <c r="B56" s="459"/>
      <c r="C56" s="462"/>
      <c r="D56" s="476"/>
      <c r="E56" s="464"/>
      <c r="F56" s="460"/>
      <c r="G56" s="464"/>
    </row>
    <row r="57" spans="1:7" ht="19.5">
      <c r="A57" s="423">
        <v>87149990166</v>
      </c>
      <c r="B57" s="465"/>
      <c r="C57" s="471"/>
      <c r="D57" s="472"/>
      <c r="E57" s="473"/>
      <c r="F57" s="474"/>
      <c r="G57" s="473"/>
    </row>
    <row r="58" spans="1:7" ht="19.5">
      <c r="A58" s="416" t="s">
        <v>231</v>
      </c>
      <c r="B58" s="487">
        <f>零件進出口!L59</f>
        <v>60574</v>
      </c>
      <c r="C58" s="460">
        <f>VLOOKUP(A57,[28]進出口值表查詢結果!$B$10:$E$26,4,0)</f>
        <v>47576</v>
      </c>
      <c r="D58" s="461">
        <f>(B58-C58)/C58</f>
        <v>0.27320497729947874</v>
      </c>
      <c r="E58" s="459">
        <f>零件進出口!M59</f>
        <v>4664194</v>
      </c>
      <c r="F58" s="460">
        <f>VLOOKUP(A57,[28]進出口值表查詢結果!$B$10:$E$26,3,0)</f>
        <v>3003838</v>
      </c>
      <c r="G58" s="461">
        <f>(E58-F58)/F58</f>
        <v>0.55274485508206506</v>
      </c>
    </row>
    <row r="59" spans="1:7" ht="19.5">
      <c r="A59" s="423">
        <v>40115000008</v>
      </c>
      <c r="B59" s="477"/>
      <c r="C59" s="477"/>
      <c r="D59" s="477"/>
      <c r="E59" s="477"/>
      <c r="F59" s="477"/>
      <c r="G59" s="473"/>
    </row>
    <row r="60" spans="1:7" ht="19.5">
      <c r="A60" s="416" t="s">
        <v>235</v>
      </c>
      <c r="B60" s="487">
        <f>零件進出口!L61</f>
        <v>273080</v>
      </c>
      <c r="C60" s="460">
        <v>253008</v>
      </c>
      <c r="D60" s="461">
        <f>(B60-C60)/C60</f>
        <v>7.9333459811547463E-2</v>
      </c>
      <c r="E60" s="459">
        <f>零件進出口!M61</f>
        <v>3002973</v>
      </c>
      <c r="F60" s="460">
        <v>2604774</v>
      </c>
      <c r="G60" s="461">
        <f>(E60-F60)/F60</f>
        <v>0.15287276362555829</v>
      </c>
    </row>
    <row r="61" spans="1:7" ht="19.5">
      <c r="A61" s="416" t="s">
        <v>236</v>
      </c>
      <c r="B61" s="459"/>
      <c r="C61" s="460"/>
      <c r="D61" s="488"/>
      <c r="E61" s="464"/>
      <c r="F61" s="460"/>
      <c r="G61" s="464"/>
    </row>
    <row r="62" spans="1:7" ht="19.5">
      <c r="A62" s="423">
        <v>40132000003</v>
      </c>
      <c r="B62" s="477"/>
      <c r="C62" s="477"/>
      <c r="D62" s="477"/>
      <c r="E62" s="477"/>
      <c r="F62" s="477"/>
      <c r="G62" s="473"/>
    </row>
    <row r="63" spans="1:7" ht="19.5">
      <c r="A63" s="416" t="s">
        <v>238</v>
      </c>
      <c r="B63" s="487">
        <f>零件進出口!L64</f>
        <v>84694</v>
      </c>
      <c r="C63" s="460">
        <v>48463</v>
      </c>
      <c r="D63" s="469">
        <f>(B63-C63)/C63</f>
        <v>0.74760126281905781</v>
      </c>
      <c r="E63" s="459">
        <f>零件進出口!M64</f>
        <v>609885</v>
      </c>
      <c r="F63" s="460">
        <v>368779</v>
      </c>
      <c r="G63" s="469">
        <f>(E63-F63)/F63</f>
        <v>0.65379536253420067</v>
      </c>
    </row>
    <row r="64" spans="1:7" ht="19.5">
      <c r="A64" s="416" t="s">
        <v>239</v>
      </c>
      <c r="B64" s="459"/>
      <c r="C64" s="462"/>
      <c r="D64" s="488"/>
      <c r="E64" s="464"/>
      <c r="F64" s="460"/>
      <c r="G64" s="464"/>
    </row>
    <row r="65" spans="1:7" ht="19.5">
      <c r="A65" s="485" t="s">
        <v>240</v>
      </c>
      <c r="B65" s="486">
        <f>SUM(B6:B64)-B64-B61-B20-B17-B11-B8</f>
        <v>2469967</v>
      </c>
      <c r="C65" s="537">
        <f>SUM(C6:C64)</f>
        <v>1985234</v>
      </c>
      <c r="D65" s="94">
        <f>(B65-C65)/C65</f>
        <v>0.24416920121255228</v>
      </c>
      <c r="E65" s="535">
        <f>SUM(E7:E64)</f>
        <v>107479418</v>
      </c>
      <c r="F65" s="536">
        <f>SUM(F6:F64)</f>
        <v>92833362</v>
      </c>
      <c r="G65" s="90">
        <f>(E65-F65)/F65</f>
        <v>0.15776716133581373</v>
      </c>
    </row>
    <row r="66" spans="1:7">
      <c r="A66" s="57" t="s">
        <v>178</v>
      </c>
      <c r="B66" s="3"/>
      <c r="C66" s="58"/>
      <c r="D66" s="3"/>
      <c r="E66" s="3"/>
      <c r="F66" s="3"/>
      <c r="G66" s="3"/>
    </row>
    <row r="67" spans="1:7" ht="18">
      <c r="A67" s="156" t="s">
        <v>186</v>
      </c>
      <c r="B67" s="61"/>
      <c r="C67" s="62"/>
      <c r="D67" s="64"/>
      <c r="E67" s="61"/>
      <c r="F67" s="62"/>
      <c r="G67" s="64"/>
    </row>
  </sheetData>
  <phoneticPr fontId="3" type="noConversion"/>
  <conditionalFormatting sqref="D1:D3 D5:D40 D42:D58 D60:D61 D63:D1048576">
    <cfRule type="cellIs" dxfId="6" priority="10" operator="greaterThanOrEqual">
      <formula>0</formula>
    </cfRule>
  </conditionalFormatting>
  <conditionalFormatting sqref="D1:D40">
    <cfRule type="cellIs" dxfId="5" priority="3" operator="lessThan">
      <formula>0</formula>
    </cfRule>
  </conditionalFormatting>
  <conditionalFormatting sqref="D42:D58 D60:D61 D63:D1048576">
    <cfRule type="cellIs" dxfId="4" priority="11" operator="lessThan">
      <formula>0</formula>
    </cfRule>
  </conditionalFormatting>
  <conditionalFormatting sqref="G1:G3 G5:G1048576">
    <cfRule type="cellIs" dxfId="3" priority="5" operator="greaterThanOrEqual">
      <formula>0</formula>
    </cfRule>
    <cfRule type="cellIs" dxfId="2" priority="7" operator="lessThanOrEqual">
      <formula>0</formula>
    </cfRule>
    <cfRule type="cellIs" priority="8" operator="greaterThanOrEqual">
      <formula>0</formula>
    </cfRule>
    <cfRule type="cellIs" dxfId="1" priority="9" operator="lessThan">
      <formula>0</formula>
    </cfRule>
  </conditionalFormatting>
  <conditionalFormatting sqref="G1:G1048576">
    <cfRule type="cellIs" dxfId="0" priority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N55"/>
  <sheetViews>
    <sheetView topLeftCell="A18" zoomScaleNormal="100" workbookViewId="0">
      <selection activeCell="C26" sqref="C26"/>
    </sheetView>
  </sheetViews>
  <sheetFormatPr defaultRowHeight="16.5"/>
  <cols>
    <col min="2" max="2" width="12.125" customWidth="1"/>
    <col min="3" max="3" width="11.375" customWidth="1"/>
    <col min="4" max="4" width="11.625" customWidth="1"/>
    <col min="5" max="5" width="10.875" customWidth="1"/>
    <col min="6" max="6" width="11.125" customWidth="1"/>
    <col min="7" max="7" width="11" customWidth="1"/>
    <col min="8" max="9" width="10.5" customWidth="1"/>
    <col min="10" max="10" width="10.875" customWidth="1"/>
    <col min="11" max="11" width="11.5" customWidth="1"/>
    <col min="12" max="12" width="11" customWidth="1"/>
    <col min="13" max="13" width="11.75" customWidth="1"/>
    <col min="14" max="14" width="12.625" customWidth="1"/>
  </cols>
  <sheetData>
    <row r="1" spans="1:14">
      <c r="A1" s="778" t="s">
        <v>418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778"/>
    </row>
    <row r="2" spans="1:14">
      <c r="A2" s="136" t="s">
        <v>245</v>
      </c>
      <c r="B2" s="136" t="s">
        <v>246</v>
      </c>
      <c r="C2" s="136" t="s">
        <v>247</v>
      </c>
      <c r="D2" s="136" t="s">
        <v>248</v>
      </c>
      <c r="E2" s="136" t="s">
        <v>249</v>
      </c>
      <c r="F2" s="136" t="s">
        <v>250</v>
      </c>
      <c r="G2" s="136" t="s">
        <v>251</v>
      </c>
      <c r="H2" s="136" t="s">
        <v>252</v>
      </c>
      <c r="I2" s="136" t="s">
        <v>414</v>
      </c>
      <c r="J2" s="136" t="s">
        <v>253</v>
      </c>
      <c r="K2" s="136" t="s">
        <v>254</v>
      </c>
      <c r="L2" s="136" t="s">
        <v>255</v>
      </c>
      <c r="M2" s="136" t="s">
        <v>256</v>
      </c>
      <c r="N2" s="136" t="s">
        <v>265</v>
      </c>
    </row>
    <row r="3" spans="1:14">
      <c r="A3" s="566" t="s">
        <v>258</v>
      </c>
      <c r="B3" s="565">
        <v>168336</v>
      </c>
      <c r="C3" s="565">
        <v>179694</v>
      </c>
      <c r="D3" s="565">
        <v>213056</v>
      </c>
      <c r="E3" s="565">
        <v>189766</v>
      </c>
      <c r="F3" s="565">
        <v>113822</v>
      </c>
      <c r="G3" s="565">
        <v>90667</v>
      </c>
      <c r="H3" s="565">
        <v>148745</v>
      </c>
      <c r="I3" s="565">
        <v>133223</v>
      </c>
      <c r="J3" s="565">
        <v>190801</v>
      </c>
      <c r="K3" s="565">
        <v>193115</v>
      </c>
      <c r="L3" s="565">
        <v>150260</v>
      </c>
      <c r="M3" s="565">
        <v>179593</v>
      </c>
      <c r="N3" s="564">
        <f t="shared" ref="N3:N19" si="0">SUM(B3,C3,D3,E3,F3,G3,H3,I3,J3,K3,L3,M3,)</f>
        <v>1951078</v>
      </c>
    </row>
    <row r="4" spans="1:14">
      <c r="A4" s="602" t="s">
        <v>413</v>
      </c>
      <c r="B4" s="601">
        <v>169926</v>
      </c>
      <c r="C4" s="601">
        <v>212937</v>
      </c>
      <c r="D4" s="601">
        <v>240753</v>
      </c>
      <c r="E4" s="601">
        <v>198155</v>
      </c>
      <c r="F4" s="601">
        <v>180963</v>
      </c>
      <c r="G4" s="601">
        <v>157240</v>
      </c>
      <c r="H4" s="601">
        <v>131610</v>
      </c>
      <c r="I4" s="601">
        <v>203662</v>
      </c>
      <c r="J4" s="601">
        <v>252592</v>
      </c>
      <c r="K4" s="601">
        <v>254579</v>
      </c>
      <c r="L4" s="601">
        <v>211913</v>
      </c>
      <c r="M4" s="601">
        <v>258295</v>
      </c>
      <c r="N4" s="600">
        <f t="shared" si="0"/>
        <v>2472625</v>
      </c>
    </row>
    <row r="5" spans="1:14">
      <c r="A5" s="566" t="s">
        <v>259</v>
      </c>
      <c r="B5" s="565">
        <v>303027</v>
      </c>
      <c r="C5" s="565">
        <v>277387</v>
      </c>
      <c r="D5" s="565">
        <v>326851</v>
      </c>
      <c r="E5" s="565">
        <v>323768</v>
      </c>
      <c r="F5" s="565">
        <v>264430</v>
      </c>
      <c r="G5" s="565">
        <v>161435</v>
      </c>
      <c r="H5" s="565">
        <v>165026</v>
      </c>
      <c r="I5" s="565">
        <v>204559</v>
      </c>
      <c r="J5" s="565">
        <v>240818</v>
      </c>
      <c r="K5" s="565">
        <v>323267</v>
      </c>
      <c r="L5" s="565">
        <v>220969</v>
      </c>
      <c r="M5" s="565">
        <v>236990</v>
      </c>
      <c r="N5" s="564">
        <f t="shared" si="0"/>
        <v>3048527</v>
      </c>
    </row>
    <row r="6" spans="1:14">
      <c r="A6" s="590" t="s">
        <v>412</v>
      </c>
      <c r="B6" s="589">
        <v>317988</v>
      </c>
      <c r="C6" s="589">
        <v>283755</v>
      </c>
      <c r="D6" s="589">
        <v>300917</v>
      </c>
      <c r="E6" s="589">
        <v>275269</v>
      </c>
      <c r="F6" s="589">
        <v>207006</v>
      </c>
      <c r="G6" s="589">
        <v>162842</v>
      </c>
      <c r="H6" s="589">
        <v>186465</v>
      </c>
      <c r="I6" s="589">
        <v>179729</v>
      </c>
      <c r="J6" s="589">
        <v>243141</v>
      </c>
      <c r="K6" s="589">
        <v>215861</v>
      </c>
      <c r="L6" s="589">
        <v>171732</v>
      </c>
      <c r="M6" s="589">
        <v>233289</v>
      </c>
      <c r="N6" s="588">
        <f t="shared" si="0"/>
        <v>2777994</v>
      </c>
    </row>
    <row r="7" spans="1:14">
      <c r="A7" s="566" t="s">
        <v>260</v>
      </c>
      <c r="B7" s="565">
        <v>368796</v>
      </c>
      <c r="C7" s="565">
        <v>259214</v>
      </c>
      <c r="D7" s="565">
        <v>315976</v>
      </c>
      <c r="E7" s="565">
        <v>281047</v>
      </c>
      <c r="F7" s="565">
        <v>298651</v>
      </c>
      <c r="G7" s="565">
        <v>201890</v>
      </c>
      <c r="H7" s="565">
        <v>217757</v>
      </c>
      <c r="I7" s="565">
        <v>258962</v>
      </c>
      <c r="J7" s="565">
        <v>268660</v>
      </c>
      <c r="K7" s="565">
        <v>309172</v>
      </c>
      <c r="L7" s="565">
        <v>264160</v>
      </c>
      <c r="M7" s="565">
        <v>288942</v>
      </c>
      <c r="N7" s="599">
        <f t="shared" si="0"/>
        <v>3333227</v>
      </c>
    </row>
    <row r="8" spans="1:14">
      <c r="A8" s="598" t="s">
        <v>261</v>
      </c>
      <c r="B8" s="597">
        <v>388127</v>
      </c>
      <c r="C8" s="597">
        <v>302209</v>
      </c>
      <c r="D8" s="597">
        <v>393201</v>
      </c>
      <c r="E8" s="597">
        <v>319528</v>
      </c>
      <c r="F8" s="597">
        <v>284725</v>
      </c>
      <c r="G8" s="597">
        <v>210255</v>
      </c>
      <c r="H8" s="597">
        <v>210925</v>
      </c>
      <c r="I8" s="597">
        <v>275587</v>
      </c>
      <c r="J8" s="597">
        <v>302075</v>
      </c>
      <c r="K8" s="597">
        <v>320684</v>
      </c>
      <c r="L8" s="597">
        <v>278776</v>
      </c>
      <c r="M8" s="597">
        <v>331344</v>
      </c>
      <c r="N8" s="582">
        <f t="shared" si="0"/>
        <v>3617436</v>
      </c>
    </row>
    <row r="9" spans="1:14">
      <c r="A9" s="596" t="s">
        <v>262</v>
      </c>
      <c r="B9" s="595">
        <v>341094</v>
      </c>
      <c r="C9" s="595">
        <v>302344</v>
      </c>
      <c r="D9" s="595">
        <v>290376</v>
      </c>
      <c r="E9" s="595">
        <v>167935</v>
      </c>
      <c r="F9" s="595">
        <v>133021</v>
      </c>
      <c r="G9" s="595">
        <v>128489</v>
      </c>
      <c r="H9" s="595">
        <v>165616</v>
      </c>
      <c r="I9" s="595">
        <v>211462</v>
      </c>
      <c r="J9" s="595">
        <v>256708</v>
      </c>
      <c r="K9" s="595">
        <v>296076</v>
      </c>
      <c r="L9" s="595">
        <v>267345</v>
      </c>
      <c r="M9" s="595">
        <v>245752</v>
      </c>
      <c r="N9" s="594">
        <f t="shared" si="0"/>
        <v>2806218</v>
      </c>
    </row>
    <row r="10" spans="1:14">
      <c r="A10" s="593" t="s">
        <v>263</v>
      </c>
      <c r="B10" s="592">
        <v>369123</v>
      </c>
      <c r="C10" s="592">
        <v>278194</v>
      </c>
      <c r="D10" s="592">
        <v>423977</v>
      </c>
      <c r="E10" s="592">
        <v>276901</v>
      </c>
      <c r="F10" s="592">
        <v>278905</v>
      </c>
      <c r="G10" s="592">
        <v>215468</v>
      </c>
      <c r="H10" s="592">
        <v>234408</v>
      </c>
      <c r="I10" s="592">
        <v>249777</v>
      </c>
      <c r="J10" s="592">
        <v>304407</v>
      </c>
      <c r="K10" s="592">
        <v>317138</v>
      </c>
      <c r="L10" s="592">
        <v>272049</v>
      </c>
      <c r="M10" s="592">
        <v>281704</v>
      </c>
      <c r="N10" s="591">
        <f t="shared" si="0"/>
        <v>3502051</v>
      </c>
    </row>
    <row r="11" spans="1:14">
      <c r="A11" s="590" t="s">
        <v>264</v>
      </c>
      <c r="B11" s="589">
        <v>287759</v>
      </c>
      <c r="C11" s="589">
        <v>266161</v>
      </c>
      <c r="D11" s="589">
        <v>322940</v>
      </c>
      <c r="E11" s="589">
        <v>216874</v>
      </c>
      <c r="F11" s="589">
        <v>192499</v>
      </c>
      <c r="G11" s="589">
        <v>176296</v>
      </c>
      <c r="H11" s="589">
        <v>170670</v>
      </c>
      <c r="I11" s="589">
        <v>195679</v>
      </c>
      <c r="J11" s="589">
        <v>228692</v>
      </c>
      <c r="K11" s="589">
        <v>219227</v>
      </c>
      <c r="L11" s="589">
        <v>245313</v>
      </c>
      <c r="M11" s="589">
        <v>224587</v>
      </c>
      <c r="N11" s="588">
        <f t="shared" si="0"/>
        <v>2746697</v>
      </c>
    </row>
    <row r="12" spans="1:14">
      <c r="A12" s="587" t="s">
        <v>411</v>
      </c>
      <c r="B12" s="586">
        <v>275240</v>
      </c>
      <c r="C12" s="586">
        <v>246465</v>
      </c>
      <c r="D12" s="586">
        <v>215255</v>
      </c>
      <c r="E12" s="586">
        <v>183710</v>
      </c>
      <c r="F12" s="586">
        <v>158708</v>
      </c>
      <c r="G12" s="586">
        <v>163673</v>
      </c>
      <c r="H12" s="586">
        <v>185602</v>
      </c>
      <c r="I12" s="586">
        <v>216719</v>
      </c>
      <c r="J12" s="586">
        <v>196077</v>
      </c>
      <c r="K12" s="586">
        <v>235900</v>
      </c>
      <c r="L12" s="586">
        <v>198516</v>
      </c>
      <c r="M12" s="586">
        <v>239761</v>
      </c>
      <c r="N12" s="585">
        <f t="shared" si="0"/>
        <v>2515626</v>
      </c>
    </row>
    <row r="13" spans="1:14">
      <c r="A13" s="584" t="s">
        <v>410</v>
      </c>
      <c r="B13" s="583">
        <v>249065</v>
      </c>
      <c r="C13" s="583">
        <v>187374</v>
      </c>
      <c r="D13" s="583">
        <v>176353</v>
      </c>
      <c r="E13" s="583">
        <v>148209</v>
      </c>
      <c r="F13" s="583">
        <v>121932</v>
      </c>
      <c r="G13" s="583">
        <v>125634</v>
      </c>
      <c r="H13" s="583">
        <v>163828</v>
      </c>
      <c r="I13" s="583">
        <v>142601</v>
      </c>
      <c r="J13" s="583">
        <v>152067</v>
      </c>
      <c r="K13" s="583">
        <v>187309</v>
      </c>
      <c r="L13" s="583">
        <v>145424</v>
      </c>
      <c r="M13" s="583">
        <v>181061</v>
      </c>
      <c r="N13" s="582">
        <f t="shared" si="0"/>
        <v>1980857</v>
      </c>
    </row>
    <row r="14" spans="1:14">
      <c r="A14" s="581" t="s">
        <v>409</v>
      </c>
      <c r="B14" s="580">
        <v>227748</v>
      </c>
      <c r="C14" s="580">
        <v>155696</v>
      </c>
      <c r="D14" s="580">
        <v>173137</v>
      </c>
      <c r="E14" s="580">
        <v>149369</v>
      </c>
      <c r="F14" s="580">
        <v>106726</v>
      </c>
      <c r="G14" s="580">
        <v>124122</v>
      </c>
      <c r="H14" s="580">
        <v>143853</v>
      </c>
      <c r="I14" s="580">
        <v>171808</v>
      </c>
      <c r="J14" s="580">
        <v>176633</v>
      </c>
      <c r="K14" s="580">
        <v>190331</v>
      </c>
      <c r="L14" s="580">
        <v>195472</v>
      </c>
      <c r="M14" s="580">
        <v>263986</v>
      </c>
      <c r="N14" s="579">
        <f t="shared" si="0"/>
        <v>2078881</v>
      </c>
    </row>
    <row r="15" spans="1:14">
      <c r="A15" s="578" t="s">
        <v>408</v>
      </c>
      <c r="B15" s="577">
        <v>284864</v>
      </c>
      <c r="C15" s="577">
        <v>231434</v>
      </c>
      <c r="D15" s="577">
        <v>205074</v>
      </c>
      <c r="E15" s="577">
        <v>161681</v>
      </c>
      <c r="F15" s="577">
        <v>197649</v>
      </c>
      <c r="G15" s="577">
        <v>143179</v>
      </c>
      <c r="H15" s="577">
        <v>147377</v>
      </c>
      <c r="I15" s="577">
        <v>163936</v>
      </c>
      <c r="J15" s="577">
        <v>178997</v>
      </c>
      <c r="K15" s="577">
        <v>150368</v>
      </c>
      <c r="L15" s="577">
        <v>144913</v>
      </c>
      <c r="M15" s="577">
        <v>195592</v>
      </c>
      <c r="N15" s="576">
        <f t="shared" si="0"/>
        <v>2205064</v>
      </c>
    </row>
    <row r="16" spans="1:14">
      <c r="A16" s="575" t="s">
        <v>407</v>
      </c>
      <c r="B16" s="574">
        <v>200884</v>
      </c>
      <c r="C16" s="574">
        <v>176990</v>
      </c>
      <c r="D16" s="574">
        <v>150631</v>
      </c>
      <c r="E16" s="574">
        <v>113996</v>
      </c>
      <c r="F16" s="574">
        <v>140269</v>
      </c>
      <c r="G16" s="574">
        <v>101800</v>
      </c>
      <c r="H16" s="574">
        <v>124544</v>
      </c>
      <c r="I16" s="574">
        <v>150803</v>
      </c>
      <c r="J16" s="574">
        <v>103076</v>
      </c>
      <c r="K16" s="574">
        <v>127789</v>
      </c>
      <c r="L16" s="574">
        <v>101384</v>
      </c>
      <c r="M16" s="574">
        <v>129814</v>
      </c>
      <c r="N16" s="573">
        <f t="shared" si="0"/>
        <v>1621980</v>
      </c>
    </row>
    <row r="17" spans="1:14">
      <c r="A17" s="572" t="s">
        <v>406</v>
      </c>
      <c r="B17" s="571">
        <v>176535</v>
      </c>
      <c r="C17" s="571">
        <v>148642</v>
      </c>
      <c r="D17" s="571">
        <v>110978</v>
      </c>
      <c r="E17" s="571">
        <v>83304</v>
      </c>
      <c r="F17" s="571">
        <v>86259</v>
      </c>
      <c r="G17" s="571">
        <v>66695</v>
      </c>
      <c r="H17" s="571">
        <v>81061</v>
      </c>
      <c r="I17" s="571">
        <v>93744</v>
      </c>
      <c r="J17" s="571">
        <v>123457</v>
      </c>
      <c r="K17" s="571">
        <v>99272</v>
      </c>
      <c r="L17" s="571">
        <v>105422</v>
      </c>
      <c r="M17" s="571">
        <v>108314</v>
      </c>
      <c r="N17" s="570">
        <f t="shared" si="0"/>
        <v>1283683</v>
      </c>
    </row>
    <row r="18" spans="1:14">
      <c r="A18" s="569" t="s">
        <v>405</v>
      </c>
      <c r="B18" s="568">
        <v>113063</v>
      </c>
      <c r="C18" s="568">
        <v>114167</v>
      </c>
      <c r="D18" s="568">
        <v>95697</v>
      </c>
      <c r="E18" s="568">
        <v>74151</v>
      </c>
      <c r="F18" s="568">
        <v>73050</v>
      </c>
      <c r="G18" s="568">
        <v>77432</v>
      </c>
      <c r="H18" s="568">
        <v>78518</v>
      </c>
      <c r="I18" s="568">
        <v>94584</v>
      </c>
      <c r="J18" s="568">
        <v>103180</v>
      </c>
      <c r="K18" s="568">
        <v>91570</v>
      </c>
      <c r="L18" s="568">
        <v>80145</v>
      </c>
      <c r="M18" s="568">
        <v>107269</v>
      </c>
      <c r="N18" s="567">
        <f t="shared" si="0"/>
        <v>1102826</v>
      </c>
    </row>
    <row r="19" spans="1:14">
      <c r="A19" s="566" t="s">
        <v>404</v>
      </c>
      <c r="B19" s="565">
        <v>118997</v>
      </c>
      <c r="C19" s="565">
        <v>97512</v>
      </c>
      <c r="D19" s="565">
        <v>95189</v>
      </c>
      <c r="E19" s="565">
        <v>69084</v>
      </c>
      <c r="F19" s="565">
        <v>77838</v>
      </c>
      <c r="G19" s="565">
        <v>82351</v>
      </c>
      <c r="H19" s="565">
        <v>73896</v>
      </c>
      <c r="I19" s="565">
        <v>74908</v>
      </c>
      <c r="J19" s="565">
        <v>78070</v>
      </c>
      <c r="K19" s="565">
        <v>77539</v>
      </c>
      <c r="L19" s="565">
        <v>61193</v>
      </c>
      <c r="M19" s="565">
        <v>78734</v>
      </c>
      <c r="N19" s="564">
        <f t="shared" si="0"/>
        <v>985311</v>
      </c>
    </row>
    <row r="20" spans="1:14">
      <c r="A20" s="563" t="s">
        <v>417</v>
      </c>
      <c r="B20" s="562">
        <v>71602</v>
      </c>
      <c r="C20" s="562">
        <v>57938</v>
      </c>
      <c r="D20" s="562">
        <v>50036</v>
      </c>
      <c r="E20" s="562">
        <v>35898</v>
      </c>
      <c r="F20" s="562">
        <v>42641</v>
      </c>
      <c r="G20" s="562">
        <v>48143</v>
      </c>
      <c r="H20" s="562">
        <v>41659</v>
      </c>
      <c r="I20" s="562">
        <v>67372</v>
      </c>
      <c r="J20" s="562">
        <v>44242</v>
      </c>
      <c r="K20" s="562">
        <v>58319</v>
      </c>
      <c r="L20" s="562">
        <v>49228</v>
      </c>
      <c r="M20" s="562">
        <v>58138</v>
      </c>
      <c r="N20" s="561">
        <f>SUM(B20+C20+D20+E20+F20+G20+H20+I20+J20+K20+L20+M20)</f>
        <v>625216</v>
      </c>
    </row>
    <row r="21" spans="1:14">
      <c r="A21" s="560" t="s">
        <v>438</v>
      </c>
      <c r="B21" s="559">
        <v>57647</v>
      </c>
      <c r="C21" s="559">
        <v>37324</v>
      </c>
      <c r="D21" s="559">
        <v>40790</v>
      </c>
      <c r="E21" s="559">
        <v>35829</v>
      </c>
      <c r="F21" s="559">
        <v>57168</v>
      </c>
      <c r="G21" s="559">
        <v>38807</v>
      </c>
      <c r="H21" s="559">
        <v>53884</v>
      </c>
      <c r="I21" s="559">
        <v>50475</v>
      </c>
      <c r="J21" s="559">
        <v>34783</v>
      </c>
      <c r="K21" s="559">
        <v>45148</v>
      </c>
      <c r="L21" s="559">
        <v>53955</v>
      </c>
      <c r="M21" s="559">
        <v>41823</v>
      </c>
      <c r="N21" s="558">
        <f>SUM(B21:M21)</f>
        <v>547633</v>
      </c>
    </row>
    <row r="22" spans="1:14">
      <c r="A22" s="557" t="s">
        <v>416</v>
      </c>
      <c r="B22" s="557">
        <v>35439</v>
      </c>
      <c r="C22" s="557">
        <v>50736</v>
      </c>
      <c r="D22" s="557">
        <v>40712</v>
      </c>
      <c r="E22" s="557">
        <v>41520</v>
      </c>
      <c r="F22" s="557">
        <v>45973</v>
      </c>
      <c r="G22" s="557">
        <v>34459</v>
      </c>
      <c r="H22" s="557">
        <v>37887</v>
      </c>
      <c r="I22" s="557">
        <v>43366</v>
      </c>
      <c r="J22" s="557">
        <v>46652</v>
      </c>
      <c r="K22" s="557">
        <v>52997</v>
      </c>
      <c r="L22" s="557">
        <v>58255</v>
      </c>
      <c r="M22" s="557">
        <v>37856</v>
      </c>
      <c r="N22" s="557">
        <f>SUM(B22:M22)</f>
        <v>525852</v>
      </c>
    </row>
    <row r="23" spans="1:14">
      <c r="A23" s="632" t="s">
        <v>432</v>
      </c>
      <c r="B23" s="633">
        <v>55261</v>
      </c>
      <c r="C23" s="633">
        <v>33882</v>
      </c>
      <c r="D23" s="633">
        <v>38590</v>
      </c>
      <c r="E23" s="633">
        <v>41561</v>
      </c>
      <c r="F23" s="633">
        <v>41432</v>
      </c>
      <c r="G23" s="633">
        <v>24646</v>
      </c>
      <c r="H23" s="633">
        <v>29164</v>
      </c>
      <c r="I23" s="633">
        <v>31742</v>
      </c>
      <c r="J23" s="633">
        <v>25773</v>
      </c>
      <c r="K23" s="633">
        <v>20059</v>
      </c>
      <c r="L23" s="633">
        <v>18634</v>
      </c>
      <c r="M23" s="633">
        <v>23876</v>
      </c>
      <c r="N23" s="633">
        <f>SUM(B23:M23)</f>
        <v>384620</v>
      </c>
    </row>
    <row r="24" spans="1:14">
      <c r="A24" s="668" t="s">
        <v>436</v>
      </c>
      <c r="B24" s="669">
        <v>22597</v>
      </c>
      <c r="C24" s="670">
        <v>20879</v>
      </c>
      <c r="D24" s="670">
        <v>27621</v>
      </c>
      <c r="E24" s="670">
        <v>19678</v>
      </c>
      <c r="F24" s="670">
        <v>19676</v>
      </c>
      <c r="G24" s="670">
        <v>24340</v>
      </c>
      <c r="H24" s="670">
        <v>13085</v>
      </c>
      <c r="I24" s="670">
        <v>28367</v>
      </c>
      <c r="J24" s="670">
        <v>15235</v>
      </c>
      <c r="K24" s="670">
        <v>20020</v>
      </c>
      <c r="L24" s="670">
        <v>15967</v>
      </c>
      <c r="M24" s="670">
        <v>29393</v>
      </c>
      <c r="N24" s="670">
        <v>256858</v>
      </c>
    </row>
    <row r="25" spans="1:14">
      <c r="A25" s="712" t="s">
        <v>446</v>
      </c>
      <c r="B25" s="713">
        <v>13209</v>
      </c>
      <c r="C25" s="714">
        <v>24798</v>
      </c>
      <c r="D25" s="714">
        <v>19241</v>
      </c>
      <c r="E25" s="714">
        <v>13706</v>
      </c>
      <c r="F25" s="714">
        <v>14490</v>
      </c>
      <c r="G25" s="714">
        <v>15344</v>
      </c>
      <c r="H25" s="714">
        <v>18577</v>
      </c>
      <c r="I25" s="714">
        <v>16961</v>
      </c>
      <c r="J25" s="714">
        <v>13677</v>
      </c>
      <c r="K25" s="714">
        <v>11415</v>
      </c>
      <c r="L25" s="714">
        <v>15329</v>
      </c>
      <c r="M25" s="744">
        <v>17741</v>
      </c>
      <c r="N25" s="744">
        <f>SUM(B25:M25)</f>
        <v>194488</v>
      </c>
    </row>
    <row r="26" spans="1:14">
      <c r="A26" s="745" t="s">
        <v>460</v>
      </c>
      <c r="B26" s="746">
        <v>15712</v>
      </c>
      <c r="C26" s="606">
        <v>19642</v>
      </c>
      <c r="D26" s="606"/>
      <c r="E26" s="606"/>
      <c r="F26" s="606"/>
      <c r="G26" s="606"/>
      <c r="H26" s="606"/>
      <c r="I26" s="606"/>
      <c r="J26" s="606"/>
      <c r="K26" s="606"/>
      <c r="L26" s="606"/>
      <c r="M26" s="606"/>
      <c r="N26" s="744">
        <f>SUM(B26:M26)</f>
        <v>35354</v>
      </c>
    </row>
    <row r="27" spans="1:14">
      <c r="A27" s="406" t="s">
        <v>402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>
      <c r="A28" s="406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665" t="s">
        <v>437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s="640" customFormat="1">
      <c r="A30" s="136" t="s">
        <v>245</v>
      </c>
      <c r="B30" s="136" t="s">
        <v>246</v>
      </c>
      <c r="C30" s="136" t="s">
        <v>247</v>
      </c>
      <c r="D30" s="136" t="s">
        <v>248</v>
      </c>
      <c r="E30" s="136" t="s">
        <v>249</v>
      </c>
      <c r="F30" s="136" t="s">
        <v>250</v>
      </c>
      <c r="G30" s="136" t="s">
        <v>251</v>
      </c>
      <c r="H30" s="136" t="s">
        <v>252</v>
      </c>
      <c r="I30" s="136" t="s">
        <v>414</v>
      </c>
      <c r="J30" s="136" t="s">
        <v>253</v>
      </c>
      <c r="K30" s="136" t="s">
        <v>254</v>
      </c>
      <c r="L30" s="136" t="s">
        <v>255</v>
      </c>
      <c r="M30" s="136" t="s">
        <v>256</v>
      </c>
      <c r="N30" s="136" t="s">
        <v>265</v>
      </c>
    </row>
    <row r="31" spans="1:14" s="640" customFormat="1">
      <c r="A31" s="658" t="s">
        <v>435</v>
      </c>
      <c r="B31" s="666">
        <v>11331</v>
      </c>
      <c r="C31" s="666">
        <v>9752</v>
      </c>
      <c r="D31" s="666">
        <v>16238</v>
      </c>
      <c r="E31" s="666">
        <v>12916</v>
      </c>
      <c r="F31" s="666">
        <v>7853</v>
      </c>
      <c r="G31" s="666">
        <v>7456</v>
      </c>
      <c r="H31" s="666">
        <v>13707</v>
      </c>
      <c r="I31" s="666">
        <v>12404</v>
      </c>
      <c r="J31" s="666">
        <v>12181</v>
      </c>
      <c r="K31" s="666">
        <v>12284</v>
      </c>
      <c r="L31" s="666">
        <v>9737</v>
      </c>
      <c r="M31" s="666">
        <v>7302</v>
      </c>
      <c r="N31" s="666">
        <f>SUM(B31:M31)</f>
        <v>133161</v>
      </c>
    </row>
    <row r="32" spans="1:14">
      <c r="A32" s="660" t="s">
        <v>432</v>
      </c>
      <c r="B32" s="667">
        <v>11699</v>
      </c>
      <c r="C32" s="667">
        <v>6119</v>
      </c>
      <c r="D32" s="667">
        <v>4486</v>
      </c>
      <c r="E32" s="667">
        <v>8297</v>
      </c>
      <c r="F32" s="667">
        <v>5878</v>
      </c>
      <c r="G32" s="667">
        <v>8622</v>
      </c>
      <c r="H32" s="667">
        <v>5548</v>
      </c>
      <c r="I32" s="667">
        <v>9075</v>
      </c>
      <c r="J32" s="667">
        <v>5377</v>
      </c>
      <c r="K32" s="667">
        <v>4172</v>
      </c>
      <c r="L32" s="667">
        <v>4093</v>
      </c>
      <c r="M32" s="667">
        <v>2148</v>
      </c>
      <c r="N32" s="666">
        <f>SUM(B32:M32)</f>
        <v>75514</v>
      </c>
    </row>
    <row r="33" spans="1:14">
      <c r="A33" s="660" t="s">
        <v>436</v>
      </c>
      <c r="B33" s="667">
        <v>3229</v>
      </c>
      <c r="C33" s="667">
        <v>4519</v>
      </c>
      <c r="D33" s="667">
        <v>3732</v>
      </c>
      <c r="E33" s="667">
        <v>5253</v>
      </c>
      <c r="F33" s="667">
        <v>4520</v>
      </c>
      <c r="G33" s="667">
        <v>4442</v>
      </c>
      <c r="H33" s="667">
        <v>6260</v>
      </c>
      <c r="I33" s="667">
        <v>6458</v>
      </c>
      <c r="J33" s="667">
        <v>3510</v>
      </c>
      <c r="K33" s="667">
        <v>3306</v>
      </c>
      <c r="L33" s="667">
        <v>4992</v>
      </c>
      <c r="M33" s="667">
        <v>4138</v>
      </c>
      <c r="N33" s="666">
        <v>54359</v>
      </c>
    </row>
    <row r="34" spans="1:14">
      <c r="A34" s="660" t="s">
        <v>446</v>
      </c>
      <c r="B34" s="667">
        <v>3877</v>
      </c>
      <c r="C34" s="667">
        <v>4251</v>
      </c>
      <c r="D34" s="667">
        <v>3213</v>
      </c>
      <c r="E34" s="667">
        <v>2493</v>
      </c>
      <c r="F34" s="667">
        <v>3491</v>
      </c>
      <c r="G34" s="667">
        <v>2822</v>
      </c>
      <c r="H34" s="667">
        <v>5873</v>
      </c>
      <c r="I34" s="667">
        <v>7418</v>
      </c>
      <c r="J34" s="667">
        <v>7670</v>
      </c>
      <c r="K34" s="667">
        <v>3264</v>
      </c>
      <c r="L34" s="667">
        <v>4093</v>
      </c>
      <c r="M34" s="667">
        <v>4358</v>
      </c>
      <c r="N34" s="666">
        <f>SUM(B34:M34)</f>
        <v>52823</v>
      </c>
    </row>
    <row r="35" spans="1:14">
      <c r="A35" s="660" t="s">
        <v>461</v>
      </c>
      <c r="B35" s="667">
        <v>3463</v>
      </c>
      <c r="C35" s="667">
        <v>4226</v>
      </c>
      <c r="D35" s="667"/>
      <c r="E35" s="667"/>
      <c r="F35" s="667"/>
      <c r="G35" s="667"/>
      <c r="H35" s="667"/>
      <c r="I35" s="667"/>
      <c r="J35" s="667"/>
      <c r="K35" s="667"/>
      <c r="L35" s="667"/>
      <c r="M35" s="667"/>
      <c r="N35" s="666"/>
    </row>
    <row r="36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11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11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>
      <c r="K47" s="4"/>
      <c r="L47" s="4"/>
      <c r="M47" s="4"/>
      <c r="N47" s="4"/>
    </row>
    <row r="55" spans="1:10">
      <c r="A55" s="779" t="s">
        <v>463</v>
      </c>
      <c r="B55" s="779"/>
      <c r="C55" s="779"/>
      <c r="D55" s="779"/>
      <c r="E55" s="779"/>
      <c r="F55" s="779"/>
      <c r="G55" s="779"/>
      <c r="H55" s="779"/>
      <c r="I55" s="779"/>
      <c r="J55" s="779"/>
    </row>
  </sheetData>
  <mergeCells count="2">
    <mergeCell ref="A1:N1"/>
    <mergeCell ref="A55:J55"/>
  </mergeCells>
  <phoneticPr fontId="3" type="noConversion"/>
  <pageMargins left="0.56000000000000005" right="0.7" top="0.39" bottom="0.32" header="0.22" footer="0.21"/>
  <pageSetup paperSize="9" scale="81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N56"/>
  <sheetViews>
    <sheetView topLeftCell="A36" zoomScaleNormal="100" workbookViewId="0">
      <selection activeCell="C26" sqref="C26"/>
    </sheetView>
  </sheetViews>
  <sheetFormatPr defaultRowHeight="16.5"/>
  <cols>
    <col min="1" max="1" width="8.375" customWidth="1"/>
    <col min="2" max="2" width="14.625" bestFit="1" customWidth="1"/>
    <col min="3" max="9" width="13.875" bestFit="1" customWidth="1"/>
    <col min="10" max="10" width="14.625" bestFit="1" customWidth="1"/>
    <col min="11" max="11" width="13.875" bestFit="1" customWidth="1"/>
    <col min="12" max="13" width="14.625" bestFit="1" customWidth="1"/>
    <col min="14" max="14" width="15" bestFit="1" customWidth="1"/>
  </cols>
  <sheetData>
    <row r="1" spans="1:14">
      <c r="A1" s="778" t="s">
        <v>421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778"/>
    </row>
    <row r="2" spans="1:14">
      <c r="A2" s="136" t="s">
        <v>245</v>
      </c>
      <c r="B2" s="136" t="s">
        <v>246</v>
      </c>
      <c r="C2" s="136" t="s">
        <v>247</v>
      </c>
      <c r="D2" s="136" t="s">
        <v>248</v>
      </c>
      <c r="E2" s="136" t="s">
        <v>249</v>
      </c>
      <c r="F2" s="136" t="s">
        <v>250</v>
      </c>
      <c r="G2" s="136" t="s">
        <v>251</v>
      </c>
      <c r="H2" s="136" t="s">
        <v>252</v>
      </c>
      <c r="I2" s="136" t="s">
        <v>414</v>
      </c>
      <c r="J2" s="136" t="s">
        <v>253</v>
      </c>
      <c r="K2" s="136" t="s">
        <v>254</v>
      </c>
      <c r="L2" s="136" t="s">
        <v>255</v>
      </c>
      <c r="M2" s="136" t="s">
        <v>256</v>
      </c>
      <c r="N2" s="136" t="s">
        <v>265</v>
      </c>
    </row>
    <row r="3" spans="1:14">
      <c r="A3" s="565" t="s">
        <v>258</v>
      </c>
      <c r="B3" s="565">
        <v>23813641</v>
      </c>
      <c r="C3" s="565">
        <v>25887536</v>
      </c>
      <c r="D3" s="565">
        <v>30368929</v>
      </c>
      <c r="E3" s="565">
        <v>23897720</v>
      </c>
      <c r="F3" s="565">
        <v>11435050</v>
      </c>
      <c r="G3" s="565">
        <v>9214966</v>
      </c>
      <c r="H3" s="565">
        <v>14866223</v>
      </c>
      <c r="I3" s="565">
        <v>17108420</v>
      </c>
      <c r="J3" s="565">
        <v>24769021</v>
      </c>
      <c r="K3" s="565">
        <v>25272762</v>
      </c>
      <c r="L3" s="565">
        <v>24364601</v>
      </c>
      <c r="M3" s="565">
        <v>31474894</v>
      </c>
      <c r="N3" s="564">
        <f t="shared" ref="N3:N18" si="0">SUM(B3,C3,D3,E3,F3,G3,H3,I3,J3,K3,L3,M3,)</f>
        <v>262473763</v>
      </c>
    </row>
    <row r="4" spans="1:14">
      <c r="A4" s="595" t="s">
        <v>413</v>
      </c>
      <c r="B4" s="595">
        <v>26005184</v>
      </c>
      <c r="C4" s="595">
        <v>30766277</v>
      </c>
      <c r="D4" s="595">
        <v>35899667</v>
      </c>
      <c r="E4" s="595">
        <v>26956016</v>
      </c>
      <c r="F4" s="595">
        <v>22109521</v>
      </c>
      <c r="G4" s="595">
        <v>17684454</v>
      </c>
      <c r="H4" s="595">
        <v>15377475</v>
      </c>
      <c r="I4" s="595">
        <v>26212941</v>
      </c>
      <c r="J4" s="595">
        <v>32358587</v>
      </c>
      <c r="K4" s="595">
        <v>39049029</v>
      </c>
      <c r="L4" s="595">
        <v>37428583</v>
      </c>
      <c r="M4" s="595">
        <v>45595687</v>
      </c>
      <c r="N4" s="594">
        <f t="shared" si="0"/>
        <v>355443421</v>
      </c>
    </row>
    <row r="5" spans="1:14">
      <c r="A5" s="565" t="s">
        <v>259</v>
      </c>
      <c r="B5" s="565">
        <v>48644083</v>
      </c>
      <c r="C5" s="565">
        <v>40425430</v>
      </c>
      <c r="D5" s="565">
        <v>48800862</v>
      </c>
      <c r="E5" s="565">
        <v>45809885</v>
      </c>
      <c r="F5" s="565">
        <v>36515749</v>
      </c>
      <c r="G5" s="565">
        <v>20458813</v>
      </c>
      <c r="H5" s="565">
        <v>20097508</v>
      </c>
      <c r="I5" s="565">
        <v>32645666</v>
      </c>
      <c r="J5" s="565">
        <v>37224040</v>
      </c>
      <c r="K5" s="565">
        <v>50876633</v>
      </c>
      <c r="L5" s="565">
        <v>45112322</v>
      </c>
      <c r="M5" s="565">
        <v>44287887</v>
      </c>
      <c r="N5" s="564">
        <f t="shared" si="0"/>
        <v>470898878</v>
      </c>
    </row>
    <row r="6" spans="1:14">
      <c r="A6" s="612" t="s">
        <v>412</v>
      </c>
      <c r="B6" s="612">
        <v>47560989</v>
      </c>
      <c r="C6" s="612">
        <v>44665871</v>
      </c>
      <c r="D6" s="612">
        <v>47361978</v>
      </c>
      <c r="E6" s="612">
        <v>35666507</v>
      </c>
      <c r="F6" s="612">
        <v>27771918</v>
      </c>
      <c r="G6" s="612">
        <v>18966577</v>
      </c>
      <c r="H6" s="612">
        <v>24888742</v>
      </c>
      <c r="I6" s="612">
        <v>28860966</v>
      </c>
      <c r="J6" s="612">
        <v>36569831</v>
      </c>
      <c r="K6" s="612">
        <v>38201062</v>
      </c>
      <c r="L6" s="612">
        <v>36383226</v>
      </c>
      <c r="M6" s="612">
        <v>44790341</v>
      </c>
      <c r="N6" s="611">
        <f t="shared" si="0"/>
        <v>431688008</v>
      </c>
    </row>
    <row r="7" spans="1:14">
      <c r="A7" s="565" t="s">
        <v>260</v>
      </c>
      <c r="B7" s="565">
        <v>61150027</v>
      </c>
      <c r="C7" s="565">
        <v>44065027</v>
      </c>
      <c r="D7" s="565">
        <v>54042044</v>
      </c>
      <c r="E7" s="565">
        <v>42266269</v>
      </c>
      <c r="F7" s="565">
        <v>38859098</v>
      </c>
      <c r="G7" s="565">
        <v>27937481</v>
      </c>
      <c r="H7" s="565">
        <v>36573512</v>
      </c>
      <c r="I7" s="565">
        <v>45047382</v>
      </c>
      <c r="J7" s="565">
        <v>42596089</v>
      </c>
      <c r="K7" s="565">
        <v>57266957</v>
      </c>
      <c r="L7" s="565">
        <v>55244217</v>
      </c>
      <c r="M7" s="565">
        <v>60261159</v>
      </c>
      <c r="N7" s="564">
        <f t="shared" si="0"/>
        <v>565309262</v>
      </c>
    </row>
    <row r="8" spans="1:14">
      <c r="A8" s="601" t="s">
        <v>261</v>
      </c>
      <c r="B8" s="601">
        <v>64355745</v>
      </c>
      <c r="C8" s="601">
        <v>52433997</v>
      </c>
      <c r="D8" s="601">
        <v>71518219</v>
      </c>
      <c r="E8" s="601">
        <v>59518297</v>
      </c>
      <c r="F8" s="601">
        <v>48971011</v>
      </c>
      <c r="G8" s="601">
        <v>43577406</v>
      </c>
      <c r="H8" s="601">
        <v>43918615</v>
      </c>
      <c r="I8" s="601">
        <v>56582435</v>
      </c>
      <c r="J8" s="601">
        <v>67686256</v>
      </c>
      <c r="K8" s="601">
        <v>68222027</v>
      </c>
      <c r="L8" s="601">
        <v>68457497</v>
      </c>
      <c r="M8" s="601">
        <v>78235935</v>
      </c>
      <c r="N8" s="600">
        <f t="shared" si="0"/>
        <v>723477440</v>
      </c>
    </row>
    <row r="9" spans="1:14">
      <c r="A9" s="589" t="s">
        <v>262</v>
      </c>
      <c r="B9" s="589">
        <v>69676838</v>
      </c>
      <c r="C9" s="589">
        <v>67476172</v>
      </c>
      <c r="D9" s="589">
        <v>64523997</v>
      </c>
      <c r="E9" s="589">
        <v>36454429</v>
      </c>
      <c r="F9" s="589">
        <v>24920458</v>
      </c>
      <c r="G9" s="589">
        <v>27242368</v>
      </c>
      <c r="H9" s="589">
        <v>37028284</v>
      </c>
      <c r="I9" s="589">
        <v>48975473</v>
      </c>
      <c r="J9" s="589">
        <v>58521847</v>
      </c>
      <c r="K9" s="589">
        <v>62611936</v>
      </c>
      <c r="L9" s="589">
        <v>64473796</v>
      </c>
      <c r="M9" s="589">
        <v>63105471</v>
      </c>
      <c r="N9" s="588">
        <f t="shared" si="0"/>
        <v>625011069</v>
      </c>
    </row>
    <row r="10" spans="1:14">
      <c r="A10" s="610" t="s">
        <v>263</v>
      </c>
      <c r="B10" s="610">
        <v>87544765</v>
      </c>
      <c r="C10" s="610">
        <v>65654599</v>
      </c>
      <c r="D10" s="610">
        <v>92251485</v>
      </c>
      <c r="E10" s="610">
        <v>57005446</v>
      </c>
      <c r="F10" s="610">
        <v>49760318</v>
      </c>
      <c r="G10" s="610">
        <v>41448907</v>
      </c>
      <c r="H10" s="610">
        <v>47538457</v>
      </c>
      <c r="I10" s="610">
        <v>53210969</v>
      </c>
      <c r="J10" s="610">
        <v>63869845</v>
      </c>
      <c r="K10" s="610">
        <v>78152881</v>
      </c>
      <c r="L10" s="610">
        <v>70707977</v>
      </c>
      <c r="M10" s="610">
        <v>84695499</v>
      </c>
      <c r="N10" s="609">
        <f t="shared" si="0"/>
        <v>791841148</v>
      </c>
    </row>
    <row r="11" spans="1:14">
      <c r="A11" s="586" t="s">
        <v>264</v>
      </c>
      <c r="B11" s="586">
        <v>74763874</v>
      </c>
      <c r="C11" s="586">
        <v>66186979</v>
      </c>
      <c r="D11" s="586">
        <v>85903193</v>
      </c>
      <c r="E11" s="586">
        <v>50373473</v>
      </c>
      <c r="F11" s="586">
        <v>44868501</v>
      </c>
      <c r="G11" s="586">
        <v>46446356</v>
      </c>
      <c r="H11" s="586">
        <v>49320746</v>
      </c>
      <c r="I11" s="586">
        <v>60850361</v>
      </c>
      <c r="J11" s="586">
        <v>67903222</v>
      </c>
      <c r="K11" s="586">
        <v>70672450</v>
      </c>
      <c r="L11" s="586">
        <v>75068603</v>
      </c>
      <c r="M11" s="586">
        <v>71110760</v>
      </c>
      <c r="N11" s="585">
        <f t="shared" si="0"/>
        <v>763468518</v>
      </c>
    </row>
    <row r="12" spans="1:14">
      <c r="A12" s="608" t="s">
        <v>411</v>
      </c>
      <c r="B12" s="608">
        <v>88241367</v>
      </c>
      <c r="C12" s="608">
        <v>78212832</v>
      </c>
      <c r="D12" s="608">
        <v>65756212</v>
      </c>
      <c r="E12" s="608">
        <v>49699082</v>
      </c>
      <c r="F12" s="608">
        <v>44187689</v>
      </c>
      <c r="G12" s="608">
        <v>44058025</v>
      </c>
      <c r="H12" s="608">
        <v>60197527</v>
      </c>
      <c r="I12" s="608">
        <v>72846885</v>
      </c>
      <c r="J12" s="608">
        <v>71536076</v>
      </c>
      <c r="K12" s="608">
        <v>79624194</v>
      </c>
      <c r="L12" s="608">
        <v>77352417</v>
      </c>
      <c r="M12" s="608">
        <v>95226339</v>
      </c>
      <c r="N12" s="607">
        <f t="shared" si="0"/>
        <v>826938645</v>
      </c>
    </row>
    <row r="13" spans="1:14">
      <c r="A13" s="583" t="s">
        <v>410</v>
      </c>
      <c r="B13" s="583">
        <v>87427743</v>
      </c>
      <c r="C13" s="583">
        <v>59755323</v>
      </c>
      <c r="D13" s="583">
        <v>58031929</v>
      </c>
      <c r="E13" s="583">
        <v>46347956</v>
      </c>
      <c r="F13" s="583">
        <v>37703749</v>
      </c>
      <c r="G13" s="583">
        <v>37708430</v>
      </c>
      <c r="H13" s="583">
        <v>55521091</v>
      </c>
      <c r="I13" s="583">
        <v>58198433</v>
      </c>
      <c r="J13" s="583">
        <v>54459416</v>
      </c>
      <c r="K13" s="583">
        <v>72091446</v>
      </c>
      <c r="L13" s="583">
        <v>60558537</v>
      </c>
      <c r="M13" s="583">
        <v>75070266</v>
      </c>
      <c r="N13" s="582">
        <f t="shared" si="0"/>
        <v>702874319</v>
      </c>
    </row>
    <row r="14" spans="1:14">
      <c r="A14" s="580" t="s">
        <v>409</v>
      </c>
      <c r="B14" s="580">
        <v>75616886</v>
      </c>
      <c r="C14" s="580">
        <v>51315190</v>
      </c>
      <c r="D14" s="580">
        <v>51796107</v>
      </c>
      <c r="E14" s="580">
        <v>41676648</v>
      </c>
      <c r="F14" s="580">
        <v>31936046</v>
      </c>
      <c r="G14" s="580">
        <v>51231152</v>
      </c>
      <c r="H14" s="580">
        <v>61362034</v>
      </c>
      <c r="I14" s="580">
        <v>59130195</v>
      </c>
      <c r="J14" s="580">
        <v>66035289</v>
      </c>
      <c r="K14" s="580">
        <v>68857088</v>
      </c>
      <c r="L14" s="580">
        <v>77992330</v>
      </c>
      <c r="M14" s="580">
        <v>86761421</v>
      </c>
      <c r="N14" s="579">
        <f t="shared" si="0"/>
        <v>723710386</v>
      </c>
    </row>
    <row r="15" spans="1:14">
      <c r="A15" s="577" t="s">
        <v>408</v>
      </c>
      <c r="B15" s="577">
        <v>74444074</v>
      </c>
      <c r="C15" s="577">
        <v>64809387</v>
      </c>
      <c r="D15" s="577">
        <v>59588683</v>
      </c>
      <c r="E15" s="577">
        <v>47598976</v>
      </c>
      <c r="F15" s="577">
        <v>54801370</v>
      </c>
      <c r="G15" s="577">
        <v>52151193</v>
      </c>
      <c r="H15" s="577">
        <v>62547279</v>
      </c>
      <c r="I15" s="577">
        <v>69516834</v>
      </c>
      <c r="J15" s="577">
        <v>74442361</v>
      </c>
      <c r="K15" s="577">
        <v>63557553</v>
      </c>
      <c r="L15" s="577">
        <v>66876889</v>
      </c>
      <c r="M15" s="577">
        <v>78450198</v>
      </c>
      <c r="N15" s="576">
        <f t="shared" si="0"/>
        <v>768784797</v>
      </c>
    </row>
    <row r="16" spans="1:14">
      <c r="A16" s="606" t="s">
        <v>407</v>
      </c>
      <c r="B16" s="606">
        <v>66237751</v>
      </c>
      <c r="C16" s="606">
        <v>57572266</v>
      </c>
      <c r="D16" s="606">
        <v>50986998</v>
      </c>
      <c r="E16" s="606">
        <v>34855762</v>
      </c>
      <c r="F16" s="606">
        <v>39538344</v>
      </c>
      <c r="G16" s="606">
        <v>40783576</v>
      </c>
      <c r="H16" s="606">
        <v>50501898</v>
      </c>
      <c r="I16" s="606">
        <v>66803231</v>
      </c>
      <c r="J16" s="606">
        <v>47266026</v>
      </c>
      <c r="K16" s="606">
        <v>52580575</v>
      </c>
      <c r="L16" s="606">
        <v>50386076</v>
      </c>
      <c r="M16" s="606">
        <v>52476547</v>
      </c>
      <c r="N16" s="605">
        <f t="shared" si="0"/>
        <v>609989050</v>
      </c>
    </row>
    <row r="17" spans="1:14">
      <c r="A17" s="571" t="s">
        <v>406</v>
      </c>
      <c r="B17" s="571">
        <v>58207727</v>
      </c>
      <c r="C17" s="571">
        <v>43151869</v>
      </c>
      <c r="D17" s="571">
        <v>36982589</v>
      </c>
      <c r="E17" s="571">
        <v>28578036</v>
      </c>
      <c r="F17" s="571">
        <v>30977725</v>
      </c>
      <c r="G17" s="571">
        <v>32875327</v>
      </c>
      <c r="H17" s="571">
        <v>44355747</v>
      </c>
      <c r="I17" s="571">
        <v>47179910</v>
      </c>
      <c r="J17" s="571">
        <v>55200958</v>
      </c>
      <c r="K17" s="571">
        <v>43845171</v>
      </c>
      <c r="L17" s="571">
        <v>51855720</v>
      </c>
      <c r="M17" s="571">
        <v>52208226</v>
      </c>
      <c r="N17" s="570">
        <f t="shared" si="0"/>
        <v>525419005</v>
      </c>
    </row>
    <row r="18" spans="1:14">
      <c r="A18" s="568" t="s">
        <v>405</v>
      </c>
      <c r="B18" s="568">
        <v>51492860</v>
      </c>
      <c r="C18" s="568">
        <v>50417803</v>
      </c>
      <c r="D18" s="568">
        <v>44098399</v>
      </c>
      <c r="E18" s="568">
        <v>30349941</v>
      </c>
      <c r="F18" s="568">
        <v>38141122</v>
      </c>
      <c r="G18" s="568">
        <v>42602262</v>
      </c>
      <c r="H18" s="568">
        <v>51402687</v>
      </c>
      <c r="I18" s="568">
        <v>65240249</v>
      </c>
      <c r="J18" s="568">
        <v>61012797</v>
      </c>
      <c r="K18" s="568">
        <v>62341698</v>
      </c>
      <c r="L18" s="568">
        <v>41304362</v>
      </c>
      <c r="M18" s="568">
        <v>56645428</v>
      </c>
      <c r="N18" s="567">
        <f t="shared" si="0"/>
        <v>595049608</v>
      </c>
    </row>
    <row r="19" spans="1:14">
      <c r="A19" s="565" t="s">
        <v>404</v>
      </c>
      <c r="B19" s="565">
        <v>47461324</v>
      </c>
      <c r="C19" s="565">
        <v>36683886</v>
      </c>
      <c r="D19" s="565">
        <v>35734532</v>
      </c>
      <c r="E19" s="565">
        <v>33349739</v>
      </c>
      <c r="F19" s="565">
        <v>33826783</v>
      </c>
      <c r="G19" s="565">
        <v>44636952</v>
      </c>
      <c r="H19" s="565">
        <v>42496529</v>
      </c>
      <c r="I19" s="565">
        <v>42793499</v>
      </c>
      <c r="J19" s="565">
        <v>49619180</v>
      </c>
      <c r="K19" s="565">
        <v>46244271</v>
      </c>
      <c r="L19" s="565">
        <v>35231865</v>
      </c>
      <c r="M19" s="565">
        <v>44778668</v>
      </c>
      <c r="N19" s="564">
        <v>492857228</v>
      </c>
    </row>
    <row r="20" spans="1:14">
      <c r="A20" s="562" t="s">
        <v>420</v>
      </c>
      <c r="B20" s="562">
        <v>31042061</v>
      </c>
      <c r="C20" s="562">
        <v>27066923</v>
      </c>
      <c r="D20" s="562">
        <v>26756451</v>
      </c>
      <c r="E20" s="562">
        <v>18239616</v>
      </c>
      <c r="F20" s="562">
        <v>26690377</v>
      </c>
      <c r="G20" s="562">
        <v>30331535</v>
      </c>
      <c r="H20" s="562">
        <v>32356018</v>
      </c>
      <c r="I20" s="562">
        <v>44304841</v>
      </c>
      <c r="J20" s="562">
        <v>30263800</v>
      </c>
      <c r="K20" s="562">
        <v>35452809</v>
      </c>
      <c r="L20" s="562">
        <v>28331029</v>
      </c>
      <c r="M20" s="562">
        <v>33913506</v>
      </c>
      <c r="N20" s="561">
        <f>SUM(B20+C20+D20+E20+F20+G20+H20+I20+J20+K20+L20+M20)</f>
        <v>364748966</v>
      </c>
    </row>
    <row r="21" spans="1:14">
      <c r="A21" s="604" t="s">
        <v>419</v>
      </c>
      <c r="B21" s="604">
        <v>31161196</v>
      </c>
      <c r="C21" s="604">
        <v>20713298</v>
      </c>
      <c r="D21" s="604">
        <v>26731262</v>
      </c>
      <c r="E21" s="604">
        <v>21626598</v>
      </c>
      <c r="F21" s="604">
        <v>29839627</v>
      </c>
      <c r="G21" s="604">
        <v>21775763</v>
      </c>
      <c r="H21" s="604">
        <v>26707567</v>
      </c>
      <c r="I21" s="604">
        <v>23738766</v>
      </c>
      <c r="J21" s="604">
        <v>23886780</v>
      </c>
      <c r="K21" s="604">
        <v>29044433</v>
      </c>
      <c r="L21" s="604">
        <v>32105175</v>
      </c>
      <c r="M21" s="604">
        <v>27252436</v>
      </c>
      <c r="N21" s="603">
        <f>SUM(B21:M21)</f>
        <v>314582901</v>
      </c>
    </row>
    <row r="22" spans="1:14">
      <c r="A22" s="557" t="s">
        <v>416</v>
      </c>
      <c r="B22" s="557">
        <v>22199024</v>
      </c>
      <c r="C22" s="557">
        <v>25333401</v>
      </c>
      <c r="D22" s="557">
        <v>22954157</v>
      </c>
      <c r="E22" s="557">
        <v>23486387</v>
      </c>
      <c r="F22" s="557">
        <v>27771038</v>
      </c>
      <c r="G22" s="557">
        <v>20360406</v>
      </c>
      <c r="H22" s="557">
        <v>31965702</v>
      </c>
      <c r="I22" s="557">
        <v>29025147</v>
      </c>
      <c r="J22" s="557">
        <v>35651016</v>
      </c>
      <c r="K22" s="557">
        <v>36515992</v>
      </c>
      <c r="L22" s="557">
        <v>44477712</v>
      </c>
      <c r="M22" s="557">
        <v>29855823</v>
      </c>
      <c r="N22" s="557">
        <f>SUM(B22:M22)</f>
        <v>349595805</v>
      </c>
    </row>
    <row r="23" spans="1:14">
      <c r="A23" s="634" t="s">
        <v>432</v>
      </c>
      <c r="B23" s="635">
        <v>46519685</v>
      </c>
      <c r="C23" s="635">
        <v>30712822</v>
      </c>
      <c r="D23" s="635">
        <v>26849916</v>
      </c>
      <c r="E23" s="635">
        <v>34534661</v>
      </c>
      <c r="F23" s="635">
        <v>36571253</v>
      </c>
      <c r="G23" s="635">
        <v>28429967</v>
      </c>
      <c r="H23" s="635">
        <v>30116716</v>
      </c>
      <c r="I23" s="635">
        <v>38368771</v>
      </c>
      <c r="J23" s="635">
        <v>30676800</v>
      </c>
      <c r="K23" s="635">
        <v>21660617</v>
      </c>
      <c r="L23" s="635">
        <v>22312430</v>
      </c>
      <c r="M23" s="635">
        <v>26688780</v>
      </c>
      <c r="N23" s="635">
        <f>SUM(B23:M23)</f>
        <v>373442418</v>
      </c>
    </row>
    <row r="24" spans="1:14">
      <c r="A24" s="668" t="s">
        <v>436</v>
      </c>
      <c r="B24" s="670">
        <v>26916095</v>
      </c>
      <c r="C24" s="670">
        <v>22507201</v>
      </c>
      <c r="D24" s="670">
        <v>25084191</v>
      </c>
      <c r="E24" s="670">
        <v>19690715</v>
      </c>
      <c r="F24" s="670">
        <v>22576900</v>
      </c>
      <c r="G24" s="670">
        <v>30627406</v>
      </c>
      <c r="H24" s="670">
        <v>16543352</v>
      </c>
      <c r="I24" s="670">
        <v>32422394</v>
      </c>
      <c r="J24" s="670">
        <v>15807907</v>
      </c>
      <c r="K24" s="670">
        <v>24313565</v>
      </c>
      <c r="L24" s="670">
        <v>21989333</v>
      </c>
      <c r="M24" s="670">
        <v>33034391</v>
      </c>
      <c r="N24" s="670">
        <v>291513450</v>
      </c>
    </row>
    <row r="25" spans="1:14">
      <c r="A25" s="714" t="s">
        <v>446</v>
      </c>
      <c r="B25" s="714">
        <v>15318880</v>
      </c>
      <c r="C25" s="714">
        <v>26513908</v>
      </c>
      <c r="D25" s="714">
        <v>18670330</v>
      </c>
      <c r="E25" s="714">
        <v>14496754</v>
      </c>
      <c r="F25" s="714">
        <v>20845557</v>
      </c>
      <c r="G25" s="714">
        <v>18694572</v>
      </c>
      <c r="H25" s="714">
        <v>27718839</v>
      </c>
      <c r="I25" s="714">
        <v>26266089</v>
      </c>
      <c r="J25" s="714">
        <v>20331217</v>
      </c>
      <c r="K25" s="714">
        <v>12892846</v>
      </c>
      <c r="L25" s="714">
        <v>17550973</v>
      </c>
      <c r="M25" s="714">
        <v>25687277</v>
      </c>
      <c r="N25" s="714">
        <f>SUM(B25:M25)</f>
        <v>244987242</v>
      </c>
    </row>
    <row r="26" spans="1:14">
      <c r="A26" s="706" t="s">
        <v>460</v>
      </c>
      <c r="B26" s="606">
        <v>21791587</v>
      </c>
      <c r="C26" s="606">
        <v>18422232</v>
      </c>
      <c r="D26" s="606"/>
      <c r="E26" s="606"/>
      <c r="F26" s="606"/>
      <c r="G26" s="606"/>
      <c r="H26" s="606"/>
      <c r="I26" s="606"/>
      <c r="J26" s="606"/>
      <c r="K26" s="606"/>
      <c r="L26" s="606"/>
      <c r="M26" s="606"/>
      <c r="N26" s="606"/>
    </row>
    <row r="27" spans="1:14">
      <c r="A27" s="406" t="s">
        <v>402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ht="9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665" t="s">
        <v>437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>
      <c r="A30" s="136" t="s">
        <v>245</v>
      </c>
      <c r="B30" s="136" t="s">
        <v>246</v>
      </c>
      <c r="C30" s="136" t="s">
        <v>247</v>
      </c>
      <c r="D30" s="136" t="s">
        <v>248</v>
      </c>
      <c r="E30" s="136" t="s">
        <v>249</v>
      </c>
      <c r="F30" s="136" t="s">
        <v>250</v>
      </c>
      <c r="G30" s="136" t="s">
        <v>251</v>
      </c>
      <c r="H30" s="136" t="s">
        <v>252</v>
      </c>
      <c r="I30" s="136" t="s">
        <v>414</v>
      </c>
      <c r="J30" s="136" t="s">
        <v>253</v>
      </c>
      <c r="K30" s="136" t="s">
        <v>254</v>
      </c>
      <c r="L30" s="136" t="s">
        <v>255</v>
      </c>
      <c r="M30" s="136" t="s">
        <v>256</v>
      </c>
      <c r="N30" s="136" t="s">
        <v>265</v>
      </c>
    </row>
    <row r="31" spans="1:14" s="640" customFormat="1">
      <c r="A31" s="658" t="s">
        <v>435</v>
      </c>
      <c r="B31" s="666">
        <v>5857504</v>
      </c>
      <c r="C31" s="666">
        <v>5252893</v>
      </c>
      <c r="D31" s="666">
        <v>11016807</v>
      </c>
      <c r="E31" s="666">
        <v>7866332</v>
      </c>
      <c r="F31" s="666">
        <v>5526792</v>
      </c>
      <c r="G31" s="666">
        <v>4203044</v>
      </c>
      <c r="H31" s="666">
        <v>9361568</v>
      </c>
      <c r="I31" s="666">
        <v>8543411</v>
      </c>
      <c r="J31" s="666">
        <v>9523276</v>
      </c>
      <c r="K31" s="666">
        <v>8612329</v>
      </c>
      <c r="L31" s="666">
        <v>7710674</v>
      </c>
      <c r="M31" s="666">
        <v>6038857</v>
      </c>
      <c r="N31" s="666">
        <f>SUM(B31:M31)</f>
        <v>89513487</v>
      </c>
    </row>
    <row r="32" spans="1:14" s="640" customFormat="1">
      <c r="A32" s="660" t="s">
        <v>432</v>
      </c>
      <c r="B32" s="667">
        <v>7936304</v>
      </c>
      <c r="C32" s="667">
        <v>5712159</v>
      </c>
      <c r="D32" s="667">
        <v>3821690</v>
      </c>
      <c r="E32" s="667">
        <v>6900361</v>
      </c>
      <c r="F32" s="667">
        <v>5177828</v>
      </c>
      <c r="G32" s="667">
        <v>8257860</v>
      </c>
      <c r="H32" s="667">
        <v>5662431</v>
      </c>
      <c r="I32" s="667">
        <v>9021623</v>
      </c>
      <c r="J32" s="667">
        <v>5781121</v>
      </c>
      <c r="K32" s="667">
        <v>4416946</v>
      </c>
      <c r="L32" s="667">
        <v>4865240</v>
      </c>
      <c r="M32" s="667">
        <v>2420765</v>
      </c>
      <c r="N32" s="666">
        <f>SUM(B32:M32)</f>
        <v>69974328</v>
      </c>
    </row>
    <row r="33" spans="1:14">
      <c r="A33" s="660" t="s">
        <v>439</v>
      </c>
      <c r="B33" s="667">
        <v>4135119</v>
      </c>
      <c r="C33" s="667">
        <v>4837998</v>
      </c>
      <c r="D33" s="667">
        <v>3651505</v>
      </c>
      <c r="E33" s="667">
        <v>4653150</v>
      </c>
      <c r="F33" s="667">
        <v>3565146</v>
      </c>
      <c r="G33" s="667">
        <v>5777723</v>
      </c>
      <c r="H33" s="667">
        <v>4902586</v>
      </c>
      <c r="I33" s="667">
        <v>5527497</v>
      </c>
      <c r="J33" s="667">
        <v>4218619</v>
      </c>
      <c r="K33" s="667">
        <v>4348763</v>
      </c>
      <c r="L33" s="667">
        <v>4941996</v>
      </c>
      <c r="M33" s="667">
        <v>4801415</v>
      </c>
      <c r="N33" s="667">
        <v>55361517</v>
      </c>
    </row>
    <row r="34" spans="1:14">
      <c r="A34" s="660" t="s">
        <v>446</v>
      </c>
      <c r="B34" s="667">
        <v>3605262</v>
      </c>
      <c r="C34" s="667">
        <v>4893166</v>
      </c>
      <c r="D34" s="667">
        <v>3641935</v>
      </c>
      <c r="E34" s="667">
        <v>2251685</v>
      </c>
      <c r="F34" s="667">
        <v>2310823</v>
      </c>
      <c r="G34" s="667">
        <v>2090657</v>
      </c>
      <c r="H34" s="667">
        <v>5464717</v>
      </c>
      <c r="I34" s="667">
        <v>8685829</v>
      </c>
      <c r="J34" s="667">
        <v>7884047</v>
      </c>
      <c r="K34" s="667">
        <v>3632262</v>
      </c>
      <c r="L34" s="667">
        <v>3917797</v>
      </c>
      <c r="M34" s="667">
        <v>4004879</v>
      </c>
      <c r="N34" s="667">
        <f>SUM(B34:M34)</f>
        <v>52383059</v>
      </c>
    </row>
    <row r="35" spans="1:14">
      <c r="A35" s="660" t="s">
        <v>460</v>
      </c>
      <c r="B35" s="667">
        <v>3671105</v>
      </c>
      <c r="C35" s="667">
        <v>5281088</v>
      </c>
      <c r="D35" s="667"/>
      <c r="E35" s="667"/>
      <c r="F35" s="667"/>
      <c r="G35" s="667"/>
      <c r="H35" s="667"/>
      <c r="I35" s="667"/>
      <c r="J35" s="667"/>
      <c r="K35" s="667"/>
      <c r="L35" s="667"/>
      <c r="M35" s="667"/>
      <c r="N35" s="619"/>
    </row>
    <row r="36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11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11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>
      <c r="K48" s="4"/>
      <c r="L48" s="4"/>
      <c r="M48" s="4"/>
      <c r="N48" s="4"/>
    </row>
    <row r="56" spans="1:10">
      <c r="A56" s="779" t="s">
        <v>463</v>
      </c>
      <c r="B56" s="779"/>
      <c r="C56" s="779"/>
      <c r="D56" s="779"/>
      <c r="E56" s="779"/>
      <c r="F56" s="779"/>
      <c r="G56" s="779"/>
      <c r="H56" s="779"/>
      <c r="I56" s="779"/>
      <c r="J56" s="779"/>
    </row>
  </sheetData>
  <mergeCells count="2">
    <mergeCell ref="A1:N1"/>
    <mergeCell ref="A56:J56"/>
  </mergeCells>
  <phoneticPr fontId="3" type="noConversion"/>
  <pageMargins left="0.4" right="0.33" top="0.39" bottom="0.35" header="0.25" footer="0.22"/>
  <pageSetup paperSize="9" scale="73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O62"/>
  <sheetViews>
    <sheetView topLeftCell="B36" zoomScaleNormal="100" workbookViewId="0">
      <selection activeCell="N48" sqref="N48"/>
    </sheetView>
  </sheetViews>
  <sheetFormatPr defaultRowHeight="16.5"/>
  <cols>
    <col min="2" max="14" width="11.5" customWidth="1"/>
  </cols>
  <sheetData>
    <row r="1" spans="1:14">
      <c r="A1" s="778" t="s">
        <v>415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778"/>
    </row>
    <row r="2" spans="1:14">
      <c r="A2" s="136" t="s">
        <v>245</v>
      </c>
      <c r="B2" s="136" t="s">
        <v>246</v>
      </c>
      <c r="C2" s="136" t="s">
        <v>247</v>
      </c>
      <c r="D2" s="136" t="s">
        <v>248</v>
      </c>
      <c r="E2" s="136" t="s">
        <v>249</v>
      </c>
      <c r="F2" s="136" t="s">
        <v>250</v>
      </c>
      <c r="G2" s="136" t="s">
        <v>251</v>
      </c>
      <c r="H2" s="136" t="s">
        <v>252</v>
      </c>
      <c r="I2" s="136" t="s">
        <v>414</v>
      </c>
      <c r="J2" s="136" t="s">
        <v>253</v>
      </c>
      <c r="K2" s="136" t="s">
        <v>254</v>
      </c>
      <c r="L2" s="136" t="s">
        <v>255</v>
      </c>
      <c r="M2" s="136" t="s">
        <v>256</v>
      </c>
      <c r="N2" s="641" t="s">
        <v>257</v>
      </c>
    </row>
    <row r="3" spans="1:14">
      <c r="A3" s="492" t="s">
        <v>258</v>
      </c>
      <c r="B3" s="492">
        <v>141.46</v>
      </c>
      <c r="C3" s="492">
        <v>144.06</v>
      </c>
      <c r="D3" s="492">
        <v>142.54</v>
      </c>
      <c r="E3" s="492">
        <v>125.93</v>
      </c>
      <c r="F3" s="492">
        <v>100.46</v>
      </c>
      <c r="G3" s="492">
        <v>101.64</v>
      </c>
      <c r="H3" s="492">
        <v>99.94</v>
      </c>
      <c r="I3" s="492">
        <v>128.41999999999999</v>
      </c>
      <c r="J3" s="492">
        <v>129.82</v>
      </c>
      <c r="K3" s="492">
        <v>130.87</v>
      </c>
      <c r="L3" s="492">
        <v>162.15</v>
      </c>
      <c r="M3" s="492">
        <v>175.26</v>
      </c>
      <c r="N3" s="642">
        <f>[20]金額!N3/[20]數量!N3</f>
        <v>134.52756014879978</v>
      </c>
    </row>
    <row r="4" spans="1:14">
      <c r="A4" s="494" t="s">
        <v>413</v>
      </c>
      <c r="B4" s="494">
        <v>153.04</v>
      </c>
      <c r="C4" s="494">
        <v>144.49</v>
      </c>
      <c r="D4" s="494">
        <v>149.11000000000001</v>
      </c>
      <c r="E4" s="494">
        <v>136.04</v>
      </c>
      <c r="F4" s="494">
        <v>122.18</v>
      </c>
      <c r="G4" s="494">
        <v>112.47</v>
      </c>
      <c r="H4" s="494">
        <v>116.84</v>
      </c>
      <c r="I4" s="494">
        <v>128.71</v>
      </c>
      <c r="J4" s="494">
        <v>128.11000000000001</v>
      </c>
      <c r="K4" s="494">
        <v>153.38999999999999</v>
      </c>
      <c r="L4" s="494">
        <v>176.62</v>
      </c>
      <c r="M4" s="494">
        <v>176.53</v>
      </c>
      <c r="N4" s="643">
        <f>[20]金額!N4/[20]數量!N4</f>
        <v>143.75144674182297</v>
      </c>
    </row>
    <row r="5" spans="1:14">
      <c r="A5" s="495" t="s">
        <v>259</v>
      </c>
      <c r="B5" s="495">
        <v>160.53</v>
      </c>
      <c r="C5" s="495">
        <v>145.74</v>
      </c>
      <c r="D5" s="495">
        <v>149.31</v>
      </c>
      <c r="E5" s="495">
        <v>141.49</v>
      </c>
      <c r="F5" s="495">
        <v>138.09</v>
      </c>
      <c r="G5" s="495">
        <v>126.73</v>
      </c>
      <c r="H5" s="495">
        <v>121.78</v>
      </c>
      <c r="I5" s="495">
        <v>159.59</v>
      </c>
      <c r="J5" s="495">
        <v>154.57</v>
      </c>
      <c r="K5" s="495">
        <v>157.38</v>
      </c>
      <c r="L5" s="495">
        <v>204.16</v>
      </c>
      <c r="M5" s="495">
        <v>186.88</v>
      </c>
      <c r="N5" s="644">
        <f>[20]金額!N5/[20]數量!N5</f>
        <v>154.46767504437389</v>
      </c>
    </row>
    <row r="6" spans="1:14">
      <c r="A6" s="496" t="s">
        <v>412</v>
      </c>
      <c r="B6" s="496">
        <v>149.57</v>
      </c>
      <c r="C6" s="496">
        <v>157.41</v>
      </c>
      <c r="D6" s="496">
        <v>157.38999999999999</v>
      </c>
      <c r="E6" s="497">
        <v>129.57</v>
      </c>
      <c r="F6" s="496">
        <v>134.16</v>
      </c>
      <c r="G6" s="496">
        <v>116.47</v>
      </c>
      <c r="H6" s="496">
        <v>133.47999999999999</v>
      </c>
      <c r="I6" s="496">
        <v>160.58000000000001</v>
      </c>
      <c r="J6" s="497">
        <v>150.41</v>
      </c>
      <c r="K6" s="496">
        <v>176.97</v>
      </c>
      <c r="L6" s="496">
        <v>211.86</v>
      </c>
      <c r="M6" s="496">
        <v>192</v>
      </c>
      <c r="N6" s="645">
        <f>[20]金額!N6/[20]數量!N6</f>
        <v>155.39558688751669</v>
      </c>
    </row>
    <row r="7" spans="1:14">
      <c r="A7" s="492" t="s">
        <v>260</v>
      </c>
      <c r="B7" s="492">
        <v>164.54</v>
      </c>
      <c r="C7" s="492">
        <v>169.99</v>
      </c>
      <c r="D7" s="492">
        <v>171.03</v>
      </c>
      <c r="E7" s="492">
        <v>150.38999999999999</v>
      </c>
      <c r="F7" s="492">
        <v>130.12</v>
      </c>
      <c r="G7" s="492">
        <v>138.38</v>
      </c>
      <c r="H7" s="492">
        <v>167.96</v>
      </c>
      <c r="I7" s="492">
        <v>173.95</v>
      </c>
      <c r="J7" s="492">
        <v>158.55000000000001</v>
      </c>
      <c r="K7" s="492">
        <v>185.23</v>
      </c>
      <c r="L7" s="492">
        <v>209.13</v>
      </c>
      <c r="M7" s="492">
        <v>208.56</v>
      </c>
      <c r="N7" s="642">
        <f>[20]金額!N7/[20]數量!N7</f>
        <v>169.59818878222217</v>
      </c>
    </row>
    <row r="8" spans="1:14">
      <c r="A8" s="498" t="s">
        <v>261</v>
      </c>
      <c r="B8" s="499">
        <v>165.81</v>
      </c>
      <c r="C8" s="498">
        <v>173.5</v>
      </c>
      <c r="D8" s="498">
        <v>181.89</v>
      </c>
      <c r="E8" s="498">
        <v>186.27</v>
      </c>
      <c r="F8" s="498">
        <v>171.99</v>
      </c>
      <c r="G8" s="498">
        <v>207.26</v>
      </c>
      <c r="H8" s="498">
        <v>208.22</v>
      </c>
      <c r="I8" s="498">
        <v>205.32</v>
      </c>
      <c r="J8" s="498">
        <v>224.07</v>
      </c>
      <c r="K8" s="498">
        <v>212.74</v>
      </c>
      <c r="L8" s="498">
        <v>245.56</v>
      </c>
      <c r="M8" s="498">
        <v>236.12</v>
      </c>
      <c r="N8" s="646">
        <f>[20]金額!N8/[20]數量!N8</f>
        <v>199.99730195641334</v>
      </c>
    </row>
    <row r="9" spans="1:14">
      <c r="A9" s="500" t="s">
        <v>262</v>
      </c>
      <c r="B9" s="500">
        <v>204.27</v>
      </c>
      <c r="C9" s="500">
        <v>223.18</v>
      </c>
      <c r="D9" s="500">
        <v>222.21</v>
      </c>
      <c r="E9" s="500">
        <v>217.07</v>
      </c>
      <c r="F9" s="500">
        <v>187.34</v>
      </c>
      <c r="G9" s="500">
        <v>212.02</v>
      </c>
      <c r="H9" s="500">
        <v>223.58</v>
      </c>
      <c r="I9" s="500">
        <v>231.6</v>
      </c>
      <c r="J9" s="500">
        <v>227.97</v>
      </c>
      <c r="K9" s="500">
        <v>211.47</v>
      </c>
      <c r="L9" s="500">
        <v>241.16</v>
      </c>
      <c r="M9" s="500">
        <v>256.79000000000002</v>
      </c>
      <c r="N9" s="647">
        <f>[20]金額!N9/[20]數量!N9</f>
        <v>222.72363337417121</v>
      </c>
    </row>
    <row r="10" spans="1:14">
      <c r="A10" s="494" t="s">
        <v>263</v>
      </c>
      <c r="B10" s="494">
        <v>237.17</v>
      </c>
      <c r="C10" s="494">
        <v>236</v>
      </c>
      <c r="D10" s="494">
        <v>217.59</v>
      </c>
      <c r="E10" s="494">
        <v>205.87</v>
      </c>
      <c r="F10" s="494">
        <v>178.41</v>
      </c>
      <c r="G10" s="494">
        <v>192.37</v>
      </c>
      <c r="H10" s="494">
        <v>202.8</v>
      </c>
      <c r="I10" s="494">
        <v>213.03</v>
      </c>
      <c r="J10" s="494">
        <v>209.82</v>
      </c>
      <c r="K10" s="494">
        <v>246.43</v>
      </c>
      <c r="L10" s="494">
        <v>259.91000000000003</v>
      </c>
      <c r="M10" s="494">
        <v>300.64999999999998</v>
      </c>
      <c r="N10" s="643">
        <f>[20]金額!N10/[20]數量!N10</f>
        <v>226.10782881231597</v>
      </c>
    </row>
    <row r="11" spans="1:14">
      <c r="A11" s="495" t="s">
        <v>264</v>
      </c>
      <c r="B11" s="495">
        <v>259.81</v>
      </c>
      <c r="C11" s="495">
        <v>248.67</v>
      </c>
      <c r="D11" s="495">
        <v>266</v>
      </c>
      <c r="E11" s="495">
        <v>232.27</v>
      </c>
      <c r="F11" s="495">
        <v>233.08</v>
      </c>
      <c r="G11" s="495">
        <v>263.45999999999998</v>
      </c>
      <c r="H11" s="495">
        <v>288.98</v>
      </c>
      <c r="I11" s="495">
        <v>310.97000000000003</v>
      </c>
      <c r="J11" s="495">
        <v>296.92</v>
      </c>
      <c r="K11" s="495">
        <v>322.37</v>
      </c>
      <c r="L11" s="495">
        <v>306.01</v>
      </c>
      <c r="M11" s="495">
        <v>316.63</v>
      </c>
      <c r="N11" s="644">
        <f>[20]金額!N11/[20]數量!N11</f>
        <v>277.95876938737689</v>
      </c>
    </row>
    <row r="12" spans="1:14">
      <c r="A12" s="492" t="s">
        <v>411</v>
      </c>
      <c r="B12" s="556">
        <v>320.60000000000002</v>
      </c>
      <c r="C12" s="492">
        <v>317.33999999999997</v>
      </c>
      <c r="D12" s="492">
        <v>305.48</v>
      </c>
      <c r="E12" s="492">
        <v>270.52999999999997</v>
      </c>
      <c r="F12" s="492">
        <v>278.42</v>
      </c>
      <c r="G12" s="492">
        <v>269.18</v>
      </c>
      <c r="H12" s="492">
        <v>324.33999999999997</v>
      </c>
      <c r="I12" s="492">
        <v>336.14</v>
      </c>
      <c r="J12" s="492">
        <v>364.84</v>
      </c>
      <c r="K12" s="492">
        <v>337.53</v>
      </c>
      <c r="L12" s="492">
        <v>389.65</v>
      </c>
      <c r="M12" s="492">
        <v>397.17</v>
      </c>
      <c r="N12" s="642">
        <f>[20]金額!N12/[20]數量!N12</f>
        <v>328.72082137805859</v>
      </c>
    </row>
    <row r="13" spans="1:14">
      <c r="A13" s="501" t="s">
        <v>410</v>
      </c>
      <c r="B13" s="501">
        <v>351.02</v>
      </c>
      <c r="C13" s="501">
        <v>318.91000000000003</v>
      </c>
      <c r="D13" s="501">
        <v>329.07</v>
      </c>
      <c r="E13" s="501">
        <v>312.72000000000003</v>
      </c>
      <c r="F13" s="501">
        <v>309.22000000000003</v>
      </c>
      <c r="G13" s="501">
        <v>300.14999999999998</v>
      </c>
      <c r="H13" s="501">
        <v>338.9</v>
      </c>
      <c r="I13" s="501">
        <v>408.12</v>
      </c>
      <c r="J13" s="501">
        <v>358.13</v>
      </c>
      <c r="K13" s="501">
        <v>384.88</v>
      </c>
      <c r="L13" s="501">
        <v>416.43</v>
      </c>
      <c r="M13" s="501">
        <v>414.61</v>
      </c>
      <c r="N13" s="648">
        <f>[20]金額!N13/[20]數量!N13</f>
        <v>354.83344784605856</v>
      </c>
    </row>
    <row r="14" spans="1:14">
      <c r="A14" s="502" t="s">
        <v>409</v>
      </c>
      <c r="B14" s="502">
        <v>332.02</v>
      </c>
      <c r="C14" s="502">
        <v>329.59</v>
      </c>
      <c r="D14" s="502">
        <v>299.16000000000003</v>
      </c>
      <c r="E14" s="502">
        <v>279.02</v>
      </c>
      <c r="F14" s="502">
        <v>299.23</v>
      </c>
      <c r="G14" s="502">
        <v>412.75</v>
      </c>
      <c r="H14" s="502">
        <v>426.56</v>
      </c>
      <c r="I14" s="502">
        <v>344.16</v>
      </c>
      <c r="J14" s="502">
        <v>373.86</v>
      </c>
      <c r="K14" s="502">
        <v>361.78</v>
      </c>
      <c r="L14" s="502">
        <v>398.99</v>
      </c>
      <c r="M14" s="502">
        <v>328.66</v>
      </c>
      <c r="N14" s="649">
        <f>[20]金額!N14/[20]數量!N14</f>
        <v>348.12497011613459</v>
      </c>
    </row>
    <row r="15" spans="1:14">
      <c r="A15" s="503" t="s">
        <v>408</v>
      </c>
      <c r="B15" s="503">
        <v>261.33</v>
      </c>
      <c r="C15" s="503">
        <v>280.02999999999997</v>
      </c>
      <c r="D15" s="503">
        <v>290.57</v>
      </c>
      <c r="E15" s="503">
        <v>294.39999999999998</v>
      </c>
      <c r="F15" s="503">
        <v>277.27</v>
      </c>
      <c r="G15" s="503">
        <v>364.24</v>
      </c>
      <c r="H15" s="503">
        <v>424.4</v>
      </c>
      <c r="I15" s="503">
        <v>424.05</v>
      </c>
      <c r="J15" s="503">
        <v>415.89</v>
      </c>
      <c r="K15" s="503">
        <v>422.68</v>
      </c>
      <c r="L15" s="503">
        <v>461.5</v>
      </c>
      <c r="M15" s="503">
        <v>401.09</v>
      </c>
      <c r="N15" s="650">
        <f>[20]金額!N15/[20]數量!N15</f>
        <v>348.64511732992781</v>
      </c>
    </row>
    <row r="16" spans="1:14">
      <c r="A16" s="504" t="s">
        <v>407</v>
      </c>
      <c r="B16" s="504">
        <v>329.73</v>
      </c>
      <c r="C16" s="504">
        <v>325.29000000000002</v>
      </c>
      <c r="D16" s="504">
        <v>338.49</v>
      </c>
      <c r="E16" s="504">
        <v>305.76</v>
      </c>
      <c r="F16" s="504">
        <v>281.88</v>
      </c>
      <c r="G16" s="504">
        <v>400.62</v>
      </c>
      <c r="H16" s="504">
        <v>405.49</v>
      </c>
      <c r="I16" s="504">
        <v>442.98</v>
      </c>
      <c r="J16" s="504">
        <v>458.56</v>
      </c>
      <c r="K16" s="504">
        <v>411.46</v>
      </c>
      <c r="L16" s="504">
        <v>496.98</v>
      </c>
      <c r="M16" s="504">
        <v>404.24</v>
      </c>
      <c r="N16" s="651">
        <f>[20]金額!N16/[20]數量!N16</f>
        <v>376.07680119360288</v>
      </c>
    </row>
    <row r="17" spans="1:15">
      <c r="A17" s="505" t="s">
        <v>406</v>
      </c>
      <c r="B17" s="505">
        <v>329.72</v>
      </c>
      <c r="C17" s="505">
        <v>290.31</v>
      </c>
      <c r="D17" s="505">
        <v>333.24</v>
      </c>
      <c r="E17" s="505">
        <v>343.06</v>
      </c>
      <c r="F17" s="505">
        <v>359.12</v>
      </c>
      <c r="G17" s="505">
        <v>492.92</v>
      </c>
      <c r="H17" s="505">
        <v>547.19000000000005</v>
      </c>
      <c r="I17" s="505">
        <v>503.28</v>
      </c>
      <c r="J17" s="505">
        <v>447.13</v>
      </c>
      <c r="K17" s="505">
        <v>441.67</v>
      </c>
      <c r="L17" s="505">
        <v>491.89</v>
      </c>
      <c r="M17" s="505">
        <v>482.01</v>
      </c>
      <c r="N17" s="652">
        <f>[20]金額!N17/[20]數量!N17</f>
        <v>409.30588392928786</v>
      </c>
    </row>
    <row r="18" spans="1:15">
      <c r="A18" s="506" t="s">
        <v>405</v>
      </c>
      <c r="B18" s="506">
        <v>455.44</v>
      </c>
      <c r="C18" s="506">
        <v>441.61</v>
      </c>
      <c r="D18" s="506">
        <v>460.81</v>
      </c>
      <c r="E18" s="506">
        <v>409.3</v>
      </c>
      <c r="F18" s="506">
        <v>522.12</v>
      </c>
      <c r="G18" s="506">
        <v>550.19000000000005</v>
      </c>
      <c r="H18" s="506">
        <v>654.66</v>
      </c>
      <c r="I18" s="506">
        <v>689.76</v>
      </c>
      <c r="J18" s="506">
        <v>591.32000000000005</v>
      </c>
      <c r="K18" s="506">
        <v>680.81</v>
      </c>
      <c r="L18" s="506">
        <v>515.37</v>
      </c>
      <c r="M18" s="506">
        <v>528.07000000000005</v>
      </c>
      <c r="N18" s="653">
        <f>[6]金額!N18/'[6]數量 '!N18</f>
        <v>539.56798987328921</v>
      </c>
    </row>
    <row r="19" spans="1:15">
      <c r="A19" s="492" t="s">
        <v>404</v>
      </c>
      <c r="B19" s="492">
        <v>398.84</v>
      </c>
      <c r="C19" s="492">
        <v>376.2</v>
      </c>
      <c r="D19" s="492">
        <v>375.4</v>
      </c>
      <c r="E19" s="492">
        <v>482.74</v>
      </c>
      <c r="F19" s="492">
        <v>434.58</v>
      </c>
      <c r="G19" s="492">
        <v>542.03</v>
      </c>
      <c r="H19" s="492">
        <v>575.09</v>
      </c>
      <c r="I19" s="492">
        <v>507.28</v>
      </c>
      <c r="J19" s="492">
        <v>635.57000000000005</v>
      </c>
      <c r="K19" s="492">
        <v>596.4</v>
      </c>
      <c r="L19" s="492">
        <v>575.75</v>
      </c>
      <c r="M19" s="492">
        <v>568.73</v>
      </c>
      <c r="N19" s="642">
        <v>500.2</v>
      </c>
    </row>
    <row r="20" spans="1:15">
      <c r="A20" s="508" t="s">
        <v>310</v>
      </c>
      <c r="B20" s="508">
        <v>433.54</v>
      </c>
      <c r="C20" s="508">
        <v>467.17</v>
      </c>
      <c r="D20" s="508">
        <v>534.74</v>
      </c>
      <c r="E20" s="508">
        <v>508.37</v>
      </c>
      <c r="F20" s="508">
        <v>625.92999999999995</v>
      </c>
      <c r="G20" s="508">
        <v>630.03</v>
      </c>
      <c r="H20" s="508">
        <v>776.69</v>
      </c>
      <c r="I20" s="508">
        <v>657.62</v>
      </c>
      <c r="J20" s="508">
        <v>684.05</v>
      </c>
      <c r="K20" s="508">
        <v>607.91</v>
      </c>
      <c r="L20" s="508">
        <v>575.51</v>
      </c>
      <c r="M20" s="508">
        <v>583.33000000000004</v>
      </c>
      <c r="N20" s="654">
        <v>583.4</v>
      </c>
    </row>
    <row r="21" spans="1:15">
      <c r="A21" s="550" t="s">
        <v>401</v>
      </c>
      <c r="B21" s="550">
        <v>540.54999999999995</v>
      </c>
      <c r="C21" s="551">
        <v>554.96</v>
      </c>
      <c r="D21" s="551">
        <v>655.34</v>
      </c>
      <c r="E21" s="551">
        <v>603.61</v>
      </c>
      <c r="F21" s="551">
        <v>521.96</v>
      </c>
      <c r="G21" s="551">
        <v>561.13</v>
      </c>
      <c r="H21" s="551">
        <v>495.65</v>
      </c>
      <c r="I21" s="552">
        <v>470.31</v>
      </c>
      <c r="J21" s="551">
        <v>686.74</v>
      </c>
      <c r="K21" s="552">
        <v>643.32000000000005</v>
      </c>
      <c r="L21" s="553">
        <v>595.04</v>
      </c>
      <c r="M21" s="553">
        <v>651.61</v>
      </c>
      <c r="N21" s="655">
        <v>574.44000000000005</v>
      </c>
    </row>
    <row r="22" spans="1:15">
      <c r="A22" s="555" t="s">
        <v>403</v>
      </c>
      <c r="B22" s="554">
        <v>626.4</v>
      </c>
      <c r="C22" s="554">
        <v>499.32</v>
      </c>
      <c r="D22" s="554">
        <v>563.81796521910007</v>
      </c>
      <c r="E22" s="554">
        <v>565.66442678227361</v>
      </c>
      <c r="F22" s="554">
        <v>604.07000000000005</v>
      </c>
      <c r="G22" s="554">
        <v>590.86</v>
      </c>
      <c r="H22" s="554">
        <v>843.71</v>
      </c>
      <c r="I22" s="554">
        <v>669.31</v>
      </c>
      <c r="J22" s="554">
        <v>764.19</v>
      </c>
      <c r="K22" s="554">
        <v>689.02</v>
      </c>
      <c r="L22" s="554">
        <v>763.5</v>
      </c>
      <c r="M22" s="554">
        <v>788.67</v>
      </c>
      <c r="N22" s="656">
        <v>664.78</v>
      </c>
    </row>
    <row r="23" spans="1:15">
      <c r="A23" s="636" t="s">
        <v>432</v>
      </c>
      <c r="B23" s="637">
        <v>841.81764716527005</v>
      </c>
      <c r="C23" s="637">
        <v>906.46</v>
      </c>
      <c r="D23" s="637">
        <v>695.77</v>
      </c>
      <c r="E23" s="637">
        <v>830.94</v>
      </c>
      <c r="F23" s="637">
        <v>882.68133326897089</v>
      </c>
      <c r="G23" s="637">
        <v>1153.5327030755498</v>
      </c>
      <c r="H23" s="637">
        <v>1032.6675353175146</v>
      </c>
      <c r="I23" s="637">
        <v>1208.7698002646337</v>
      </c>
      <c r="J23" s="637">
        <v>1190.2688860435339</v>
      </c>
      <c r="K23" s="637">
        <v>1079.8453063462784</v>
      </c>
      <c r="L23" s="637">
        <v>1197.404207362885</v>
      </c>
      <c r="M23" s="637">
        <v>1117.8078405092981</v>
      </c>
      <c r="N23" s="657">
        <v>937.92</v>
      </c>
    </row>
    <row r="24" spans="1:15">
      <c r="A24" s="663" t="s">
        <v>436</v>
      </c>
      <c r="B24" s="664">
        <v>1191.1357702349869</v>
      </c>
      <c r="C24" s="715">
        <v>1077.9827098998994</v>
      </c>
      <c r="D24" s="715">
        <v>908.15651135005976</v>
      </c>
      <c r="E24" s="715">
        <v>1000.6461530643359</v>
      </c>
      <c r="F24" s="715">
        <v>1147.4334214271194</v>
      </c>
      <c r="G24" s="715">
        <v>1258.32</v>
      </c>
      <c r="H24" s="715">
        <v>1264.2989682842949</v>
      </c>
      <c r="I24" s="715">
        <v>1142.9616808263122</v>
      </c>
      <c r="J24" s="715">
        <v>1037.6046603216278</v>
      </c>
      <c r="K24" s="715">
        <v>1214.4637862137863</v>
      </c>
      <c r="L24" s="715">
        <v>1377.1737333249828</v>
      </c>
      <c r="M24" s="715">
        <v>1123.8863334807606</v>
      </c>
      <c r="N24" s="716">
        <v>1145.3386440356805</v>
      </c>
    </row>
    <row r="25" spans="1:15">
      <c r="A25" s="717" t="s">
        <v>446</v>
      </c>
      <c r="B25" s="718">
        <v>1159.7304867893104</v>
      </c>
      <c r="C25" s="719">
        <v>1069.1954189854021</v>
      </c>
      <c r="D25" s="719">
        <v>970.34093862065379</v>
      </c>
      <c r="E25" s="719">
        <v>1057.694002626587</v>
      </c>
      <c r="F25" s="719">
        <v>1438.6167701863353</v>
      </c>
      <c r="G25" s="719">
        <v>1218.3636600625653</v>
      </c>
      <c r="H25" s="719">
        <v>1492.1052376594714</v>
      </c>
      <c r="I25" s="719">
        <v>1548.6167678792524</v>
      </c>
      <c r="J25" s="719">
        <v>1486.5260656576734</v>
      </c>
      <c r="K25" s="719">
        <v>1129.4652650021901</v>
      </c>
      <c r="L25" s="719">
        <v>1144.9522473742579</v>
      </c>
      <c r="M25" s="719">
        <v>1447.9046840651597</v>
      </c>
      <c r="N25" s="720">
        <f>SUM(B25:M25)/12</f>
        <v>1263.6259620757382</v>
      </c>
    </row>
    <row r="26" spans="1:15">
      <c r="A26" s="749" t="s">
        <v>460</v>
      </c>
      <c r="B26" s="750">
        <v>1386.9390911405296</v>
      </c>
      <c r="C26" s="751">
        <v>937.90001018226246</v>
      </c>
      <c r="D26" s="751"/>
      <c r="E26" s="751"/>
      <c r="F26" s="751"/>
      <c r="G26" s="751"/>
      <c r="H26" s="751"/>
      <c r="I26" s="751"/>
      <c r="J26" s="751"/>
      <c r="K26" s="751"/>
      <c r="L26" s="751"/>
      <c r="M26" s="751"/>
      <c r="N26" s="752"/>
    </row>
    <row r="27" spans="1:15">
      <c r="A27" s="406" t="s">
        <v>433</v>
      </c>
      <c r="E27" s="4"/>
      <c r="F27" s="4"/>
      <c r="G27" s="4"/>
      <c r="H27" s="4"/>
      <c r="I27" s="4"/>
      <c r="J27" s="4"/>
      <c r="K27" s="4"/>
      <c r="L27" s="4"/>
      <c r="M27" s="4"/>
    </row>
    <row r="28" spans="1:15" ht="9.75" customHeight="1">
      <c r="A28" s="406"/>
      <c r="E28" s="4"/>
      <c r="F28" s="4"/>
      <c r="G28" s="4"/>
      <c r="H28" s="4"/>
      <c r="I28" s="4"/>
      <c r="J28" s="4"/>
      <c r="K28" s="4"/>
      <c r="L28" s="4"/>
      <c r="M28" s="4"/>
    </row>
    <row r="29" spans="1:15">
      <c r="A29" s="406" t="s">
        <v>434</v>
      </c>
      <c r="E29" s="4"/>
      <c r="F29" s="4"/>
      <c r="G29" s="4"/>
      <c r="H29" s="4"/>
      <c r="I29" s="4"/>
      <c r="J29" s="4"/>
      <c r="K29" s="4"/>
      <c r="L29" s="4"/>
      <c r="M29" s="4"/>
    </row>
    <row r="30" spans="1:15">
      <c r="A30" s="136" t="s">
        <v>245</v>
      </c>
      <c r="B30" s="136" t="s">
        <v>246</v>
      </c>
      <c r="C30" s="136" t="s">
        <v>247</v>
      </c>
      <c r="D30" s="136" t="s">
        <v>248</v>
      </c>
      <c r="E30" s="136" t="s">
        <v>249</v>
      </c>
      <c r="F30" s="136" t="s">
        <v>250</v>
      </c>
      <c r="G30" s="136" t="s">
        <v>251</v>
      </c>
      <c r="H30" s="136" t="s">
        <v>252</v>
      </c>
      <c r="I30" s="136" t="s">
        <v>414</v>
      </c>
      <c r="J30" s="136" t="s">
        <v>253</v>
      </c>
      <c r="K30" s="136" t="s">
        <v>254</v>
      </c>
      <c r="L30" s="136" t="s">
        <v>255</v>
      </c>
      <c r="M30" s="136" t="s">
        <v>256</v>
      </c>
      <c r="N30" s="641" t="s">
        <v>257</v>
      </c>
    </row>
    <row r="31" spans="1:15">
      <c r="A31" s="658" t="s">
        <v>435</v>
      </c>
      <c r="B31" s="659">
        <v>516.95000000000005</v>
      </c>
      <c r="C31" s="659">
        <v>538.64776456111565</v>
      </c>
      <c r="D31" s="659">
        <v>678.4583692572977</v>
      </c>
      <c r="E31" s="659">
        <v>609.03778259523074</v>
      </c>
      <c r="F31" s="659">
        <v>703.78097542340504</v>
      </c>
      <c r="G31" s="659">
        <v>563.71298283261808</v>
      </c>
      <c r="H31" s="659">
        <v>682.97716495221425</v>
      </c>
      <c r="I31" s="659">
        <v>688.76</v>
      </c>
      <c r="J31" s="659">
        <v>781.81</v>
      </c>
      <c r="K31" s="659">
        <v>701.1</v>
      </c>
      <c r="L31" s="659">
        <v>791.89421793160113</v>
      </c>
      <c r="M31" s="659">
        <v>827.014105724459</v>
      </c>
      <c r="N31" s="659">
        <f>AVERAGE(B31:M31)</f>
        <v>673.67861360649522</v>
      </c>
      <c r="O31" s="640"/>
    </row>
    <row r="32" spans="1:15">
      <c r="A32" s="660" t="s">
        <v>432</v>
      </c>
      <c r="B32" s="661">
        <v>678.37456192836999</v>
      </c>
      <c r="C32" s="661">
        <v>933.51184834123228</v>
      </c>
      <c r="D32" s="661">
        <v>851.91484618814093</v>
      </c>
      <c r="E32" s="661">
        <v>831.66939857779926</v>
      </c>
      <c r="F32" s="661">
        <v>880.88261313371891</v>
      </c>
      <c r="G32" s="661">
        <v>957.77</v>
      </c>
      <c r="H32" s="661">
        <v>1020.6256308579668</v>
      </c>
      <c r="I32" s="661">
        <v>994.12</v>
      </c>
      <c r="J32" s="661">
        <v>1075.1573368049098</v>
      </c>
      <c r="K32" s="55">
        <v>1058.71</v>
      </c>
      <c r="L32" s="661">
        <v>1188.6733447349134</v>
      </c>
      <c r="M32" s="662">
        <v>1126.9855679702048</v>
      </c>
      <c r="N32" s="659">
        <f>AVERAGE(B32:M32)</f>
        <v>966.53292904477132</v>
      </c>
      <c r="O32" s="640"/>
    </row>
    <row r="33" spans="1:14">
      <c r="A33" s="660" t="s">
        <v>436</v>
      </c>
      <c r="B33" s="661">
        <v>1280.6190771136576</v>
      </c>
      <c r="C33" s="661">
        <v>1070.590396105333</v>
      </c>
      <c r="D33" s="661">
        <v>978.43113612004299</v>
      </c>
      <c r="E33" s="661">
        <v>885.80810965162766</v>
      </c>
      <c r="F33" s="661">
        <v>788.74911504424779</v>
      </c>
      <c r="G33" s="661">
        <v>1300.7030616839261</v>
      </c>
      <c r="H33" s="661">
        <v>783.16070287539935</v>
      </c>
      <c r="I33" s="661">
        <v>855.91467946732735</v>
      </c>
      <c r="J33" s="661">
        <v>1201.8857549857551</v>
      </c>
      <c r="K33" s="661">
        <v>1315.4153055051422</v>
      </c>
      <c r="L33" s="661">
        <v>989.98317307692309</v>
      </c>
      <c r="M33" s="661">
        <v>1160.3226196230062</v>
      </c>
      <c r="N33" s="661">
        <v>1050.9652609376992</v>
      </c>
    </row>
    <row r="34" spans="1:14">
      <c r="A34" s="660" t="s">
        <v>446</v>
      </c>
      <c r="B34" s="661">
        <v>929.91023987619292</v>
      </c>
      <c r="C34" s="661">
        <v>1151.0623382733475</v>
      </c>
      <c r="D34" s="661">
        <v>1133.4998443821974</v>
      </c>
      <c r="E34" s="661">
        <v>903.20296831127155</v>
      </c>
      <c r="F34" s="661">
        <v>661.93726725866509</v>
      </c>
      <c r="G34" s="661">
        <v>740.84231041814314</v>
      </c>
      <c r="H34" s="661">
        <v>930.48135535501444</v>
      </c>
      <c r="I34" s="755">
        <v>1170.9125101105419</v>
      </c>
      <c r="J34" s="661">
        <v>1027.9070404172098</v>
      </c>
      <c r="K34" s="661">
        <v>1112.8253676470588</v>
      </c>
      <c r="L34" s="661">
        <v>957.19447837771804</v>
      </c>
      <c r="M34" s="661">
        <v>918.97177604405692</v>
      </c>
      <c r="N34" s="661">
        <f>SUM(B34:M34)/12</f>
        <v>969.89562470595149</v>
      </c>
    </row>
    <row r="35" spans="1:14">
      <c r="A35" s="660" t="s">
        <v>460</v>
      </c>
      <c r="B35" s="661">
        <v>1060.0938492636442</v>
      </c>
      <c r="C35" s="661">
        <v>1249.6658778987221</v>
      </c>
      <c r="D35" s="661"/>
      <c r="E35" s="661"/>
      <c r="F35" s="661"/>
      <c r="G35" s="661"/>
      <c r="H35" s="661"/>
      <c r="I35" s="755"/>
      <c r="J35" s="661"/>
      <c r="K35" s="661"/>
      <c r="L35" s="661"/>
      <c r="M35" s="661"/>
      <c r="N35" s="661"/>
    </row>
    <row r="36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4">
      <c r="A37" s="11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4">
      <c r="A38" s="11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K53" s="4"/>
      <c r="L53" s="4"/>
      <c r="M53" s="4"/>
    </row>
    <row r="62" spans="1:13">
      <c r="A62" s="779" t="s">
        <v>462</v>
      </c>
      <c r="B62" s="779"/>
      <c r="C62" s="779"/>
      <c r="D62" s="779"/>
      <c r="E62" s="779"/>
      <c r="F62" s="779"/>
      <c r="G62" s="779"/>
      <c r="H62" s="779"/>
      <c r="I62" s="779"/>
      <c r="J62" s="779"/>
    </row>
  </sheetData>
  <mergeCells count="2">
    <mergeCell ref="A1:N1"/>
    <mergeCell ref="A62:J62"/>
  </mergeCells>
  <phoneticPr fontId="3" type="noConversion"/>
  <printOptions horizontalCentered="1" verticalCentered="1"/>
  <pageMargins left="0.23622047244094491" right="0.23622047244094491" top="0.51" bottom="0.41" header="0.31496062992125984" footer="0.31496062992125984"/>
  <pageSetup paperSize="9" scale="7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3E593-B52A-4BE7-BD10-BC9E1EA3A795}">
  <dimension ref="A1:O54"/>
  <sheetViews>
    <sheetView topLeftCell="A29" zoomScaleNormal="100" workbookViewId="0">
      <selection activeCell="E22" sqref="E22"/>
    </sheetView>
  </sheetViews>
  <sheetFormatPr defaultRowHeight="16.5"/>
  <cols>
    <col min="1" max="1" width="9.125" bestFit="1" customWidth="1"/>
    <col min="2" max="7" width="10" bestFit="1" customWidth="1"/>
    <col min="8" max="8" width="10.125" customWidth="1"/>
    <col min="9" max="9" width="10.375" customWidth="1"/>
    <col min="10" max="13" width="9.875" bestFit="1" customWidth="1"/>
    <col min="14" max="14" width="11" customWidth="1"/>
  </cols>
  <sheetData>
    <row r="1" spans="1:15">
      <c r="A1" s="778" t="s">
        <v>441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778"/>
    </row>
    <row r="2" spans="1:15">
      <c r="A2" s="136" t="s">
        <v>245</v>
      </c>
      <c r="B2" s="136" t="s">
        <v>246</v>
      </c>
      <c r="C2" s="136" t="s">
        <v>247</v>
      </c>
      <c r="D2" s="136" t="s">
        <v>248</v>
      </c>
      <c r="E2" s="136" t="s">
        <v>249</v>
      </c>
      <c r="F2" s="136" t="s">
        <v>250</v>
      </c>
      <c r="G2" s="136" t="s">
        <v>251</v>
      </c>
      <c r="H2" s="136" t="s">
        <v>252</v>
      </c>
      <c r="I2" s="136" t="s">
        <v>414</v>
      </c>
      <c r="J2" s="136" t="s">
        <v>253</v>
      </c>
      <c r="K2" s="136" t="s">
        <v>254</v>
      </c>
      <c r="L2" s="136" t="s">
        <v>255</v>
      </c>
      <c r="M2" s="136" t="s">
        <v>256</v>
      </c>
      <c r="N2" s="136" t="s">
        <v>265</v>
      </c>
    </row>
    <row r="3" spans="1:15">
      <c r="A3" s="581">
        <v>2014</v>
      </c>
      <c r="B3" s="580">
        <v>3850</v>
      </c>
      <c r="C3" s="580">
        <v>4418</v>
      </c>
      <c r="D3" s="580">
        <v>5968</v>
      </c>
      <c r="E3" s="580">
        <v>5275</v>
      </c>
      <c r="F3" s="580">
        <v>1990</v>
      </c>
      <c r="G3" s="580">
        <v>2478</v>
      </c>
      <c r="H3" s="580">
        <v>2424</v>
      </c>
      <c r="I3" s="580">
        <v>6943</v>
      </c>
      <c r="J3" s="580">
        <v>6443</v>
      </c>
      <c r="K3" s="580">
        <v>5179</v>
      </c>
      <c r="L3" s="580">
        <v>5985</v>
      </c>
      <c r="M3" s="580">
        <v>6524</v>
      </c>
      <c r="N3" s="579">
        <f t="shared" ref="N3:N8" si="0">SUM(B3,C3,D3,E3,F3,G3,H3,I3,J3,K3,L3,M3,)</f>
        <v>57477</v>
      </c>
    </row>
    <row r="4" spans="1:15">
      <c r="A4" s="578">
        <v>2015</v>
      </c>
      <c r="B4" s="577">
        <v>4315</v>
      </c>
      <c r="C4" s="577">
        <v>3719</v>
      </c>
      <c r="D4" s="577">
        <v>6070</v>
      </c>
      <c r="E4" s="577">
        <v>4646</v>
      </c>
      <c r="F4" s="577">
        <v>3830</v>
      </c>
      <c r="G4" s="577">
        <v>2969</v>
      </c>
      <c r="H4" s="577">
        <v>2820</v>
      </c>
      <c r="I4" s="577">
        <v>6511</v>
      </c>
      <c r="J4" s="577">
        <v>8358</v>
      </c>
      <c r="K4" s="577">
        <v>5951</v>
      </c>
      <c r="L4" s="577">
        <v>9322</v>
      </c>
      <c r="M4" s="577">
        <v>8656</v>
      </c>
      <c r="N4" s="576">
        <f t="shared" si="0"/>
        <v>67167</v>
      </c>
    </row>
    <row r="5" spans="1:15">
      <c r="A5" s="575">
        <v>2016</v>
      </c>
      <c r="B5" s="574">
        <v>7803</v>
      </c>
      <c r="C5" s="574">
        <v>10361</v>
      </c>
      <c r="D5" s="574">
        <v>10564</v>
      </c>
      <c r="E5" s="574">
        <v>7017</v>
      </c>
      <c r="F5" s="574">
        <v>9415</v>
      </c>
      <c r="G5" s="574">
        <v>8337</v>
      </c>
      <c r="H5" s="574">
        <v>6032</v>
      </c>
      <c r="I5" s="574">
        <v>9033</v>
      </c>
      <c r="J5" s="574">
        <v>7209</v>
      </c>
      <c r="K5" s="574">
        <v>8729</v>
      </c>
      <c r="L5" s="574">
        <v>5176</v>
      </c>
      <c r="M5" s="574">
        <v>7390</v>
      </c>
      <c r="N5" s="573">
        <f t="shared" si="0"/>
        <v>97066</v>
      </c>
    </row>
    <row r="6" spans="1:15">
      <c r="A6" s="572">
        <v>2017</v>
      </c>
      <c r="B6" s="571">
        <v>9639</v>
      </c>
      <c r="C6" s="571">
        <v>10413</v>
      </c>
      <c r="D6" s="571">
        <v>14747</v>
      </c>
      <c r="E6" s="571">
        <v>12051</v>
      </c>
      <c r="F6" s="571">
        <v>13765</v>
      </c>
      <c r="G6" s="571">
        <v>9157</v>
      </c>
      <c r="H6" s="571">
        <v>12110</v>
      </c>
      <c r="I6" s="571">
        <v>8894</v>
      </c>
      <c r="J6" s="571">
        <v>8961</v>
      </c>
      <c r="K6" s="571">
        <v>8603</v>
      </c>
      <c r="L6" s="571">
        <v>11389</v>
      </c>
      <c r="M6" s="571">
        <v>10141</v>
      </c>
      <c r="N6" s="570">
        <f t="shared" si="0"/>
        <v>129870</v>
      </c>
    </row>
    <row r="7" spans="1:15">
      <c r="A7" s="569">
        <v>2018</v>
      </c>
      <c r="B7" s="568">
        <v>11373</v>
      </c>
      <c r="C7" s="568">
        <v>12184</v>
      </c>
      <c r="D7" s="568">
        <v>15971</v>
      </c>
      <c r="E7" s="568">
        <v>16424</v>
      </c>
      <c r="F7" s="568">
        <v>16027</v>
      </c>
      <c r="G7" s="568">
        <v>16189</v>
      </c>
      <c r="H7" s="568">
        <v>12937</v>
      </c>
      <c r="I7" s="568">
        <v>13961</v>
      </c>
      <c r="J7" s="568">
        <v>16882</v>
      </c>
      <c r="K7" s="568">
        <v>12964</v>
      </c>
      <c r="L7" s="568">
        <v>14643</v>
      </c>
      <c r="M7" s="568">
        <v>32363</v>
      </c>
      <c r="N7" s="567">
        <f t="shared" si="0"/>
        <v>191918</v>
      </c>
    </row>
    <row r="8" spans="1:15">
      <c r="A8" s="566">
        <v>2019</v>
      </c>
      <c r="B8" s="565">
        <v>30626</v>
      </c>
      <c r="C8" s="565">
        <v>27203</v>
      </c>
      <c r="D8" s="565">
        <v>30648</v>
      </c>
      <c r="E8" s="565">
        <v>43722</v>
      </c>
      <c r="F8" s="565">
        <v>37104</v>
      </c>
      <c r="G8" s="565">
        <v>32323</v>
      </c>
      <c r="H8" s="694">
        <v>35975</v>
      </c>
      <c r="I8" s="694">
        <v>37227</v>
      </c>
      <c r="J8" s="565">
        <v>37983</v>
      </c>
      <c r="K8" s="565">
        <v>42111</v>
      </c>
      <c r="L8" s="565">
        <v>61193</v>
      </c>
      <c r="M8" s="565">
        <v>55550</v>
      </c>
      <c r="N8" s="564">
        <f t="shared" si="0"/>
        <v>471665</v>
      </c>
    </row>
    <row r="9" spans="1:15">
      <c r="A9" s="563">
        <v>2020</v>
      </c>
      <c r="B9" s="562">
        <v>52596</v>
      </c>
      <c r="C9" s="562">
        <v>40782</v>
      </c>
      <c r="D9" s="562">
        <v>36450</v>
      </c>
      <c r="E9" s="562">
        <v>27507</v>
      </c>
      <c r="F9" s="695">
        <v>43135</v>
      </c>
      <c r="G9" s="562">
        <v>34141</v>
      </c>
      <c r="H9" s="562">
        <v>30121</v>
      </c>
      <c r="I9" s="562">
        <v>44833</v>
      </c>
      <c r="J9" s="562">
        <v>45159</v>
      </c>
      <c r="K9" s="562">
        <v>53290</v>
      </c>
      <c r="L9" s="562">
        <v>41564</v>
      </c>
      <c r="M9" s="562">
        <v>56919</v>
      </c>
      <c r="N9" s="561">
        <f>SUM(B9+C9+D9+E9+F9+G9+H9+I9+J9+K9+L9+M9)</f>
        <v>506497</v>
      </c>
    </row>
    <row r="10" spans="1:15">
      <c r="A10" s="696">
        <v>2021</v>
      </c>
      <c r="B10" s="697">
        <v>43074</v>
      </c>
      <c r="C10" s="697">
        <v>40361</v>
      </c>
      <c r="D10" s="697">
        <v>52176</v>
      </c>
      <c r="E10" s="697">
        <v>41898</v>
      </c>
      <c r="F10" s="697">
        <v>61070</v>
      </c>
      <c r="G10" s="697">
        <v>31972</v>
      </c>
      <c r="H10" s="697">
        <v>44186</v>
      </c>
      <c r="I10" s="697">
        <v>47065</v>
      </c>
      <c r="J10" s="697">
        <v>36038</v>
      </c>
      <c r="K10" s="697">
        <v>38487</v>
      </c>
      <c r="L10" s="697">
        <v>46362</v>
      </c>
      <c r="M10" s="697">
        <v>44689</v>
      </c>
      <c r="N10" s="698">
        <f>SUM(B10:M10)</f>
        <v>527378</v>
      </c>
      <c r="O10" s="681"/>
    </row>
    <row r="11" spans="1:15">
      <c r="A11" s="699">
        <v>2022</v>
      </c>
      <c r="B11" s="700">
        <v>34578</v>
      </c>
      <c r="C11" s="700">
        <v>47181</v>
      </c>
      <c r="D11" s="700">
        <v>50650</v>
      </c>
      <c r="E11" s="700">
        <v>50972</v>
      </c>
      <c r="F11" s="700">
        <v>53526</v>
      </c>
      <c r="G11" s="700">
        <v>43012</v>
      </c>
      <c r="H11" s="700">
        <v>64937</v>
      </c>
      <c r="I11" s="700">
        <v>50599</v>
      </c>
      <c r="J11" s="700">
        <v>60971</v>
      </c>
      <c r="K11" s="700">
        <v>59002</v>
      </c>
      <c r="L11" s="700">
        <v>55974</v>
      </c>
      <c r="M11" s="700">
        <v>50149</v>
      </c>
      <c r="N11" s="700">
        <f>SUM(B11:M11)</f>
        <v>621551</v>
      </c>
      <c r="O11" s="685"/>
    </row>
    <row r="12" spans="1:15">
      <c r="A12" s="701">
        <v>2023</v>
      </c>
      <c r="B12" s="702">
        <v>64157</v>
      </c>
      <c r="C12" s="702">
        <v>43842</v>
      </c>
      <c r="D12" s="702">
        <v>42031</v>
      </c>
      <c r="E12" s="702">
        <v>47727</v>
      </c>
      <c r="F12" s="702">
        <v>43241</v>
      </c>
      <c r="G12" s="702">
        <v>40525</v>
      </c>
      <c r="H12" s="702">
        <v>34646</v>
      </c>
      <c r="I12" s="702">
        <v>24062</v>
      </c>
      <c r="J12" s="702">
        <v>19293</v>
      </c>
      <c r="K12" s="702">
        <v>10584</v>
      </c>
      <c r="L12" s="702">
        <v>19855</v>
      </c>
      <c r="M12" s="702">
        <v>17257</v>
      </c>
      <c r="N12" s="702">
        <f>SUM(B12:M12)</f>
        <v>407220</v>
      </c>
      <c r="O12" s="689"/>
    </row>
    <row r="13" spans="1:15">
      <c r="A13" s="668">
        <v>2024</v>
      </c>
      <c r="B13" s="670">
        <v>15232</v>
      </c>
      <c r="C13" s="670">
        <v>22946</v>
      </c>
      <c r="D13" s="670">
        <v>19081</v>
      </c>
      <c r="E13" s="670">
        <v>16516</v>
      </c>
      <c r="F13" s="670">
        <v>14461</v>
      </c>
      <c r="G13" s="670">
        <v>24601</v>
      </c>
      <c r="H13" s="670">
        <v>9488</v>
      </c>
      <c r="I13" s="670">
        <v>15034</v>
      </c>
      <c r="J13" s="670">
        <v>9666</v>
      </c>
      <c r="K13" s="670">
        <v>12331</v>
      </c>
      <c r="L13" s="670">
        <v>13251</v>
      </c>
      <c r="M13" s="670">
        <v>20929</v>
      </c>
      <c r="N13" s="670">
        <v>193536</v>
      </c>
      <c r="O13" s="689"/>
    </row>
    <row r="14" spans="1:15">
      <c r="A14" s="712">
        <v>2025</v>
      </c>
      <c r="B14" s="721">
        <v>9543</v>
      </c>
      <c r="C14" s="721">
        <v>19452</v>
      </c>
      <c r="D14" s="721">
        <v>21668</v>
      </c>
      <c r="E14" s="721">
        <v>14066</v>
      </c>
      <c r="F14" s="721">
        <v>14195</v>
      </c>
      <c r="G14" s="721">
        <v>18517</v>
      </c>
      <c r="H14" s="721">
        <v>14871</v>
      </c>
      <c r="I14" s="721">
        <v>19389</v>
      </c>
      <c r="J14" s="721">
        <v>19971</v>
      </c>
      <c r="K14" s="721">
        <v>8492</v>
      </c>
      <c r="L14" s="721">
        <v>14856</v>
      </c>
      <c r="M14" s="721">
        <v>14957</v>
      </c>
      <c r="N14" s="721">
        <f>SUM(B14:M14)</f>
        <v>189977</v>
      </c>
      <c r="O14" s="689"/>
    </row>
    <row r="15" spans="1:15">
      <c r="A15" s="747">
        <v>2026</v>
      </c>
      <c r="B15" s="753">
        <v>14723</v>
      </c>
      <c r="C15" s="753">
        <v>15684</v>
      </c>
      <c r="D15" s="753"/>
      <c r="E15" s="753"/>
      <c r="F15" s="753"/>
      <c r="G15" s="753"/>
      <c r="H15" s="753"/>
      <c r="I15" s="753"/>
      <c r="J15" s="753"/>
      <c r="K15" s="753"/>
      <c r="L15" s="753"/>
      <c r="M15" s="753"/>
      <c r="N15" s="753"/>
      <c r="O15" s="689"/>
    </row>
    <row r="16" spans="1:15">
      <c r="A16" s="406" t="s">
        <v>402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5">
      <c r="A18" s="665" t="s">
        <v>437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5">
      <c r="A19" s="136" t="s">
        <v>245</v>
      </c>
      <c r="B19" s="136" t="s">
        <v>246</v>
      </c>
      <c r="C19" s="136" t="s">
        <v>247</v>
      </c>
      <c r="D19" s="136" t="s">
        <v>248</v>
      </c>
      <c r="E19" s="136" t="s">
        <v>249</v>
      </c>
      <c r="F19" s="136" t="s">
        <v>250</v>
      </c>
      <c r="G19" s="136" t="s">
        <v>251</v>
      </c>
      <c r="H19" s="136" t="s">
        <v>252</v>
      </c>
      <c r="I19" s="136" t="s">
        <v>414</v>
      </c>
      <c r="J19" s="136" t="s">
        <v>253</v>
      </c>
      <c r="K19" s="136" t="s">
        <v>254</v>
      </c>
      <c r="L19" s="136" t="s">
        <v>255</v>
      </c>
      <c r="M19" s="136" t="s">
        <v>256</v>
      </c>
      <c r="N19" s="136" t="s">
        <v>265</v>
      </c>
    </row>
    <row r="20" spans="1:15">
      <c r="A20" s="703" t="s">
        <v>435</v>
      </c>
      <c r="B20" s="703">
        <v>4220</v>
      </c>
      <c r="C20" s="703">
        <v>1988</v>
      </c>
      <c r="D20" s="703">
        <v>5148</v>
      </c>
      <c r="E20" s="703">
        <v>6000</v>
      </c>
      <c r="F20" s="703">
        <v>5426</v>
      </c>
      <c r="G20" s="703">
        <v>3581</v>
      </c>
      <c r="H20" s="703">
        <v>7410</v>
      </c>
      <c r="I20" s="703">
        <v>5685</v>
      </c>
      <c r="J20" s="703">
        <v>4529</v>
      </c>
      <c r="K20" s="703">
        <v>5074</v>
      </c>
      <c r="L20" s="703">
        <v>6847</v>
      </c>
      <c r="M20" s="703">
        <v>4769</v>
      </c>
      <c r="N20" s="703">
        <f>SUM(B20:M20)</f>
        <v>60677</v>
      </c>
      <c r="O20" s="640"/>
    </row>
    <row r="21" spans="1:15">
      <c r="A21" s="704" t="s">
        <v>432</v>
      </c>
      <c r="B21" s="704">
        <v>7058</v>
      </c>
      <c r="C21" s="704">
        <v>4352</v>
      </c>
      <c r="D21" s="704">
        <v>4058</v>
      </c>
      <c r="E21" s="704">
        <v>5710</v>
      </c>
      <c r="F21" s="704">
        <v>4109</v>
      </c>
      <c r="G21" s="704">
        <v>4650</v>
      </c>
      <c r="H21" s="704">
        <v>3613</v>
      </c>
      <c r="I21" s="704">
        <v>3938</v>
      </c>
      <c r="J21" s="704">
        <v>3783</v>
      </c>
      <c r="K21" s="704">
        <v>2138</v>
      </c>
      <c r="L21" s="704">
        <v>1293</v>
      </c>
      <c r="M21" s="704">
        <v>1743</v>
      </c>
      <c r="N21" s="703">
        <f>SUM(B21:M21)</f>
        <v>46445</v>
      </c>
      <c r="O21" s="640"/>
    </row>
    <row r="22" spans="1:15">
      <c r="A22" s="704" t="s">
        <v>436</v>
      </c>
      <c r="B22" s="704">
        <v>1427</v>
      </c>
      <c r="C22" s="704">
        <v>1461</v>
      </c>
      <c r="D22" s="704">
        <v>2606</v>
      </c>
      <c r="E22" s="704">
        <v>2670</v>
      </c>
      <c r="F22" s="704">
        <v>1710</v>
      </c>
      <c r="G22" s="704">
        <v>2549</v>
      </c>
      <c r="H22" s="704">
        <v>1098</v>
      </c>
      <c r="I22" s="704">
        <v>1666</v>
      </c>
      <c r="J22" s="704">
        <v>1050</v>
      </c>
      <c r="K22" s="704">
        <v>1054</v>
      </c>
      <c r="L22" s="704">
        <v>2022</v>
      </c>
      <c r="M22" s="704">
        <v>1170</v>
      </c>
      <c r="N22" s="703">
        <v>20483</v>
      </c>
    </row>
    <row r="23" spans="1:15">
      <c r="A23" s="704" t="s">
        <v>447</v>
      </c>
      <c r="B23" s="704">
        <v>663</v>
      </c>
      <c r="C23" s="704">
        <v>1662</v>
      </c>
      <c r="D23" s="704">
        <v>1580</v>
      </c>
      <c r="E23" s="704">
        <v>1746</v>
      </c>
      <c r="F23" s="704">
        <v>1131</v>
      </c>
      <c r="G23" s="704">
        <v>1389</v>
      </c>
      <c r="H23" s="704">
        <v>1701</v>
      </c>
      <c r="I23" s="704">
        <v>1527</v>
      </c>
      <c r="J23" s="704">
        <v>1635</v>
      </c>
      <c r="K23" s="704">
        <v>1202</v>
      </c>
      <c r="L23" s="704">
        <v>787</v>
      </c>
      <c r="M23" s="704">
        <v>1488</v>
      </c>
      <c r="N23" s="703">
        <f>SUM(B23:M23)</f>
        <v>16511</v>
      </c>
    </row>
    <row r="24" spans="1:15">
      <c r="A24" s="704" t="s">
        <v>464</v>
      </c>
      <c r="B24" s="704">
        <v>1470</v>
      </c>
      <c r="C24" s="704">
        <v>634</v>
      </c>
      <c r="D24" s="704"/>
      <c r="E24" s="704"/>
      <c r="F24" s="704"/>
      <c r="G24" s="704"/>
      <c r="H24" s="704"/>
      <c r="I24" s="704"/>
      <c r="J24" s="704"/>
      <c r="K24" s="704"/>
      <c r="L24" s="704"/>
      <c r="M24" s="704"/>
      <c r="N24" s="703"/>
    </row>
    <row r="25" spans="1:15">
      <c r="A25" s="11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>
      <c r="K34" s="4"/>
      <c r="L34" s="4"/>
      <c r="M34" s="4"/>
      <c r="N34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</row>
    <row r="49" spans="1:10">
      <c r="A49" s="779"/>
      <c r="B49" s="779"/>
      <c r="C49" s="779"/>
      <c r="D49" s="779"/>
      <c r="E49" s="779"/>
      <c r="F49" s="779"/>
      <c r="G49" s="779"/>
      <c r="H49" s="4"/>
      <c r="I49" s="4"/>
      <c r="J49" s="4"/>
    </row>
    <row r="52" spans="1:10">
      <c r="A52" s="779" t="s">
        <v>463</v>
      </c>
      <c r="B52" s="779"/>
      <c r="C52" s="779"/>
      <c r="D52" s="779"/>
      <c r="E52" s="779"/>
      <c r="F52" s="779"/>
      <c r="G52" s="779"/>
    </row>
    <row r="54" spans="1:10" ht="21">
      <c r="B54" s="705"/>
    </row>
  </sheetData>
  <mergeCells count="3">
    <mergeCell ref="A1:N1"/>
    <mergeCell ref="A49:G49"/>
    <mergeCell ref="A52:G52"/>
  </mergeCells>
  <phoneticPr fontId="3" type="noConversion"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A18A9-2E07-4653-8A2E-11487E00E053}">
  <dimension ref="A1:O55"/>
  <sheetViews>
    <sheetView topLeftCell="A24" zoomScaleNormal="100" workbookViewId="0">
      <selection activeCell="C15" sqref="C15"/>
    </sheetView>
  </sheetViews>
  <sheetFormatPr defaultRowHeight="16.5"/>
  <cols>
    <col min="2" max="14" width="15.125" customWidth="1"/>
  </cols>
  <sheetData>
    <row r="1" spans="1:15">
      <c r="A1" s="778" t="s">
        <v>442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778"/>
    </row>
    <row r="2" spans="1:15">
      <c r="A2" s="136" t="s">
        <v>245</v>
      </c>
      <c r="B2" s="136" t="s">
        <v>246</v>
      </c>
      <c r="C2" s="136" t="s">
        <v>247</v>
      </c>
      <c r="D2" s="136" t="s">
        <v>248</v>
      </c>
      <c r="E2" s="136" t="s">
        <v>249</v>
      </c>
      <c r="F2" s="136" t="s">
        <v>250</v>
      </c>
      <c r="G2" s="136" t="s">
        <v>251</v>
      </c>
      <c r="H2" s="136" t="s">
        <v>252</v>
      </c>
      <c r="I2" s="136" t="s">
        <v>414</v>
      </c>
      <c r="J2" s="136" t="s">
        <v>253</v>
      </c>
      <c r="K2" s="136" t="s">
        <v>254</v>
      </c>
      <c r="L2" s="136" t="s">
        <v>255</v>
      </c>
      <c r="M2" s="136" t="s">
        <v>256</v>
      </c>
      <c r="N2" s="136" t="s">
        <v>265</v>
      </c>
    </row>
    <row r="3" spans="1:15">
      <c r="A3" s="581">
        <v>2014</v>
      </c>
      <c r="B3" s="580">
        <v>2030134</v>
      </c>
      <c r="C3" s="580">
        <v>2087484</v>
      </c>
      <c r="D3" s="580">
        <v>2665238</v>
      </c>
      <c r="E3" s="580">
        <v>2611314</v>
      </c>
      <c r="F3" s="580">
        <v>1091251</v>
      </c>
      <c r="G3" s="580">
        <v>1502295</v>
      </c>
      <c r="H3" s="580">
        <v>1457297</v>
      </c>
      <c r="I3" s="580">
        <v>3209075</v>
      </c>
      <c r="J3" s="580">
        <v>3271457</v>
      </c>
      <c r="K3" s="580">
        <v>2824508</v>
      </c>
      <c r="L3" s="580">
        <v>2836336</v>
      </c>
      <c r="M3" s="580">
        <v>3573415</v>
      </c>
      <c r="N3" s="579">
        <f t="shared" ref="N3:N8" si="0">SUM(B3,C3,D3,E3,F3,G3,H3,I3,J3,K3,L3,M3,)</f>
        <v>29159804</v>
      </c>
    </row>
    <row r="4" spans="1:15">
      <c r="A4" s="578">
        <v>2015</v>
      </c>
      <c r="B4" s="577">
        <v>2201509</v>
      </c>
      <c r="C4" s="577">
        <v>2113885</v>
      </c>
      <c r="D4" s="577">
        <v>3954472</v>
      </c>
      <c r="E4" s="577">
        <v>2765728</v>
      </c>
      <c r="F4" s="577">
        <v>2237670</v>
      </c>
      <c r="G4" s="577">
        <v>1913486</v>
      </c>
      <c r="H4" s="577">
        <v>1917647</v>
      </c>
      <c r="I4" s="577">
        <v>3774196</v>
      </c>
      <c r="J4" s="577">
        <v>4608228</v>
      </c>
      <c r="K4" s="577">
        <v>3020941</v>
      </c>
      <c r="L4" s="577">
        <v>4690579</v>
      </c>
      <c r="M4" s="577">
        <v>6668664</v>
      </c>
      <c r="N4" s="576">
        <f t="shared" si="0"/>
        <v>39867005</v>
      </c>
    </row>
    <row r="5" spans="1:15">
      <c r="A5" s="706">
        <v>2016</v>
      </c>
      <c r="B5" s="606">
        <v>6656477</v>
      </c>
      <c r="C5" s="606">
        <v>9624910</v>
      </c>
      <c r="D5" s="606">
        <v>9274199</v>
      </c>
      <c r="E5" s="606">
        <v>6792468</v>
      </c>
      <c r="F5" s="606">
        <v>6877093</v>
      </c>
      <c r="G5" s="606">
        <v>7470390</v>
      </c>
      <c r="H5" s="606">
        <v>7997328</v>
      </c>
      <c r="I5" s="606">
        <v>8666373</v>
      </c>
      <c r="J5" s="606">
        <v>7000791</v>
      </c>
      <c r="K5" s="606">
        <v>8133295</v>
      </c>
      <c r="L5" s="606">
        <v>6009708</v>
      </c>
      <c r="M5" s="606">
        <v>8633879</v>
      </c>
      <c r="N5" s="605">
        <f t="shared" si="0"/>
        <v>93136911</v>
      </c>
    </row>
    <row r="6" spans="1:15">
      <c r="A6" s="572">
        <v>2017</v>
      </c>
      <c r="B6" s="571">
        <v>10939919</v>
      </c>
      <c r="C6" s="571">
        <v>8834958</v>
      </c>
      <c r="D6" s="571">
        <v>17305971</v>
      </c>
      <c r="E6" s="571">
        <v>15589249</v>
      </c>
      <c r="F6" s="571">
        <v>20918272</v>
      </c>
      <c r="G6" s="571">
        <v>13518022</v>
      </c>
      <c r="H6" s="571">
        <v>17940270</v>
      </c>
      <c r="I6" s="571">
        <v>13015196</v>
      </c>
      <c r="J6" s="571">
        <v>12910324</v>
      </c>
      <c r="K6" s="571">
        <v>11159165</v>
      </c>
      <c r="L6" s="571">
        <v>15789466</v>
      </c>
      <c r="M6" s="571">
        <v>12879961</v>
      </c>
      <c r="N6" s="570">
        <f t="shared" si="0"/>
        <v>170800773</v>
      </c>
    </row>
    <row r="7" spans="1:15">
      <c r="A7" s="569">
        <v>2018</v>
      </c>
      <c r="B7" s="568">
        <v>16580129</v>
      </c>
      <c r="C7" s="568">
        <v>15653267</v>
      </c>
      <c r="D7" s="568">
        <v>21731943</v>
      </c>
      <c r="E7" s="568">
        <v>19436051</v>
      </c>
      <c r="F7" s="568">
        <v>21619351</v>
      </c>
      <c r="G7" s="568">
        <v>22609235</v>
      </c>
      <c r="H7" s="568">
        <v>15871081</v>
      </c>
      <c r="I7" s="568">
        <v>17467664</v>
      </c>
      <c r="J7" s="568">
        <v>19494033</v>
      </c>
      <c r="K7" s="568">
        <v>12362562</v>
      </c>
      <c r="L7" s="568">
        <v>15958271</v>
      </c>
      <c r="M7" s="568">
        <v>40975160</v>
      </c>
      <c r="N7" s="567">
        <f t="shared" si="0"/>
        <v>239758747</v>
      </c>
    </row>
    <row r="8" spans="1:15">
      <c r="A8" s="566">
        <v>2019</v>
      </c>
      <c r="B8" s="565">
        <v>39903509</v>
      </c>
      <c r="C8" s="565">
        <v>33717861</v>
      </c>
      <c r="D8" s="565">
        <v>39958441</v>
      </c>
      <c r="E8" s="565">
        <v>51337624</v>
      </c>
      <c r="F8" s="565">
        <v>46739867</v>
      </c>
      <c r="G8" s="565">
        <v>38656566</v>
      </c>
      <c r="H8" s="707">
        <v>42961284</v>
      </c>
      <c r="I8" s="707">
        <v>45897313</v>
      </c>
      <c r="J8" s="565">
        <v>52851571</v>
      </c>
      <c r="K8" s="565">
        <v>54987114</v>
      </c>
      <c r="L8" s="565">
        <v>35231865</v>
      </c>
      <c r="M8" s="565">
        <v>72032864</v>
      </c>
      <c r="N8" s="567">
        <f t="shared" si="0"/>
        <v>554275879</v>
      </c>
    </row>
    <row r="9" spans="1:15">
      <c r="A9" s="563">
        <v>2020</v>
      </c>
      <c r="B9" s="562">
        <v>64772006</v>
      </c>
      <c r="C9" s="562">
        <v>47312565</v>
      </c>
      <c r="D9" s="562">
        <v>45883404</v>
      </c>
      <c r="E9" s="562">
        <v>32442826</v>
      </c>
      <c r="F9" s="562">
        <v>50730065</v>
      </c>
      <c r="G9" s="562">
        <v>44707844</v>
      </c>
      <c r="H9" s="562">
        <v>37822117</v>
      </c>
      <c r="I9" s="562">
        <v>54275188</v>
      </c>
      <c r="J9" s="562">
        <v>60332888</v>
      </c>
      <c r="K9" s="562">
        <v>72379759</v>
      </c>
      <c r="L9" s="562">
        <v>53724748</v>
      </c>
      <c r="M9" s="562">
        <v>74584689</v>
      </c>
      <c r="N9" s="561">
        <f>SUM(B9+C9+D9+E9+F9+G9+H9+I9+J9+K9+L9+M9)</f>
        <v>638968099</v>
      </c>
    </row>
    <row r="10" spans="1:15">
      <c r="A10" s="696">
        <v>2021</v>
      </c>
      <c r="B10" s="697">
        <v>57163374</v>
      </c>
      <c r="C10" s="697">
        <v>53986172</v>
      </c>
      <c r="D10" s="697">
        <v>68394480</v>
      </c>
      <c r="E10" s="697">
        <v>51904246</v>
      </c>
      <c r="F10" s="697">
        <v>82411821</v>
      </c>
      <c r="G10" s="697">
        <v>40245366</v>
      </c>
      <c r="H10" s="697">
        <v>58683801</v>
      </c>
      <c r="I10" s="697">
        <v>60574504</v>
      </c>
      <c r="J10" s="697">
        <v>47198345</v>
      </c>
      <c r="K10" s="697">
        <v>45420480</v>
      </c>
      <c r="L10" s="697">
        <v>59414479</v>
      </c>
      <c r="M10" s="697">
        <v>55652824</v>
      </c>
      <c r="N10" s="698">
        <f>SUM(B10:M10)</f>
        <v>681049892</v>
      </c>
      <c r="O10" s="681"/>
    </row>
    <row r="11" spans="1:15">
      <c r="A11" s="708">
        <v>2022</v>
      </c>
      <c r="B11" s="700">
        <v>40484230</v>
      </c>
      <c r="C11" s="700">
        <v>54283352</v>
      </c>
      <c r="D11" s="700">
        <v>61535960</v>
      </c>
      <c r="E11" s="700">
        <v>64139259</v>
      </c>
      <c r="F11" s="700">
        <v>68654301</v>
      </c>
      <c r="G11" s="700">
        <v>55483756</v>
      </c>
      <c r="H11" s="700">
        <v>89045907</v>
      </c>
      <c r="I11" s="700">
        <v>63281271</v>
      </c>
      <c r="J11" s="700">
        <v>74652119</v>
      </c>
      <c r="K11" s="700">
        <v>78635378</v>
      </c>
      <c r="L11" s="700">
        <v>71798749</v>
      </c>
      <c r="M11" s="700">
        <v>69268879</v>
      </c>
      <c r="N11" s="700">
        <f>SUM(B11:M11)</f>
        <v>791263161</v>
      </c>
      <c r="O11" s="685"/>
    </row>
    <row r="12" spans="1:15">
      <c r="A12" s="701">
        <v>2023</v>
      </c>
      <c r="B12" s="702">
        <v>87346695</v>
      </c>
      <c r="C12" s="702">
        <v>67678504</v>
      </c>
      <c r="D12" s="702">
        <v>58042495</v>
      </c>
      <c r="E12" s="702">
        <v>75097404</v>
      </c>
      <c r="F12" s="702">
        <v>67804325</v>
      </c>
      <c r="G12" s="702">
        <v>61211711</v>
      </c>
      <c r="H12" s="702">
        <v>55860453</v>
      </c>
      <c r="I12" s="702">
        <v>46191340</v>
      </c>
      <c r="J12" s="702">
        <v>37641613</v>
      </c>
      <c r="K12" s="702">
        <v>20313318</v>
      </c>
      <c r="L12" s="702">
        <v>35627376</v>
      </c>
      <c r="M12" s="702">
        <v>34021717</v>
      </c>
      <c r="N12" s="702">
        <f>SUM(B12:M12)</f>
        <v>646836951</v>
      </c>
      <c r="O12" s="689"/>
    </row>
    <row r="13" spans="1:15" ht="17.25" customHeight="1">
      <c r="A13" s="668">
        <v>2024</v>
      </c>
      <c r="B13" s="670">
        <v>26936632</v>
      </c>
      <c r="C13" s="670">
        <v>37213324</v>
      </c>
      <c r="D13" s="670">
        <v>31433859</v>
      </c>
      <c r="E13" s="670">
        <v>25699473</v>
      </c>
      <c r="F13" s="670">
        <v>25287108</v>
      </c>
      <c r="G13" s="670">
        <v>39725188</v>
      </c>
      <c r="H13" s="670">
        <v>17511843</v>
      </c>
      <c r="I13" s="670">
        <v>25142934</v>
      </c>
      <c r="J13" s="670">
        <v>17267014</v>
      </c>
      <c r="K13" s="670">
        <v>23122846</v>
      </c>
      <c r="L13" s="670">
        <v>21618617</v>
      </c>
      <c r="M13" s="670">
        <v>33682142</v>
      </c>
      <c r="N13" s="670">
        <v>324640980</v>
      </c>
      <c r="O13" s="689"/>
    </row>
    <row r="14" spans="1:15" ht="17.25" customHeight="1">
      <c r="A14" s="712">
        <v>2025</v>
      </c>
      <c r="B14" s="721">
        <v>17145239</v>
      </c>
      <c r="C14" s="721">
        <v>36040521</v>
      </c>
      <c r="D14" s="721">
        <v>41115427</v>
      </c>
      <c r="E14" s="721">
        <v>24735904</v>
      </c>
      <c r="F14" s="721">
        <v>25204649</v>
      </c>
      <c r="G14" s="721">
        <v>30967212</v>
      </c>
      <c r="H14" s="721">
        <v>24208255</v>
      </c>
      <c r="I14" s="721">
        <v>32289185</v>
      </c>
      <c r="J14" s="721">
        <v>33872176</v>
      </c>
      <c r="K14" s="721">
        <v>16384704</v>
      </c>
      <c r="L14" s="721">
        <v>25814405</v>
      </c>
      <c r="M14" s="721">
        <v>25399684</v>
      </c>
      <c r="N14" s="721">
        <f>SUM(B14:M14)</f>
        <v>333177361</v>
      </c>
      <c r="O14" s="689"/>
    </row>
    <row r="15" spans="1:15" ht="17.25" customHeight="1">
      <c r="A15" s="747">
        <v>2026</v>
      </c>
      <c r="B15" s="753">
        <v>22655950</v>
      </c>
      <c r="C15" s="753">
        <v>26652424</v>
      </c>
      <c r="D15" s="753"/>
      <c r="E15" s="753"/>
      <c r="F15" s="753"/>
      <c r="G15" s="753"/>
      <c r="H15" s="753"/>
      <c r="I15" s="753"/>
      <c r="J15" s="753"/>
      <c r="K15" s="753"/>
      <c r="L15" s="753"/>
      <c r="M15" s="753"/>
      <c r="N15" s="753"/>
      <c r="O15" s="689"/>
    </row>
    <row r="16" spans="1:15">
      <c r="A16" s="406" t="s">
        <v>402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5">
      <c r="A17" s="11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5">
      <c r="A18" s="665" t="s">
        <v>437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5">
      <c r="A19" s="136" t="s">
        <v>245</v>
      </c>
      <c r="B19" s="136" t="s">
        <v>246</v>
      </c>
      <c r="C19" s="136" t="s">
        <v>247</v>
      </c>
      <c r="D19" s="136" t="s">
        <v>248</v>
      </c>
      <c r="E19" s="136" t="s">
        <v>249</v>
      </c>
      <c r="F19" s="136" t="s">
        <v>250</v>
      </c>
      <c r="G19" s="136" t="s">
        <v>251</v>
      </c>
      <c r="H19" s="136" t="s">
        <v>252</v>
      </c>
      <c r="I19" s="136" t="s">
        <v>414</v>
      </c>
      <c r="J19" s="136" t="s">
        <v>253</v>
      </c>
      <c r="K19" s="136" t="s">
        <v>254</v>
      </c>
      <c r="L19" s="136" t="s">
        <v>255</v>
      </c>
      <c r="M19" s="136" t="s">
        <v>256</v>
      </c>
      <c r="N19" s="136" t="s">
        <v>265</v>
      </c>
    </row>
    <row r="20" spans="1:15">
      <c r="A20" s="658" t="s">
        <v>435</v>
      </c>
      <c r="B20" s="667">
        <v>6494141</v>
      </c>
      <c r="C20" s="667">
        <v>3637722</v>
      </c>
      <c r="D20" s="667">
        <v>7277168</v>
      </c>
      <c r="E20" s="667">
        <v>8905832</v>
      </c>
      <c r="F20" s="667">
        <v>7363466</v>
      </c>
      <c r="G20" s="667">
        <v>5799154</v>
      </c>
      <c r="H20" s="667">
        <v>11401308</v>
      </c>
      <c r="I20" s="667">
        <v>9796428</v>
      </c>
      <c r="J20" s="667">
        <v>7175652</v>
      </c>
      <c r="K20" s="667">
        <v>7335035</v>
      </c>
      <c r="L20" s="667">
        <v>10538072</v>
      </c>
      <c r="M20" s="667">
        <v>8058140</v>
      </c>
      <c r="N20" s="667">
        <f>SUM(B20:M20)</f>
        <v>93782118</v>
      </c>
      <c r="O20" s="640"/>
    </row>
    <row r="21" spans="1:15">
      <c r="A21" s="660" t="s">
        <v>432</v>
      </c>
      <c r="B21" s="667">
        <v>9848953</v>
      </c>
      <c r="C21" s="667">
        <v>5968798</v>
      </c>
      <c r="D21" s="667">
        <v>5605136</v>
      </c>
      <c r="E21" s="667">
        <v>7343628</v>
      </c>
      <c r="F21" s="667">
        <v>6272063</v>
      </c>
      <c r="G21" s="667">
        <v>5364823</v>
      </c>
      <c r="H21" s="667">
        <v>6173660</v>
      </c>
      <c r="I21" s="667">
        <v>6455058</v>
      </c>
      <c r="J21" s="667">
        <v>6186549</v>
      </c>
      <c r="K21" s="667">
        <v>4156331</v>
      </c>
      <c r="L21" s="667">
        <v>1716652</v>
      </c>
      <c r="M21" s="667">
        <v>2689922</v>
      </c>
      <c r="N21" s="667">
        <f>SUM(B21:M21)</f>
        <v>67781573</v>
      </c>
      <c r="O21" s="640"/>
    </row>
    <row r="22" spans="1:15">
      <c r="A22" s="660" t="s">
        <v>436</v>
      </c>
      <c r="B22" s="667">
        <v>2851287</v>
      </c>
      <c r="C22" s="667">
        <v>2431718</v>
      </c>
      <c r="D22" s="667">
        <v>3192018</v>
      </c>
      <c r="E22" s="667">
        <v>3607165</v>
      </c>
      <c r="F22" s="667">
        <v>2985350</v>
      </c>
      <c r="G22" s="667">
        <v>3725742</v>
      </c>
      <c r="H22" s="667">
        <v>1764860</v>
      </c>
      <c r="I22" s="667">
        <v>3181220</v>
      </c>
      <c r="J22" s="667">
        <v>2070759</v>
      </c>
      <c r="K22" s="667">
        <v>2057236</v>
      </c>
      <c r="L22" s="667">
        <v>3063880</v>
      </c>
      <c r="M22" s="667">
        <v>2300091</v>
      </c>
      <c r="N22" s="667">
        <v>33231326</v>
      </c>
    </row>
    <row r="23" spans="1:15">
      <c r="A23" s="660" t="s">
        <v>447</v>
      </c>
      <c r="B23" s="667">
        <v>1437277</v>
      </c>
      <c r="C23" s="667">
        <v>4088739</v>
      </c>
      <c r="D23" s="667">
        <v>2676112</v>
      </c>
      <c r="E23" s="667">
        <v>3008211</v>
      </c>
      <c r="F23" s="667">
        <v>3119514</v>
      </c>
      <c r="G23" s="667">
        <v>2498026</v>
      </c>
      <c r="H23" s="667">
        <v>3449846</v>
      </c>
      <c r="I23" s="667">
        <v>2875420</v>
      </c>
      <c r="J23" s="667">
        <v>3543420</v>
      </c>
      <c r="K23" s="667">
        <v>3468658</v>
      </c>
      <c r="L23" s="667">
        <v>2169379</v>
      </c>
      <c r="M23" s="667">
        <v>3290048</v>
      </c>
      <c r="N23" s="667">
        <f>SUM(B23:M23)</f>
        <v>35624650</v>
      </c>
    </row>
    <row r="24" spans="1:15">
      <c r="A24" s="660" t="s">
        <v>464</v>
      </c>
      <c r="B24" s="667">
        <v>3398447</v>
      </c>
      <c r="C24" s="667">
        <v>898005</v>
      </c>
      <c r="D24" s="667"/>
      <c r="E24" s="667"/>
      <c r="F24" s="667"/>
      <c r="G24" s="667"/>
      <c r="H24" s="667"/>
      <c r="I24" s="667"/>
      <c r="J24" s="667"/>
      <c r="K24" s="667"/>
      <c r="L24" s="667"/>
      <c r="M24" s="667"/>
      <c r="N24" s="667"/>
    </row>
    <row r="25" spans="1: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>
      <c r="K34" s="4"/>
      <c r="L34" s="4"/>
      <c r="M34" s="4"/>
      <c r="N34" s="4"/>
    </row>
    <row r="38" spans="1:14">
      <c r="A38" s="4"/>
      <c r="B38" s="4"/>
      <c r="C38" s="4"/>
      <c r="D38" s="4"/>
      <c r="E38" s="4"/>
      <c r="F38" s="4"/>
      <c r="G38" s="4"/>
      <c r="H38" s="4"/>
      <c r="I38" s="4"/>
      <c r="J38" s="4"/>
    </row>
    <row r="49" spans="1:6">
      <c r="A49" s="780"/>
      <c r="B49" s="780"/>
      <c r="C49" s="780"/>
      <c r="D49" s="780"/>
      <c r="E49" s="780"/>
      <c r="F49" s="780"/>
    </row>
    <row r="52" spans="1:6">
      <c r="A52" s="780" t="s">
        <v>465</v>
      </c>
      <c r="B52" s="780"/>
      <c r="C52" s="780"/>
      <c r="D52" s="780"/>
      <c r="E52" s="780"/>
      <c r="F52" s="780"/>
    </row>
    <row r="55" spans="1:6" ht="21">
      <c r="D55" s="705"/>
    </row>
  </sheetData>
  <mergeCells count="3">
    <mergeCell ref="A1:N1"/>
    <mergeCell ref="A49:F49"/>
    <mergeCell ref="A52:F52"/>
  </mergeCells>
  <phoneticPr fontId="3" type="noConversion"/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AC44D-F907-471E-8A1D-22FE60D97318}">
  <dimension ref="A1:N63"/>
  <sheetViews>
    <sheetView topLeftCell="A39" zoomScaleNormal="100" workbookViewId="0">
      <selection activeCell="C26" sqref="C26"/>
    </sheetView>
  </sheetViews>
  <sheetFormatPr defaultRowHeight="16.5"/>
  <cols>
    <col min="2" max="13" width="10" customWidth="1"/>
    <col min="14" max="14" width="12.375" customWidth="1"/>
  </cols>
  <sheetData>
    <row r="1" spans="1:14">
      <c r="A1" s="778" t="s">
        <v>440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778"/>
    </row>
    <row r="2" spans="1:14">
      <c r="A2" s="136" t="s">
        <v>245</v>
      </c>
      <c r="B2" s="136" t="s">
        <v>246</v>
      </c>
      <c r="C2" s="136" t="s">
        <v>247</v>
      </c>
      <c r="D2" s="136" t="s">
        <v>248</v>
      </c>
      <c r="E2" s="136" t="s">
        <v>249</v>
      </c>
      <c r="F2" s="136" t="s">
        <v>250</v>
      </c>
      <c r="G2" s="136" t="s">
        <v>251</v>
      </c>
      <c r="H2" s="136" t="s">
        <v>252</v>
      </c>
      <c r="I2" s="136" t="s">
        <v>414</v>
      </c>
      <c r="J2" s="136" t="s">
        <v>253</v>
      </c>
      <c r="K2" s="136" t="s">
        <v>254</v>
      </c>
      <c r="L2" s="136" t="s">
        <v>255</v>
      </c>
      <c r="M2" s="136" t="s">
        <v>256</v>
      </c>
      <c r="N2" s="491" t="s">
        <v>257</v>
      </c>
    </row>
    <row r="3" spans="1:14" hidden="1">
      <c r="A3" s="492" t="s">
        <v>258</v>
      </c>
      <c r="B3" s="492">
        <v>408.96</v>
      </c>
      <c r="C3" s="492">
        <v>423.04</v>
      </c>
      <c r="D3" s="492">
        <v>334.94</v>
      </c>
      <c r="E3" s="492">
        <v>261.8</v>
      </c>
      <c r="F3" s="492">
        <v>717.9</v>
      </c>
      <c r="G3" s="492">
        <v>182.9</v>
      </c>
      <c r="H3" s="492">
        <v>513.53</v>
      </c>
      <c r="I3" s="492">
        <v>408.38</v>
      </c>
      <c r="J3" s="492">
        <v>425.25</v>
      </c>
      <c r="K3" s="492">
        <v>319.86</v>
      </c>
      <c r="L3" s="492">
        <v>290.81</v>
      </c>
      <c r="M3" s="492">
        <v>305.27</v>
      </c>
      <c r="N3" s="493">
        <f>AVERAGE(B3:M3)</f>
        <v>382.71999999999997</v>
      </c>
    </row>
    <row r="4" spans="1:14" hidden="1">
      <c r="A4" s="494" t="s">
        <v>413</v>
      </c>
      <c r="B4" s="494">
        <v>0</v>
      </c>
      <c r="C4" s="494">
        <v>480.7</v>
      </c>
      <c r="D4" s="494">
        <v>541.12</v>
      </c>
      <c r="E4" s="494">
        <v>699.74</v>
      </c>
      <c r="F4" s="494">
        <v>488.18</v>
      </c>
      <c r="G4" s="494">
        <v>0</v>
      </c>
      <c r="H4" s="494">
        <v>377</v>
      </c>
      <c r="I4" s="494">
        <v>491.03</v>
      </c>
      <c r="J4" s="494">
        <v>982.52800000000002</v>
      </c>
      <c r="K4" s="494">
        <v>580.54</v>
      </c>
      <c r="L4" s="494">
        <v>193.37</v>
      </c>
      <c r="M4" s="494">
        <v>304.67</v>
      </c>
      <c r="N4" s="493">
        <f>AVERAGE(B4:M4)</f>
        <v>428.23983333333331</v>
      </c>
    </row>
    <row r="5" spans="1:14" hidden="1">
      <c r="A5" s="495" t="s">
        <v>259</v>
      </c>
      <c r="B5" s="495"/>
      <c r="C5" s="495"/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3"/>
    </row>
    <row r="6" spans="1:14" hidden="1">
      <c r="A6" s="496" t="s">
        <v>412</v>
      </c>
      <c r="B6" s="496"/>
      <c r="C6" s="496"/>
      <c r="D6" s="496"/>
      <c r="E6" s="497"/>
      <c r="F6" s="496"/>
      <c r="G6" s="496"/>
      <c r="H6" s="496"/>
      <c r="I6" s="496"/>
      <c r="J6" s="497"/>
      <c r="K6" s="496"/>
      <c r="L6" s="496"/>
      <c r="M6" s="496"/>
      <c r="N6" s="493"/>
    </row>
    <row r="7" spans="1:14" hidden="1">
      <c r="A7" s="492" t="s">
        <v>260</v>
      </c>
      <c r="B7" s="492"/>
      <c r="C7" s="492"/>
      <c r="D7" s="492"/>
      <c r="E7" s="492"/>
      <c r="F7" s="492"/>
      <c r="G7" s="492"/>
      <c r="H7" s="492"/>
      <c r="I7" s="492"/>
      <c r="J7" s="492"/>
      <c r="K7" s="492"/>
      <c r="L7" s="492"/>
      <c r="M7" s="492"/>
      <c r="N7" s="493"/>
    </row>
    <row r="8" spans="1:14" hidden="1">
      <c r="A8" s="498" t="s">
        <v>261</v>
      </c>
      <c r="B8" s="499"/>
      <c r="C8" s="498"/>
      <c r="D8" s="498"/>
      <c r="E8" s="498"/>
      <c r="F8" s="498"/>
      <c r="G8" s="498"/>
      <c r="H8" s="498"/>
      <c r="I8" s="498"/>
      <c r="J8" s="498"/>
      <c r="K8" s="498"/>
      <c r="L8" s="498"/>
      <c r="M8" s="498"/>
      <c r="N8" s="493"/>
    </row>
    <row r="9" spans="1:14" hidden="1">
      <c r="A9" s="500" t="s">
        <v>262</v>
      </c>
      <c r="B9" s="500"/>
      <c r="C9" s="500"/>
      <c r="D9" s="500"/>
      <c r="E9" s="500"/>
      <c r="F9" s="500"/>
      <c r="G9" s="500"/>
      <c r="H9" s="500"/>
      <c r="I9" s="500"/>
      <c r="J9" s="500"/>
      <c r="K9" s="500"/>
      <c r="L9" s="500"/>
      <c r="M9" s="500"/>
      <c r="N9" s="493"/>
    </row>
    <row r="10" spans="1:14" hidden="1">
      <c r="A10" s="494" t="s">
        <v>263</v>
      </c>
      <c r="B10" s="494"/>
      <c r="C10" s="494"/>
      <c r="D10" s="494"/>
      <c r="E10" s="494"/>
      <c r="F10" s="494"/>
      <c r="G10" s="494"/>
      <c r="H10" s="494"/>
      <c r="I10" s="494"/>
      <c r="J10" s="494"/>
      <c r="K10" s="494"/>
      <c r="L10" s="494"/>
      <c r="M10" s="494"/>
      <c r="N10" s="493"/>
    </row>
    <row r="11" spans="1:14" hidden="1">
      <c r="A11" s="495" t="s">
        <v>264</v>
      </c>
      <c r="B11" s="495"/>
      <c r="C11" s="495"/>
      <c r="D11" s="495"/>
      <c r="E11" s="495"/>
      <c r="F11" s="495"/>
      <c r="G11" s="495"/>
      <c r="H11" s="495"/>
      <c r="I11" s="495"/>
      <c r="J11" s="495"/>
      <c r="K11" s="495"/>
      <c r="L11" s="495"/>
      <c r="M11" s="495"/>
      <c r="N11" s="493"/>
    </row>
    <row r="12" spans="1:14" hidden="1">
      <c r="A12" s="492" t="s">
        <v>411</v>
      </c>
      <c r="B12" s="556"/>
      <c r="C12" s="492"/>
      <c r="D12" s="492"/>
      <c r="E12" s="492"/>
      <c r="F12" s="492"/>
      <c r="G12" s="492"/>
      <c r="H12" s="492"/>
      <c r="I12" s="492"/>
      <c r="J12" s="492"/>
      <c r="K12" s="492"/>
      <c r="L12" s="492"/>
      <c r="M12" s="492"/>
      <c r="N12" s="493"/>
    </row>
    <row r="13" spans="1:14" hidden="1">
      <c r="A13" s="501" t="s">
        <v>410</v>
      </c>
      <c r="B13" s="501"/>
      <c r="C13" s="501"/>
      <c r="D13" s="501"/>
      <c r="E13" s="501"/>
      <c r="F13" s="501"/>
      <c r="G13" s="501"/>
      <c r="H13" s="501"/>
      <c r="I13" s="501"/>
      <c r="J13" s="501"/>
      <c r="K13" s="501"/>
      <c r="L13" s="501"/>
      <c r="M13" s="501"/>
      <c r="N13" s="493"/>
    </row>
    <row r="14" spans="1:14">
      <c r="A14" s="502">
        <v>2014</v>
      </c>
      <c r="B14" s="502">
        <v>527.30999999999995</v>
      </c>
      <c r="C14" s="502">
        <v>472.5</v>
      </c>
      <c r="D14" s="502">
        <v>446.59</v>
      </c>
      <c r="E14" s="502">
        <v>495.04</v>
      </c>
      <c r="F14" s="502">
        <v>548.37</v>
      </c>
      <c r="G14" s="502">
        <v>606.25</v>
      </c>
      <c r="H14" s="502">
        <v>601.20000000000005</v>
      </c>
      <c r="I14" s="502">
        <v>462.2</v>
      </c>
      <c r="J14" s="502">
        <v>507.75</v>
      </c>
      <c r="K14" s="502">
        <v>545.38</v>
      </c>
      <c r="L14" s="502">
        <v>473.91</v>
      </c>
      <c r="M14" s="502">
        <v>547.73</v>
      </c>
      <c r="N14" s="671">
        <f t="shared" ref="N14:N23" si="0">AVERAGE(B14:M14)</f>
        <v>519.51916666666659</v>
      </c>
    </row>
    <row r="15" spans="1:14">
      <c r="A15" s="503">
        <v>2015</v>
      </c>
      <c r="B15" s="503">
        <v>510.2</v>
      </c>
      <c r="C15" s="503">
        <v>568.4</v>
      </c>
      <c r="D15" s="503">
        <v>651.48</v>
      </c>
      <c r="E15" s="503">
        <v>595.29</v>
      </c>
      <c r="F15" s="503">
        <v>584.25</v>
      </c>
      <c r="G15" s="503">
        <v>644.49</v>
      </c>
      <c r="H15" s="503">
        <v>680.02</v>
      </c>
      <c r="I15" s="503">
        <v>579.66</v>
      </c>
      <c r="J15" s="503">
        <v>551.36</v>
      </c>
      <c r="K15" s="503">
        <v>507.64</v>
      </c>
      <c r="L15" s="503">
        <v>503.17</v>
      </c>
      <c r="M15" s="503">
        <v>770.41</v>
      </c>
      <c r="N15" s="672">
        <f t="shared" si="0"/>
        <v>595.53083333333325</v>
      </c>
    </row>
    <row r="16" spans="1:14">
      <c r="A16" s="504">
        <v>2016</v>
      </c>
      <c r="B16" s="504">
        <v>853.07</v>
      </c>
      <c r="C16" s="504">
        <v>928.96</v>
      </c>
      <c r="D16" s="504">
        <v>877.91</v>
      </c>
      <c r="E16" s="504">
        <v>968.00199999999995</v>
      </c>
      <c r="F16" s="504">
        <v>730.44</v>
      </c>
      <c r="G16" s="504">
        <v>896.05</v>
      </c>
      <c r="H16" s="504">
        <v>1325.82</v>
      </c>
      <c r="I16" s="504">
        <v>959.41</v>
      </c>
      <c r="J16" s="504">
        <v>971.12</v>
      </c>
      <c r="K16" s="504">
        <v>931.76</v>
      </c>
      <c r="L16" s="504">
        <v>1161.07</v>
      </c>
      <c r="M16" s="504">
        <v>1168.32</v>
      </c>
      <c r="N16" s="673">
        <f t="shared" si="0"/>
        <v>980.9943333333332</v>
      </c>
    </row>
    <row r="17" spans="1:14">
      <c r="A17" s="505">
        <v>2017</v>
      </c>
      <c r="B17" s="505">
        <v>1134.96</v>
      </c>
      <c r="C17" s="505">
        <v>848.46</v>
      </c>
      <c r="D17" s="505">
        <v>1173.53</v>
      </c>
      <c r="E17" s="505">
        <v>1293.6099999999999</v>
      </c>
      <c r="F17" s="505">
        <v>1519.67</v>
      </c>
      <c r="G17" s="505">
        <v>1476.25</v>
      </c>
      <c r="H17" s="505">
        <v>1481.44</v>
      </c>
      <c r="I17" s="505">
        <v>1463.37</v>
      </c>
      <c r="J17" s="505">
        <v>1440.72</v>
      </c>
      <c r="K17" s="505">
        <v>1297.1199999999999</v>
      </c>
      <c r="L17" s="505">
        <v>1386.38</v>
      </c>
      <c r="M17" s="505">
        <v>1270.0899999999999</v>
      </c>
      <c r="N17" s="674">
        <f t="shared" si="0"/>
        <v>1315.4666666666669</v>
      </c>
    </row>
    <row r="18" spans="1:14">
      <c r="A18" s="506">
        <v>2018</v>
      </c>
      <c r="B18" s="675">
        <v>1457.85</v>
      </c>
      <c r="C18" s="675">
        <v>1284.74</v>
      </c>
      <c r="D18" s="675">
        <v>1360.71</v>
      </c>
      <c r="E18" s="675">
        <v>1183.3900000000001</v>
      </c>
      <c r="F18" s="675">
        <v>1348.93</v>
      </c>
      <c r="G18" s="675">
        <v>1396.58</v>
      </c>
      <c r="H18" s="675">
        <v>1226.8</v>
      </c>
      <c r="I18" s="675">
        <v>1251.18</v>
      </c>
      <c r="J18" s="675">
        <v>1154.72</v>
      </c>
      <c r="K18" s="675">
        <v>953.61</v>
      </c>
      <c r="L18" s="675">
        <v>1089.82</v>
      </c>
      <c r="M18" s="675">
        <v>1266.1099999999999</v>
      </c>
      <c r="N18" s="507">
        <f t="shared" si="0"/>
        <v>1247.8700000000001</v>
      </c>
    </row>
    <row r="19" spans="1:14">
      <c r="A19" s="492">
        <v>2019</v>
      </c>
      <c r="B19" s="676">
        <v>1302.93</v>
      </c>
      <c r="C19" s="676">
        <v>1239.49</v>
      </c>
      <c r="D19" s="676">
        <v>1303.79</v>
      </c>
      <c r="E19" s="676">
        <v>1174.18</v>
      </c>
      <c r="F19" s="676">
        <v>1259.7</v>
      </c>
      <c r="G19" s="676">
        <v>1195.95</v>
      </c>
      <c r="H19" s="676">
        <v>1194.2</v>
      </c>
      <c r="I19" s="676">
        <v>1232.9000000000001</v>
      </c>
      <c r="J19" s="676">
        <v>1391.45</v>
      </c>
      <c r="K19" s="676">
        <v>1305.77</v>
      </c>
      <c r="L19" s="676">
        <v>575.75</v>
      </c>
      <c r="M19" s="676">
        <v>1296.72</v>
      </c>
      <c r="N19" s="493">
        <f t="shared" si="0"/>
        <v>1206.0691666666667</v>
      </c>
    </row>
    <row r="20" spans="1:14">
      <c r="A20" s="508">
        <v>2020</v>
      </c>
      <c r="B20" s="677">
        <v>1231.5</v>
      </c>
      <c r="C20" s="677">
        <v>1160.1300000000001</v>
      </c>
      <c r="D20" s="677">
        <v>1258.8</v>
      </c>
      <c r="E20" s="677">
        <v>1179.44</v>
      </c>
      <c r="F20" s="677">
        <v>1176.08</v>
      </c>
      <c r="G20" s="677">
        <v>1309.51</v>
      </c>
      <c r="H20" s="677">
        <v>1255.67</v>
      </c>
      <c r="I20" s="677">
        <v>1210.6099999999999</v>
      </c>
      <c r="J20" s="677">
        <v>1336.01</v>
      </c>
      <c r="K20" s="677">
        <v>1358.22</v>
      </c>
      <c r="L20" s="677">
        <v>1292.58</v>
      </c>
      <c r="M20" s="677">
        <v>1310.3699999999999</v>
      </c>
      <c r="N20" s="509">
        <f t="shared" si="0"/>
        <v>1256.5766666666668</v>
      </c>
    </row>
    <row r="21" spans="1:14" s="681" customFormat="1">
      <c r="A21" s="678">
        <v>2021</v>
      </c>
      <c r="B21" s="679">
        <v>1327.1</v>
      </c>
      <c r="C21" s="679">
        <v>1337.58</v>
      </c>
      <c r="D21" s="679">
        <v>1310.84</v>
      </c>
      <c r="E21" s="679">
        <v>1238.82</v>
      </c>
      <c r="F21" s="679">
        <v>1349.46</v>
      </c>
      <c r="G21" s="679">
        <v>1258.77</v>
      </c>
      <c r="H21" s="679">
        <v>1328.11</v>
      </c>
      <c r="I21" s="679">
        <v>1287.0392860937002</v>
      </c>
      <c r="J21" s="679">
        <v>1309.68</v>
      </c>
      <c r="K21" s="679">
        <v>1180.1500000000001</v>
      </c>
      <c r="L21" s="679">
        <v>1281.53</v>
      </c>
      <c r="M21" s="679">
        <v>1245.336078229542</v>
      </c>
      <c r="N21" s="680">
        <f t="shared" si="0"/>
        <v>1287.8679470269369</v>
      </c>
    </row>
    <row r="22" spans="1:14" s="685" customFormat="1">
      <c r="A22" s="682">
        <v>2022</v>
      </c>
      <c r="B22" s="683">
        <v>1170.81</v>
      </c>
      <c r="C22" s="683">
        <v>1150.5341556982685</v>
      </c>
      <c r="D22" s="683">
        <v>1214.9251727541955</v>
      </c>
      <c r="E22" s="683">
        <v>1258.3233736168877</v>
      </c>
      <c r="F22" s="683">
        <v>1282.6346261629863</v>
      </c>
      <c r="G22" s="683">
        <v>1289.9599181623732</v>
      </c>
      <c r="H22" s="683">
        <v>1371.2661040700987</v>
      </c>
      <c r="I22" s="683">
        <v>1250.6400000000001</v>
      </c>
      <c r="J22" s="683">
        <v>1224.3900000000001</v>
      </c>
      <c r="K22" s="683">
        <v>1332.76</v>
      </c>
      <c r="L22" s="683">
        <v>1282.72</v>
      </c>
      <c r="M22" s="683">
        <v>1381.2614209655228</v>
      </c>
      <c r="N22" s="684">
        <f t="shared" si="0"/>
        <v>1267.5187309525274</v>
      </c>
    </row>
    <row r="23" spans="1:14" s="689" customFormat="1">
      <c r="A23" s="686">
        <v>2023</v>
      </c>
      <c r="B23" s="687">
        <v>1361.4522967096341</v>
      </c>
      <c r="C23" s="687">
        <v>1543.69</v>
      </c>
      <c r="D23" s="687">
        <v>1380.9448978135185</v>
      </c>
      <c r="E23" s="688">
        <v>1573.4784084480482</v>
      </c>
      <c r="F23" s="688">
        <v>1568.0563585485997</v>
      </c>
      <c r="G23" s="688">
        <v>1510.4678840222084</v>
      </c>
      <c r="H23" s="688">
        <v>1612.3204121687929</v>
      </c>
      <c r="I23" s="688">
        <v>1919.6799933505113</v>
      </c>
      <c r="J23" s="688">
        <v>1951.0502773026487</v>
      </c>
      <c r="K23" s="688">
        <v>1919.2477324263039</v>
      </c>
      <c r="L23" s="688">
        <v>1794.3780407957693</v>
      </c>
      <c r="M23" s="688">
        <v>1971.4734310714493</v>
      </c>
      <c r="N23" s="688">
        <f t="shared" si="0"/>
        <v>1675.5199777214568</v>
      </c>
    </row>
    <row r="24" spans="1:14" s="689" customFormat="1">
      <c r="A24" s="663">
        <v>2024</v>
      </c>
      <c r="B24" s="692">
        <v>1768.4238445378201</v>
      </c>
      <c r="C24" s="722">
        <v>1621.7782620064499</v>
      </c>
      <c r="D24" s="722">
        <v>1647.3905455688905</v>
      </c>
      <c r="E24" s="722">
        <v>1556.0349358198112</v>
      </c>
      <c r="F24" s="722">
        <v>1748.6417260217136</v>
      </c>
      <c r="G24" s="722">
        <v>1614.78</v>
      </c>
      <c r="H24" s="722">
        <v>1845.6832841483979</v>
      </c>
      <c r="I24" s="722">
        <v>1672.4048157509644</v>
      </c>
      <c r="J24" s="722">
        <v>1786.3660252431202</v>
      </c>
      <c r="K24" s="722">
        <v>1875.1801151569216</v>
      </c>
      <c r="L24" s="722">
        <v>1631.4706059920006</v>
      </c>
      <c r="M24" s="722">
        <v>1609.3526685460365</v>
      </c>
      <c r="N24" s="722">
        <v>1698.1255690660103</v>
      </c>
    </row>
    <row r="25" spans="1:14" s="689" customFormat="1">
      <c r="A25" s="717">
        <v>2025</v>
      </c>
      <c r="B25" s="723">
        <v>1796.629885780153</v>
      </c>
      <c r="C25" s="723">
        <v>1852.7925663170881</v>
      </c>
      <c r="D25" s="723">
        <v>1897.5183219494186</v>
      </c>
      <c r="E25" s="723">
        <v>1758.5599317503199</v>
      </c>
      <c r="F25" s="723">
        <v>1775.6004931313844</v>
      </c>
      <c r="G25" s="723">
        <v>1672.3665820597289</v>
      </c>
      <c r="H25" s="723">
        <v>1627.8834644610315</v>
      </c>
      <c r="I25" s="723">
        <v>1665.335241631853</v>
      </c>
      <c r="J25" s="723">
        <v>1696.0680987431776</v>
      </c>
      <c r="K25" s="723">
        <v>1929.4281676872351</v>
      </c>
      <c r="L25" s="723">
        <v>1737.6416935918148</v>
      </c>
      <c r="M25" s="723">
        <v>1698.1803837667981</v>
      </c>
      <c r="N25" s="756">
        <f t="shared" ref="N25" si="1">AVERAGE(B25:M25)</f>
        <v>1759.0004025725</v>
      </c>
    </row>
    <row r="26" spans="1:14" s="689" customFormat="1">
      <c r="A26" s="748">
        <v>2026</v>
      </c>
      <c r="B26" s="754">
        <v>1538.8134211777492</v>
      </c>
      <c r="C26" s="754">
        <v>1699.3384340729406</v>
      </c>
      <c r="D26" s="754"/>
      <c r="E26" s="754"/>
      <c r="F26" s="754"/>
      <c r="G26" s="754"/>
      <c r="H26" s="754"/>
      <c r="I26" s="754"/>
      <c r="J26" s="754"/>
      <c r="K26" s="754"/>
      <c r="L26" s="754"/>
      <c r="M26" s="754"/>
      <c r="N26" s="748"/>
    </row>
    <row r="27" spans="1:14">
      <c r="A27" s="406" t="s">
        <v>402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665" t="s">
        <v>437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>
      <c r="A30" s="136" t="s">
        <v>245</v>
      </c>
      <c r="B30" s="136" t="s">
        <v>246</v>
      </c>
      <c r="C30" s="136" t="s">
        <v>247</v>
      </c>
      <c r="D30" s="136" t="s">
        <v>248</v>
      </c>
      <c r="E30" s="136" t="s">
        <v>249</v>
      </c>
      <c r="F30" s="136" t="s">
        <v>250</v>
      </c>
      <c r="G30" s="136" t="s">
        <v>251</v>
      </c>
      <c r="H30" s="136" t="s">
        <v>252</v>
      </c>
      <c r="I30" s="136" t="s">
        <v>414</v>
      </c>
      <c r="J30" s="136" t="s">
        <v>253</v>
      </c>
      <c r="K30" s="136" t="s">
        <v>254</v>
      </c>
      <c r="L30" s="136" t="s">
        <v>255</v>
      </c>
      <c r="M30" s="136" t="s">
        <v>256</v>
      </c>
      <c r="N30" s="491" t="s">
        <v>257</v>
      </c>
    </row>
    <row r="31" spans="1:14" s="640" customFormat="1">
      <c r="A31" s="658" t="s">
        <v>435</v>
      </c>
      <c r="B31" s="690">
        <v>1538.9</v>
      </c>
      <c r="C31" s="690">
        <v>1829.8400402414486</v>
      </c>
      <c r="D31" s="690">
        <v>1413.5912975912977</v>
      </c>
      <c r="E31" s="690">
        <v>1484.3053333333332</v>
      </c>
      <c r="F31" s="690">
        <v>1357.0707703649098</v>
      </c>
      <c r="G31" s="690">
        <v>1619.4230661826305</v>
      </c>
      <c r="H31" s="690">
        <v>1538.638056680162</v>
      </c>
      <c r="I31" s="690">
        <v>1723.21</v>
      </c>
      <c r="J31" s="690">
        <v>1584.38</v>
      </c>
      <c r="K31" s="690">
        <v>1445.61</v>
      </c>
      <c r="L31" s="690">
        <v>1539.0787206075654</v>
      </c>
      <c r="M31" s="690">
        <v>1689.6917592786747</v>
      </c>
      <c r="N31" s="690">
        <f>AVERAGE(B31:M31)</f>
        <v>1563.6449203566688</v>
      </c>
    </row>
    <row r="32" spans="1:14" s="640" customFormat="1">
      <c r="A32" s="660" t="s">
        <v>432</v>
      </c>
      <c r="B32" s="691">
        <v>1395.4311419665628</v>
      </c>
      <c r="C32" s="691">
        <v>1371.5068933823529</v>
      </c>
      <c r="D32" s="691">
        <v>1381.2557910300641</v>
      </c>
      <c r="E32" s="691">
        <v>1286.0994746059544</v>
      </c>
      <c r="F32" s="691">
        <v>1526.4207836456558</v>
      </c>
      <c r="G32" s="691">
        <v>1153.73</v>
      </c>
      <c r="H32" s="691">
        <v>1708.7351231663438</v>
      </c>
      <c r="I32" s="691">
        <v>1639.17</v>
      </c>
      <c r="J32" s="691">
        <v>1635.355273592387</v>
      </c>
      <c r="K32" s="691">
        <v>1944.03</v>
      </c>
      <c r="L32" s="691">
        <v>1327.6504253673627</v>
      </c>
      <c r="M32" s="691">
        <v>1543.2713711990821</v>
      </c>
      <c r="N32" s="690">
        <f>AVERAGE(B32:M32)</f>
        <v>1492.721356496314</v>
      </c>
    </row>
    <row r="33" spans="1:14" ht="18" customHeight="1">
      <c r="A33" s="660" t="s">
        <v>439</v>
      </c>
      <c r="B33" s="691">
        <v>1998.0988086895586</v>
      </c>
      <c r="C33" s="691">
        <v>1664.4202600958247</v>
      </c>
      <c r="D33" s="691">
        <v>1224.8726016884114</v>
      </c>
      <c r="E33" s="691">
        <v>1350.9981273408239</v>
      </c>
      <c r="F33" s="691">
        <v>1745.8187134502923</v>
      </c>
      <c r="G33" s="691">
        <v>1461.65</v>
      </c>
      <c r="H33" s="691">
        <v>1607.3406193078324</v>
      </c>
      <c r="I33" s="691">
        <v>1909.4957983193278</v>
      </c>
      <c r="J33" s="691">
        <v>1972.1514285714286</v>
      </c>
      <c r="K33" s="691">
        <v>1951.8368121442124</v>
      </c>
      <c r="L33" s="691">
        <v>1515.2720079129574</v>
      </c>
      <c r="M33" s="691">
        <v>1965.8897435897436</v>
      </c>
      <c r="N33" s="691">
        <v>1697.3204100925343</v>
      </c>
    </row>
    <row r="34" spans="1:14" ht="18" customHeight="1">
      <c r="A34" s="660" t="s">
        <v>447</v>
      </c>
      <c r="B34" s="691">
        <v>929.91023987619292</v>
      </c>
      <c r="C34" s="691">
        <v>2460.1317689530688</v>
      </c>
      <c r="D34" s="691">
        <v>1693.7417721518987</v>
      </c>
      <c r="E34" s="691">
        <v>948.1531531531532</v>
      </c>
      <c r="F34" s="691">
        <v>1946.0474111041797</v>
      </c>
      <c r="G34" s="691">
        <v>1798.4348452123829</v>
      </c>
      <c r="H34" s="691">
        <v>2028.1281599059378</v>
      </c>
      <c r="I34" s="691">
        <v>1883.0517354289457</v>
      </c>
      <c r="J34" s="691">
        <v>2167.229357798165</v>
      </c>
      <c r="K34" s="691">
        <v>2885.738768718802</v>
      </c>
      <c r="L34" s="691">
        <v>2756.5171537484116</v>
      </c>
      <c r="M34" s="691">
        <v>2211.0537634408602</v>
      </c>
      <c r="N34" s="690">
        <f>AVERAGE(B34:M34)</f>
        <v>1975.6781774576666</v>
      </c>
    </row>
    <row r="35" spans="1:14">
      <c r="A35" s="660" t="s">
        <v>464</v>
      </c>
      <c r="B35" s="691">
        <v>2311.8687074829932</v>
      </c>
      <c r="C35" s="691">
        <v>1416.4116719242902</v>
      </c>
      <c r="D35" s="691"/>
      <c r="E35" s="691"/>
      <c r="F35" s="691"/>
      <c r="G35" s="691"/>
      <c r="H35" s="691"/>
      <c r="I35" s="691"/>
      <c r="J35" s="691"/>
      <c r="K35" s="691"/>
      <c r="L35" s="691"/>
      <c r="M35" s="691"/>
      <c r="N35" s="690"/>
    </row>
    <row r="36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>
      <c r="A40" s="11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11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>
      <c r="A58" s="4"/>
      <c r="B58" s="4"/>
      <c r="C58" s="4"/>
      <c r="D58" s="4"/>
      <c r="E58" s="4"/>
      <c r="F58" s="4"/>
      <c r="G58" s="4"/>
      <c r="H58" s="4"/>
      <c r="I58" s="4"/>
      <c r="J58" s="4"/>
    </row>
    <row r="61" spans="1:14">
      <c r="A61" s="780" t="s">
        <v>465</v>
      </c>
      <c r="B61" s="780"/>
      <c r="C61" s="780"/>
      <c r="D61" s="780"/>
      <c r="E61" s="780"/>
      <c r="F61" s="780"/>
      <c r="G61" s="780"/>
      <c r="H61" s="780"/>
    </row>
    <row r="63" spans="1:14" ht="25.5">
      <c r="A63" s="693"/>
    </row>
  </sheetData>
  <mergeCells count="2">
    <mergeCell ref="A1:N1"/>
    <mergeCell ref="A61:H61"/>
  </mergeCells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4"/>
  <sheetViews>
    <sheetView zoomScale="115" zoomScaleNormal="115" workbookViewId="0">
      <selection activeCell="B7" sqref="B7"/>
    </sheetView>
  </sheetViews>
  <sheetFormatPr defaultRowHeight="16.5"/>
  <cols>
    <col min="1" max="1" width="16.875" customWidth="1"/>
    <col min="2" max="2" width="12.625" customWidth="1"/>
    <col min="3" max="3" width="15.5" customWidth="1"/>
    <col min="4" max="4" width="10.625" customWidth="1"/>
    <col min="5" max="5" width="10.75" customWidth="1"/>
    <col min="7" max="7" width="14.875" customWidth="1"/>
    <col min="8" max="8" width="10.375" customWidth="1"/>
  </cols>
  <sheetData>
    <row r="1" spans="1:9" ht="23.25">
      <c r="A1" s="66" t="s">
        <v>276</v>
      </c>
      <c r="B1" s="1"/>
      <c r="C1" s="1"/>
      <c r="D1" s="1"/>
      <c r="E1" s="114"/>
      <c r="F1" s="1"/>
      <c r="G1" s="114"/>
      <c r="H1" s="1"/>
      <c r="I1" s="1"/>
    </row>
    <row r="2" spans="1:9">
      <c r="A2" s="115"/>
      <c r="B2" s="4"/>
      <c r="C2" s="4"/>
      <c r="D2" s="4"/>
      <c r="E2" s="116"/>
      <c r="F2" s="4"/>
      <c r="G2" s="116"/>
      <c r="H2" s="4"/>
      <c r="I2" s="4"/>
    </row>
    <row r="3" spans="1:9">
      <c r="A3" s="117" t="s">
        <v>0</v>
      </c>
      <c r="B3" s="519"/>
      <c r="C3" s="519"/>
      <c r="D3" s="119"/>
      <c r="E3" s="120"/>
      <c r="F3" s="118"/>
      <c r="G3" s="120"/>
      <c r="H3" s="118"/>
      <c r="I3" s="119"/>
    </row>
    <row r="4" spans="1:9">
      <c r="A4" s="6" t="s">
        <v>272</v>
      </c>
      <c r="B4" s="10" t="s">
        <v>271</v>
      </c>
      <c r="C4" s="10" t="s">
        <v>270</v>
      </c>
      <c r="D4" s="10" t="s">
        <v>1</v>
      </c>
      <c r="E4" s="121" t="s">
        <v>277</v>
      </c>
      <c r="F4" s="10" t="s">
        <v>2</v>
      </c>
      <c r="G4" s="121" t="s">
        <v>278</v>
      </c>
      <c r="H4" s="10" t="s">
        <v>2</v>
      </c>
      <c r="I4" s="122" t="s">
        <v>1</v>
      </c>
    </row>
    <row r="5" spans="1:9">
      <c r="A5" s="12"/>
      <c r="B5" s="48" t="s">
        <v>6</v>
      </c>
      <c r="C5" s="6" t="s">
        <v>5</v>
      </c>
      <c r="D5" s="10" t="s">
        <v>5</v>
      </c>
      <c r="E5" s="121" t="s">
        <v>6</v>
      </c>
      <c r="F5" s="10" t="s">
        <v>6</v>
      </c>
      <c r="G5" s="123" t="s">
        <v>5</v>
      </c>
      <c r="H5" s="6" t="s">
        <v>5</v>
      </c>
      <c r="I5" s="122" t="s">
        <v>5</v>
      </c>
    </row>
    <row r="6" spans="1:9">
      <c r="A6" s="14" t="s">
        <v>7</v>
      </c>
      <c r="B6" s="520"/>
      <c r="C6" s="521"/>
      <c r="D6" s="16"/>
      <c r="E6" s="124"/>
      <c r="F6" s="16"/>
      <c r="G6" s="124"/>
      <c r="H6" s="16"/>
      <c r="I6" s="125"/>
    </row>
    <row r="7" spans="1:9">
      <c r="A7" s="19" t="s">
        <v>8</v>
      </c>
      <c r="B7" s="210">
        <f>SUM(B8:B10)</f>
        <v>255359</v>
      </c>
      <c r="C7" s="26">
        <f>SUM(C8:C10)</f>
        <v>150325908</v>
      </c>
      <c r="D7" s="127">
        <f>C7/B7</f>
        <v>588.68458914704399</v>
      </c>
      <c r="E7" s="128">
        <f>SUM(E8:E10)</f>
        <v>279892</v>
      </c>
      <c r="F7" s="129">
        <f>E7/$E$67</f>
        <v>0.40482681913313384</v>
      </c>
      <c r="G7" s="128">
        <f>SUM(G8:G10)</f>
        <v>170586855</v>
      </c>
      <c r="H7" s="129">
        <f>G7/$G$67</f>
        <v>0.39784471192558069</v>
      </c>
      <c r="I7" s="130">
        <f>G7/E7</f>
        <v>609.4738506280994</v>
      </c>
    </row>
    <row r="8" spans="1:9">
      <c r="A8" s="24" t="s">
        <v>66</v>
      </c>
      <c r="B8" s="25">
        <v>235818</v>
      </c>
      <c r="C8" s="26">
        <v>131697696</v>
      </c>
      <c r="D8" s="131">
        <f>C8/B8</f>
        <v>558.47177060275294</v>
      </c>
      <c r="E8" s="132">
        <f>B8+整車出口!B8</f>
        <v>258232</v>
      </c>
      <c r="F8" s="133">
        <f>E8/$E$67</f>
        <v>0.37349848926867296</v>
      </c>
      <c r="G8" s="134">
        <f>C8+整車出口!C8</f>
        <v>148920409</v>
      </c>
      <c r="H8" s="133">
        <f>G8/$G$67</f>
        <v>0.34731396635716544</v>
      </c>
      <c r="I8" s="135">
        <f>G8/E8</f>
        <v>576.69231156479441</v>
      </c>
    </row>
    <row r="9" spans="1:9">
      <c r="A9" s="29" t="s">
        <v>9</v>
      </c>
      <c r="B9" s="25">
        <v>17389</v>
      </c>
      <c r="C9" s="26">
        <v>16185364</v>
      </c>
      <c r="D9" s="131">
        <f>C9/B9</f>
        <v>930.78175858301222</v>
      </c>
      <c r="E9" s="132">
        <f>B9+整車出口!B9</f>
        <v>19486</v>
      </c>
      <c r="F9" s="133">
        <f>E9/$E$67</f>
        <v>2.8183925934389856E-2</v>
      </c>
      <c r="G9" s="134">
        <f>C9+整車出口!C9</f>
        <v>19151156</v>
      </c>
      <c r="H9" s="133">
        <f>G9/$G$67</f>
        <v>4.4664556022571938E-2</v>
      </c>
      <c r="I9" s="135">
        <f>G9/E9</f>
        <v>982.81617571589857</v>
      </c>
    </row>
    <row r="10" spans="1:9">
      <c r="A10" s="29" t="s">
        <v>10</v>
      </c>
      <c r="B10" s="25">
        <v>2152</v>
      </c>
      <c r="C10" s="26">
        <v>2442848</v>
      </c>
      <c r="D10" s="131">
        <f>C10/B10</f>
        <v>1135.1524163568772</v>
      </c>
      <c r="E10" s="132">
        <f>B10+整車出口!B10</f>
        <v>2174</v>
      </c>
      <c r="F10" s="133">
        <f>E10/$E$67</f>
        <v>3.144403930071002E-3</v>
      </c>
      <c r="G10" s="134">
        <f>C10+整車出口!C10</f>
        <v>2515290</v>
      </c>
      <c r="H10" s="133">
        <f>G10/$G$67</f>
        <v>5.866189545843341E-3</v>
      </c>
      <c r="I10" s="135">
        <f>G10/E10</f>
        <v>1156.9871205151794</v>
      </c>
    </row>
    <row r="11" spans="1:9">
      <c r="A11" s="136"/>
      <c r="B11" s="25"/>
      <c r="C11" s="25"/>
      <c r="D11" s="131"/>
      <c r="E11" s="134"/>
      <c r="F11" s="133"/>
      <c r="G11" s="134"/>
      <c r="H11" s="133"/>
      <c r="I11" s="135"/>
    </row>
    <row r="12" spans="1:9">
      <c r="A12" s="30" t="s">
        <v>11</v>
      </c>
      <c r="B12" s="25">
        <f>SUM(B13:B40)</f>
        <v>257822</v>
      </c>
      <c r="C12" s="25">
        <f>SUM(C13:C40)</f>
        <v>129656375</v>
      </c>
      <c r="D12" s="127">
        <f t="shared" ref="D12:D26" si="0">C12/B12</f>
        <v>502.89104498452423</v>
      </c>
      <c r="E12" s="137">
        <f>SUM(E13:E40)</f>
        <v>281690</v>
      </c>
      <c r="F12" s="129">
        <f t="shared" ref="F12:F40" si="1">E12/$E$67</f>
        <v>0.40742738871283379</v>
      </c>
      <c r="G12" s="137">
        <f>SUM(G13:G40)</f>
        <v>153359695</v>
      </c>
      <c r="H12" s="129">
        <f t="shared" ref="H12:H39" si="2">G12/$G$67</f>
        <v>0.35766732248079675</v>
      </c>
      <c r="I12" s="130">
        <f t="shared" ref="I12:I24" si="3">G12/E12</f>
        <v>544.42718946359469</v>
      </c>
    </row>
    <row r="13" spans="1:9">
      <c r="A13" s="24" t="s">
        <v>12</v>
      </c>
      <c r="B13" s="25">
        <v>46882</v>
      </c>
      <c r="C13" s="25">
        <v>46476740</v>
      </c>
      <c r="D13" s="131">
        <f t="shared" si="0"/>
        <v>991.35574420886485</v>
      </c>
      <c r="E13" s="132">
        <f>B13+整車出口!B13</f>
        <v>52228</v>
      </c>
      <c r="F13" s="133">
        <f t="shared" si="1"/>
        <v>7.5540905455266011E-2</v>
      </c>
      <c r="G13" s="134">
        <f>C13+整車出口!C13</f>
        <v>55335655</v>
      </c>
      <c r="H13" s="133">
        <f t="shared" si="2"/>
        <v>0.12905447915484647</v>
      </c>
      <c r="I13" s="135">
        <f t="shared" si="3"/>
        <v>1059.5017040667842</v>
      </c>
    </row>
    <row r="14" spans="1:9">
      <c r="A14" s="24" t="s">
        <v>13</v>
      </c>
      <c r="B14" s="25">
        <v>33765</v>
      </c>
      <c r="C14" s="25">
        <v>11050384</v>
      </c>
      <c r="D14" s="131">
        <f t="shared" si="0"/>
        <v>327.27333037168665</v>
      </c>
      <c r="E14" s="132">
        <f>B14+整車出口!B14</f>
        <v>37302</v>
      </c>
      <c r="F14" s="133">
        <f t="shared" si="1"/>
        <v>5.3952417387078441E-2</v>
      </c>
      <c r="G14" s="134">
        <f>C14+整車出口!C14</f>
        <v>13809203</v>
      </c>
      <c r="H14" s="133">
        <f t="shared" si="2"/>
        <v>3.2205989080793272E-2</v>
      </c>
      <c r="I14" s="135">
        <f t="shared" si="3"/>
        <v>370.20006970135648</v>
      </c>
    </row>
    <row r="15" spans="1:9">
      <c r="A15" s="29" t="s">
        <v>14</v>
      </c>
      <c r="B15" s="25">
        <v>5055</v>
      </c>
      <c r="C15" s="25">
        <v>4878339</v>
      </c>
      <c r="D15" s="131">
        <f t="shared" si="0"/>
        <v>965.05222551928784</v>
      </c>
      <c r="E15" s="132">
        <f>B15+整車出口!B15</f>
        <v>5444</v>
      </c>
      <c r="F15" s="133">
        <f t="shared" si="1"/>
        <v>7.8740271367555362E-3</v>
      </c>
      <c r="G15" s="134">
        <f>C15+整車出口!C15</f>
        <v>5504314</v>
      </c>
      <c r="H15" s="133">
        <f t="shared" si="2"/>
        <v>1.2837227215883316E-2</v>
      </c>
      <c r="I15" s="135">
        <f t="shared" si="3"/>
        <v>1011.0789860396767</v>
      </c>
    </row>
    <row r="16" spans="1:9">
      <c r="A16" s="24" t="s">
        <v>15</v>
      </c>
      <c r="B16" s="25">
        <v>45127</v>
      </c>
      <c r="C16" s="25">
        <v>18026058</v>
      </c>
      <c r="D16" s="131">
        <f t="shared" si="0"/>
        <v>399.45172513129614</v>
      </c>
      <c r="E16" s="132">
        <f>B16+整車出口!B48</f>
        <v>49353</v>
      </c>
      <c r="F16" s="133">
        <f t="shared" si="1"/>
        <v>7.1382597590061714E-2</v>
      </c>
      <c r="G16" s="134">
        <f>C16+整車出口!C48</f>
        <v>23307146</v>
      </c>
      <c r="H16" s="133">
        <f t="shared" si="2"/>
        <v>5.4357205812707261E-2</v>
      </c>
      <c r="I16" s="135">
        <f t="shared" si="3"/>
        <v>472.25388527546448</v>
      </c>
    </row>
    <row r="17" spans="1:9">
      <c r="A17" s="24" t="s">
        <v>16</v>
      </c>
      <c r="B17" s="25">
        <v>4714</v>
      </c>
      <c r="C17" s="25">
        <v>5279501</v>
      </c>
      <c r="D17" s="131">
        <f t="shared" si="0"/>
        <v>1119.962028001697</v>
      </c>
      <c r="E17" s="132">
        <f>B17+整車出口!B16</f>
        <v>5951</v>
      </c>
      <c r="F17" s="133">
        <f t="shared" si="1"/>
        <v>8.6073356889846062E-3</v>
      </c>
      <c r="G17" s="134">
        <f>C17+整車出口!C16</f>
        <v>7624701</v>
      </c>
      <c r="H17" s="133">
        <f t="shared" si="2"/>
        <v>1.7782419242465587E-2</v>
      </c>
      <c r="I17" s="135">
        <f t="shared" si="3"/>
        <v>1281.2470173080155</v>
      </c>
    </row>
    <row r="18" spans="1:9">
      <c r="A18" s="29" t="s">
        <v>17</v>
      </c>
      <c r="B18" s="25">
        <v>3982</v>
      </c>
      <c r="C18" s="25">
        <v>4561328</v>
      </c>
      <c r="D18" s="131">
        <f t="shared" si="0"/>
        <v>1145.4866901054747</v>
      </c>
      <c r="E18" s="132">
        <f>B18+整車出口!B17</f>
        <v>4869</v>
      </c>
      <c r="F18" s="133">
        <f t="shared" si="1"/>
        <v>7.0423655637146783E-3</v>
      </c>
      <c r="G18" s="134">
        <f>C18+整車出口!C17</f>
        <v>5980017</v>
      </c>
      <c r="H18" s="133">
        <f t="shared" si="2"/>
        <v>1.3946667465527021E-2</v>
      </c>
      <c r="I18" s="135">
        <f t="shared" si="3"/>
        <v>1228.1817621688231</v>
      </c>
    </row>
    <row r="19" spans="1:9">
      <c r="A19" s="29" t="s">
        <v>18</v>
      </c>
      <c r="B19" s="25">
        <v>29561</v>
      </c>
      <c r="C19" s="25">
        <v>24629307</v>
      </c>
      <c r="D19" s="131">
        <f t="shared" si="0"/>
        <v>833.16893880450596</v>
      </c>
      <c r="E19" s="132">
        <f>B19+整車出口!B18</f>
        <v>29800</v>
      </c>
      <c r="F19" s="133">
        <f t="shared" si="1"/>
        <v>4.3101765002813187E-2</v>
      </c>
      <c r="G19" s="134">
        <f>C19+整車出口!C18</f>
        <v>24899216</v>
      </c>
      <c r="H19" s="133">
        <f t="shared" si="2"/>
        <v>5.80702505869682E-2</v>
      </c>
      <c r="I19" s="135">
        <f t="shared" si="3"/>
        <v>835.54416107382553</v>
      </c>
    </row>
    <row r="20" spans="1:9">
      <c r="A20" s="24" t="s">
        <v>19</v>
      </c>
      <c r="B20" s="25">
        <v>11670</v>
      </c>
      <c r="C20" s="25">
        <v>1520694</v>
      </c>
      <c r="D20" s="131">
        <f t="shared" si="0"/>
        <v>130.30796915167096</v>
      </c>
      <c r="E20" s="132">
        <f>B20+整車出口!B19</f>
        <v>15921</v>
      </c>
      <c r="F20" s="133">
        <f t="shared" si="1"/>
        <v>2.3027624181536536E-2</v>
      </c>
      <c r="G20" s="134">
        <f>C20+整車出口!C19</f>
        <v>1972008</v>
      </c>
      <c r="H20" s="133">
        <f t="shared" si="2"/>
        <v>4.5991407407970589E-3</v>
      </c>
      <c r="I20" s="135">
        <f t="shared" si="3"/>
        <v>123.86206896551724</v>
      </c>
    </row>
    <row r="21" spans="1:9">
      <c r="A21" s="29" t="s">
        <v>67</v>
      </c>
      <c r="B21" s="25">
        <v>17</v>
      </c>
      <c r="C21" s="25">
        <v>30939</v>
      </c>
      <c r="D21" s="131">
        <f t="shared" si="0"/>
        <v>1819.9411764705883</v>
      </c>
      <c r="E21" s="132">
        <f>B21+整車出口!B20</f>
        <v>17</v>
      </c>
      <c r="F21" s="133">
        <f t="shared" si="1"/>
        <v>2.4588255202947119E-5</v>
      </c>
      <c r="G21" s="134">
        <f>C21+整車出口!C20</f>
        <v>30939</v>
      </c>
      <c r="H21" s="133">
        <f t="shared" si="2"/>
        <v>7.2156307367678135E-5</v>
      </c>
      <c r="I21" s="135">
        <f t="shared" si="3"/>
        <v>1819.9411764705883</v>
      </c>
    </row>
    <row r="22" spans="1:9">
      <c r="A22" s="24" t="s">
        <v>21</v>
      </c>
      <c r="B22" s="25">
        <v>5762</v>
      </c>
      <c r="C22" s="25">
        <v>358920</v>
      </c>
      <c r="D22" s="131">
        <f t="shared" si="0"/>
        <v>62.290871225269001</v>
      </c>
      <c r="E22" s="132">
        <f>B22+整車出口!B21</f>
        <v>5767</v>
      </c>
      <c r="F22" s="133">
        <f t="shared" si="1"/>
        <v>8.3412039856115318E-3</v>
      </c>
      <c r="G22" s="134">
        <f>C22+整車出口!C21</f>
        <v>366648</v>
      </c>
      <c r="H22" s="133">
        <f t="shared" si="2"/>
        <v>8.5510086892738786E-4</v>
      </c>
      <c r="I22" s="135">
        <f t="shared" si="3"/>
        <v>63.576903069186756</v>
      </c>
    </row>
    <row r="23" spans="1:9">
      <c r="A23" s="29" t="s">
        <v>22</v>
      </c>
      <c r="B23" s="25">
        <v>0</v>
      </c>
      <c r="C23" s="25">
        <v>0</v>
      </c>
      <c r="D23" s="131">
        <v>0</v>
      </c>
      <c r="E23" s="132">
        <f>B23+整車出口!B22</f>
        <v>0</v>
      </c>
      <c r="F23" s="133">
        <f t="shared" si="1"/>
        <v>0</v>
      </c>
      <c r="G23" s="134">
        <f>C23+整車出口!C22</f>
        <v>0</v>
      </c>
      <c r="H23" s="133">
        <f t="shared" si="2"/>
        <v>0</v>
      </c>
      <c r="I23" s="135">
        <v>0</v>
      </c>
    </row>
    <row r="24" spans="1:9">
      <c r="A24" s="29" t="s">
        <v>23</v>
      </c>
      <c r="B24" s="25">
        <v>119</v>
      </c>
      <c r="C24" s="25">
        <v>182952</v>
      </c>
      <c r="D24" s="131">
        <f t="shared" si="0"/>
        <v>1537.4117647058824</v>
      </c>
      <c r="E24" s="132">
        <f>B24+整車出口!B23</f>
        <v>119</v>
      </c>
      <c r="F24" s="133">
        <f t="shared" si="1"/>
        <v>1.7211778642062985E-4</v>
      </c>
      <c r="G24" s="134">
        <f>C24+整車出口!C23</f>
        <v>182952</v>
      </c>
      <c r="H24" s="133">
        <f t="shared" si="2"/>
        <v>4.2668285159609069E-4</v>
      </c>
      <c r="I24" s="135">
        <f t="shared" si="3"/>
        <v>1537.4117647058824</v>
      </c>
    </row>
    <row r="25" spans="1:9">
      <c r="A25" s="29" t="s">
        <v>24</v>
      </c>
      <c r="B25" s="25">
        <v>334</v>
      </c>
      <c r="C25" s="25">
        <v>408467</v>
      </c>
      <c r="D25" s="131">
        <f t="shared" si="0"/>
        <v>1222.9550898203593</v>
      </c>
      <c r="E25" s="132">
        <f>B25+整車出口!B24</f>
        <v>334</v>
      </c>
      <c r="F25" s="133">
        <f t="shared" si="1"/>
        <v>4.830868963402552E-4</v>
      </c>
      <c r="G25" s="134">
        <f>C25+整車出口!C24</f>
        <v>408467</v>
      </c>
      <c r="H25" s="133">
        <f t="shared" si="2"/>
        <v>9.5263164296045073E-4</v>
      </c>
      <c r="I25" s="135">
        <f>G25/E25</f>
        <v>1222.9550898203593</v>
      </c>
    </row>
    <row r="26" spans="1:9">
      <c r="A26" s="24" t="s">
        <v>25</v>
      </c>
      <c r="B26" s="25">
        <v>47967</v>
      </c>
      <c r="C26" s="25">
        <v>6604866</v>
      </c>
      <c r="D26" s="131">
        <f t="shared" si="0"/>
        <v>137.69604102820691</v>
      </c>
      <c r="E26" s="132">
        <f>B26+整車出口!B25</f>
        <v>48797</v>
      </c>
      <c r="F26" s="133">
        <f t="shared" si="1"/>
        <v>7.0578417008130029E-2</v>
      </c>
      <c r="G26" s="134">
        <f>C26+整車出口!C25</f>
        <v>6760995</v>
      </c>
      <c r="H26" s="133">
        <f t="shared" si="2"/>
        <v>1.5768073736427649E-2</v>
      </c>
      <c r="I26" s="135">
        <f>G26/E26</f>
        <v>138.55349714121769</v>
      </c>
    </row>
    <row r="27" spans="1:9">
      <c r="A27" s="24" t="s">
        <v>26</v>
      </c>
      <c r="B27" s="25">
        <v>1021</v>
      </c>
      <c r="C27" s="25">
        <v>333058</v>
      </c>
      <c r="D27" s="131">
        <f>C27/B27</f>
        <v>326.20763956904995</v>
      </c>
      <c r="E27" s="132">
        <f>B27+整車出口!B26</f>
        <v>1118</v>
      </c>
      <c r="F27" s="133">
        <f t="shared" si="1"/>
        <v>1.6170393715820518E-3</v>
      </c>
      <c r="G27" s="134">
        <f>C27+整車出口!C26</f>
        <v>402839</v>
      </c>
      <c r="H27" s="133">
        <f t="shared" si="2"/>
        <v>9.3950595376993736E-4</v>
      </c>
      <c r="I27" s="135">
        <f>G27/E27</f>
        <v>360.32110912343472</v>
      </c>
    </row>
    <row r="28" spans="1:9">
      <c r="A28" s="29" t="s">
        <v>76</v>
      </c>
      <c r="B28" s="25">
        <v>4780</v>
      </c>
      <c r="C28" s="25">
        <v>1686638</v>
      </c>
      <c r="D28" s="131">
        <f t="shared" ref="D28:D40" si="4">C28/B28</f>
        <v>352.85313807531378</v>
      </c>
      <c r="E28" s="132">
        <f>B28+整車出口!B27</f>
        <v>5600</v>
      </c>
      <c r="F28" s="133">
        <f t="shared" si="1"/>
        <v>8.0996605374414037E-3</v>
      </c>
      <c r="G28" s="134">
        <f>C28+整車出口!C27</f>
        <v>2464116</v>
      </c>
      <c r="H28" s="133">
        <f t="shared" si="2"/>
        <v>5.7468409284596646E-3</v>
      </c>
      <c r="I28" s="135">
        <f t="shared" ref="I28:I40" si="5">G28/E28</f>
        <v>440.02071428571429</v>
      </c>
    </row>
    <row r="29" spans="1:9">
      <c r="A29" s="29" t="s">
        <v>77</v>
      </c>
      <c r="B29" s="25">
        <v>922</v>
      </c>
      <c r="C29" s="25">
        <v>594410</v>
      </c>
      <c r="D29" s="131">
        <f t="shared" si="4"/>
        <v>644.69631236442513</v>
      </c>
      <c r="E29" s="132">
        <f>B29+整車出口!B28</f>
        <v>1729</v>
      </c>
      <c r="F29" s="133">
        <f t="shared" si="1"/>
        <v>2.5007701909350337E-3</v>
      </c>
      <c r="G29" s="134">
        <f>C29+整車出口!C28</f>
        <v>837870</v>
      </c>
      <c r="H29" s="133">
        <f t="shared" si="2"/>
        <v>1.9540904765556893E-3</v>
      </c>
      <c r="I29" s="135">
        <f t="shared" si="5"/>
        <v>484.59803354540196</v>
      </c>
    </row>
    <row r="30" spans="1:9">
      <c r="A30" s="29" t="s">
        <v>27</v>
      </c>
      <c r="B30" s="25">
        <v>4410</v>
      </c>
      <c r="C30" s="25">
        <v>317156</v>
      </c>
      <c r="D30" s="131">
        <f t="shared" si="4"/>
        <v>71.917460317460311</v>
      </c>
      <c r="E30" s="132">
        <f>B30+整車出口!B29</f>
        <v>4675</v>
      </c>
      <c r="F30" s="133">
        <f t="shared" si="1"/>
        <v>6.761770180810458E-3</v>
      </c>
      <c r="G30" s="134">
        <f>C30+整車出口!C29</f>
        <v>386273</v>
      </c>
      <c r="H30" s="133">
        <f t="shared" si="2"/>
        <v>9.0087052961747749E-4</v>
      </c>
      <c r="I30" s="135">
        <f t="shared" si="5"/>
        <v>82.62524064171123</v>
      </c>
    </row>
    <row r="31" spans="1:9">
      <c r="A31" s="29" t="s">
        <v>28</v>
      </c>
      <c r="B31" s="25">
        <v>40</v>
      </c>
      <c r="C31" s="25">
        <v>6163</v>
      </c>
      <c r="D31" s="131">
        <f t="shared" si="4"/>
        <v>154.07499999999999</v>
      </c>
      <c r="E31" s="132">
        <f>B31+整車出口!B30</f>
        <v>40</v>
      </c>
      <c r="F31" s="133">
        <f t="shared" si="1"/>
        <v>5.785471812458146E-5</v>
      </c>
      <c r="G31" s="134">
        <f>C31+整車出口!C30</f>
        <v>6163</v>
      </c>
      <c r="H31" s="133">
        <f t="shared" si="2"/>
        <v>1.4373422615695411E-5</v>
      </c>
      <c r="I31" s="135">
        <f t="shared" si="5"/>
        <v>154.07499999999999</v>
      </c>
    </row>
    <row r="32" spans="1:9">
      <c r="A32" s="29" t="s">
        <v>29</v>
      </c>
      <c r="B32" s="25">
        <v>3960</v>
      </c>
      <c r="C32" s="25">
        <v>1053947</v>
      </c>
      <c r="D32" s="131">
        <f t="shared" si="4"/>
        <v>266.14823232323232</v>
      </c>
      <c r="E32" s="132">
        <f>B32+整車出口!B31</f>
        <v>3960</v>
      </c>
      <c r="F32" s="133">
        <f t="shared" si="1"/>
        <v>5.7276170943335643E-3</v>
      </c>
      <c r="G32" s="134">
        <f>C32+整車出口!C31</f>
        <v>1053947</v>
      </c>
      <c r="H32" s="133">
        <f t="shared" si="2"/>
        <v>2.458027850972632E-3</v>
      </c>
      <c r="I32" s="135">
        <f t="shared" si="5"/>
        <v>266.14823232323232</v>
      </c>
    </row>
    <row r="33" spans="1:9">
      <c r="A33" s="29" t="s">
        <v>30</v>
      </c>
      <c r="B33" s="25">
        <v>50</v>
      </c>
      <c r="C33" s="25">
        <v>5012</v>
      </c>
      <c r="D33" s="131">
        <f t="shared" si="4"/>
        <v>100.24</v>
      </c>
      <c r="E33" s="132">
        <f>B33+整車出口!B32</f>
        <v>50</v>
      </c>
      <c r="F33" s="133">
        <f t="shared" si="1"/>
        <v>7.2318397655726823E-5</v>
      </c>
      <c r="G33" s="134">
        <f>C33+整車出口!C32</f>
        <v>5012</v>
      </c>
      <c r="H33" s="133">
        <f t="shared" si="2"/>
        <v>1.1689046592546715E-5</v>
      </c>
      <c r="I33" s="135">
        <f t="shared" si="5"/>
        <v>100.24</v>
      </c>
    </row>
    <row r="34" spans="1:9">
      <c r="A34" s="29" t="s">
        <v>31</v>
      </c>
      <c r="B34" s="25">
        <v>1653</v>
      </c>
      <c r="C34" s="25">
        <v>396869</v>
      </c>
      <c r="D34" s="131">
        <f t="shared" si="4"/>
        <v>240.09013914095584</v>
      </c>
      <c r="E34" s="132">
        <f>B34+整車出口!B33</f>
        <v>2093</v>
      </c>
      <c r="F34" s="133">
        <f t="shared" si="1"/>
        <v>3.0272481258687249E-3</v>
      </c>
      <c r="G34" s="134">
        <f>C34+整車出口!C33</f>
        <v>568012</v>
      </c>
      <c r="H34" s="133">
        <f t="shared" si="2"/>
        <v>1.3247244080458189E-3</v>
      </c>
      <c r="I34" s="135">
        <f t="shared" si="5"/>
        <v>271.38652651696128</v>
      </c>
    </row>
    <row r="35" spans="1:9">
      <c r="A35" s="29" t="s">
        <v>32</v>
      </c>
      <c r="B35" s="25">
        <v>4285</v>
      </c>
      <c r="C35" s="25">
        <v>889054</v>
      </c>
      <c r="D35" s="131">
        <f t="shared" si="4"/>
        <v>207.48051341890314</v>
      </c>
      <c r="E35" s="132">
        <f>B35+整車出口!B34</f>
        <v>4527</v>
      </c>
      <c r="F35" s="133">
        <f t="shared" si="1"/>
        <v>6.5477077237495063E-3</v>
      </c>
      <c r="G35" s="134">
        <f>C35+整車出口!C34</f>
        <v>1017594</v>
      </c>
      <c r="H35" s="133">
        <f t="shared" si="2"/>
        <v>2.3732449477845132E-3</v>
      </c>
      <c r="I35" s="135">
        <f t="shared" si="5"/>
        <v>224.78330019880715</v>
      </c>
    </row>
    <row r="36" spans="1:9">
      <c r="A36" s="29" t="s">
        <v>33</v>
      </c>
      <c r="B36" s="25">
        <v>349</v>
      </c>
      <c r="C36" s="25">
        <v>125664</v>
      </c>
      <c r="D36" s="131">
        <f t="shared" si="4"/>
        <v>360.06876790830944</v>
      </c>
      <c r="E36" s="132">
        <f>B36+整車出口!B35</f>
        <v>349</v>
      </c>
      <c r="F36" s="133">
        <f t="shared" si="1"/>
        <v>5.0478241563697325E-4</v>
      </c>
      <c r="G36" s="134">
        <f>C36+整車出口!C35</f>
        <v>125664</v>
      </c>
      <c r="H36" s="133">
        <f t="shared" si="2"/>
        <v>2.9307508998519362E-4</v>
      </c>
      <c r="I36" s="135">
        <f t="shared" si="5"/>
        <v>360.06876790830944</v>
      </c>
    </row>
    <row r="37" spans="1:9">
      <c r="A37" s="29" t="s">
        <v>78</v>
      </c>
      <c r="B37" s="25">
        <v>305</v>
      </c>
      <c r="C37" s="25">
        <v>42328</v>
      </c>
      <c r="D37" s="131">
        <f t="shared" si="4"/>
        <v>138.78032786885245</v>
      </c>
      <c r="E37" s="132">
        <f>B37+整車出口!B36</f>
        <v>305</v>
      </c>
      <c r="F37" s="133">
        <f t="shared" si="1"/>
        <v>4.4114222569993362E-4</v>
      </c>
      <c r="G37" s="134">
        <f>C37+整車出口!C36</f>
        <v>42328</v>
      </c>
      <c r="H37" s="133">
        <f t="shared" si="2"/>
        <v>9.8717869945993088E-5</v>
      </c>
      <c r="I37" s="135">
        <f t="shared" si="5"/>
        <v>138.78032786885245</v>
      </c>
    </row>
    <row r="38" spans="1:9">
      <c r="A38" s="29" t="s">
        <v>35</v>
      </c>
      <c r="B38" s="25">
        <v>118</v>
      </c>
      <c r="C38" s="25">
        <v>15185</v>
      </c>
      <c r="D38" s="131">
        <f t="shared" si="4"/>
        <v>128.68644067796609</v>
      </c>
      <c r="E38" s="132">
        <f>B38+整車出口!B37</f>
        <v>118</v>
      </c>
      <c r="F38" s="133">
        <f t="shared" si="1"/>
        <v>1.7067141846751531E-4</v>
      </c>
      <c r="G38" s="134">
        <f>C38+整車出口!C37</f>
        <v>15185</v>
      </c>
      <c r="H38" s="133">
        <f t="shared" si="2"/>
        <v>3.5414639367083369E-5</v>
      </c>
      <c r="I38" s="135">
        <f t="shared" si="5"/>
        <v>128.68644067796609</v>
      </c>
    </row>
    <row r="39" spans="1:9">
      <c r="A39" s="29" t="s">
        <v>36</v>
      </c>
      <c r="B39" s="25">
        <v>73</v>
      </c>
      <c r="C39" s="25">
        <v>14550</v>
      </c>
      <c r="D39" s="131">
        <f t="shared" si="4"/>
        <v>199.31506849315068</v>
      </c>
      <c r="E39" s="132">
        <f>B39+整車出口!B38</f>
        <v>73</v>
      </c>
      <c r="F39" s="133">
        <f t="shared" si="1"/>
        <v>1.0558486057736116E-4</v>
      </c>
      <c r="G39" s="134">
        <f>C39+整車出口!C38</f>
        <v>14550</v>
      </c>
      <c r="H39" s="133">
        <f t="shared" si="2"/>
        <v>3.3933684740932699E-5</v>
      </c>
      <c r="I39" s="135">
        <f t="shared" si="5"/>
        <v>199.31506849315068</v>
      </c>
    </row>
    <row r="40" spans="1:9">
      <c r="A40" s="29" t="s">
        <v>79</v>
      </c>
      <c r="B40" s="25">
        <v>901</v>
      </c>
      <c r="C40" s="25">
        <v>167846</v>
      </c>
      <c r="D40" s="131">
        <f t="shared" si="4"/>
        <v>186.28856825749168</v>
      </c>
      <c r="E40" s="132">
        <f>B40+整車出口!B39</f>
        <v>1151</v>
      </c>
      <c r="F40" s="133">
        <f t="shared" si="1"/>
        <v>1.6647695140348314E-3</v>
      </c>
      <c r="G40" s="134">
        <f>C40+整車出口!C39</f>
        <v>237881</v>
      </c>
      <c r="H40" s="133">
        <f>G43/$G$67</f>
        <v>1.2966301157347383E-2</v>
      </c>
      <c r="I40" s="135">
        <f t="shared" si="5"/>
        <v>206.67332754126846</v>
      </c>
    </row>
    <row r="41" spans="1:9">
      <c r="A41" s="29"/>
      <c r="B41" s="25"/>
      <c r="C41" s="25"/>
      <c r="D41" s="131"/>
      <c r="E41" s="134"/>
      <c r="F41" s="133"/>
      <c r="G41" s="134"/>
      <c r="H41" s="133"/>
      <c r="I41" s="135"/>
    </row>
    <row r="42" spans="1:9">
      <c r="A42" s="32" t="s">
        <v>38</v>
      </c>
      <c r="B42" s="25">
        <f>SUM(B43:B46)</f>
        <v>18052</v>
      </c>
      <c r="C42" s="25">
        <f>SUM(C43:C46)</f>
        <v>11432688</v>
      </c>
      <c r="D42" s="127">
        <f>C42/B42</f>
        <v>633.31974296476847</v>
      </c>
      <c r="E42" s="137">
        <f>SUM(E43:E46)</f>
        <v>19464</v>
      </c>
      <c r="F42" s="129">
        <f>E42/$E$67</f>
        <v>2.8152105839421338E-2</v>
      </c>
      <c r="G42" s="137">
        <f>SUM(G43:G46)</f>
        <v>12332370</v>
      </c>
      <c r="H42" s="129">
        <f>G42/$G$67</f>
        <v>2.8761701421892522E-2</v>
      </c>
      <c r="I42" s="130">
        <f>G42/E42</f>
        <v>633.59895191122075</v>
      </c>
    </row>
    <row r="43" spans="1:9">
      <c r="A43" s="24" t="s">
        <v>39</v>
      </c>
      <c r="B43" s="25">
        <v>4913</v>
      </c>
      <c r="C43" s="25">
        <v>5199000</v>
      </c>
      <c r="D43" s="131">
        <f>C43/B43</f>
        <v>1058.2129045389781</v>
      </c>
      <c r="E43" s="132">
        <f>B43+整車出口!B42</f>
        <v>5300</v>
      </c>
      <c r="F43" s="133">
        <f>E43/$E$67</f>
        <v>7.6657501515070428E-3</v>
      </c>
      <c r="G43" s="134">
        <f>C43+整車出口!C42</f>
        <v>5559658</v>
      </c>
      <c r="H43" s="133">
        <f>G43/$G$67</f>
        <v>1.2966301157347383E-2</v>
      </c>
      <c r="I43" s="135">
        <f>G43/E43</f>
        <v>1048.9920754716982</v>
      </c>
    </row>
    <row r="44" spans="1:9">
      <c r="A44" s="24" t="s">
        <v>40</v>
      </c>
      <c r="B44" s="25">
        <v>12855</v>
      </c>
      <c r="C44" s="25">
        <v>6039744</v>
      </c>
      <c r="D44" s="131">
        <f>C44/B44</f>
        <v>469.83617269544925</v>
      </c>
      <c r="E44" s="132">
        <f>B44+整車出口!B43</f>
        <v>13880</v>
      </c>
      <c r="F44" s="133">
        <f>E44/$E$67</f>
        <v>2.0075587189229766E-2</v>
      </c>
      <c r="G44" s="134">
        <f>C44+整車出口!C43</f>
        <v>6578768</v>
      </c>
      <c r="H44" s="133">
        <f>G44/$G$67</f>
        <v>1.5343081738538581E-2</v>
      </c>
      <c r="I44" s="135">
        <f>G44/E44</f>
        <v>473.97463976945244</v>
      </c>
    </row>
    <row r="45" spans="1:9">
      <c r="A45" s="24" t="s">
        <v>41</v>
      </c>
      <c r="B45" s="25">
        <v>284</v>
      </c>
      <c r="C45" s="25">
        <v>193944</v>
      </c>
      <c r="D45" s="131">
        <f>C45/B45</f>
        <v>682.90140845070425</v>
      </c>
      <c r="E45" s="132">
        <f>B45+整車出口!B44</f>
        <v>284</v>
      </c>
      <c r="F45" s="133">
        <f>E45/$E$67</f>
        <v>4.1076849868452835E-4</v>
      </c>
      <c r="G45" s="134">
        <f>C45+整車出口!C44</f>
        <v>193944</v>
      </c>
      <c r="H45" s="133">
        <f>G45/$G$67</f>
        <v>4.5231852600656025E-4</v>
      </c>
      <c r="I45" s="135">
        <f>G45/E45</f>
        <v>682.90140845070425</v>
      </c>
    </row>
    <row r="46" spans="1:9">
      <c r="A46" s="29" t="s">
        <v>42</v>
      </c>
      <c r="B46" s="25">
        <v>0</v>
      </c>
      <c r="C46" s="25">
        <v>0</v>
      </c>
      <c r="D46" s="131">
        <v>0</v>
      </c>
      <c r="E46" s="132">
        <f>B46+整車出口!B45</f>
        <v>0</v>
      </c>
      <c r="F46" s="133">
        <f>E46/$E$67</f>
        <v>0</v>
      </c>
      <c r="G46" s="134">
        <f>C46+整車出口!C45</f>
        <v>0</v>
      </c>
      <c r="H46" s="133">
        <f>G46/$G$67</f>
        <v>0</v>
      </c>
      <c r="I46" s="135">
        <v>0</v>
      </c>
    </row>
    <row r="47" spans="1:9">
      <c r="A47" s="29"/>
      <c r="B47" s="25"/>
      <c r="C47" s="25"/>
      <c r="D47" s="131"/>
      <c r="E47" s="134"/>
      <c r="F47" s="133"/>
      <c r="G47" s="134"/>
      <c r="H47" s="133"/>
      <c r="I47" s="135"/>
    </row>
    <row r="48" spans="1:9">
      <c r="A48" s="32" t="s">
        <v>43</v>
      </c>
      <c r="B48" s="25">
        <f>SUM(B49:B65)</f>
        <v>88503</v>
      </c>
      <c r="C48" s="25">
        <f>SUM(C49:C65)</f>
        <v>72900258</v>
      </c>
      <c r="D48" s="127">
        <f>C48/B48</f>
        <v>823.70380665062203</v>
      </c>
      <c r="E48" s="137">
        <f>SUM(E49:E65)</f>
        <v>97336</v>
      </c>
      <c r="F48" s="129">
        <f t="shared" ref="F48:F66" si="6">E48/$E$67</f>
        <v>0.14078367108435652</v>
      </c>
      <c r="G48" s="137">
        <f>SUM(G49:G65)</f>
        <v>83203074</v>
      </c>
      <c r="H48" s="129">
        <f t="shared" ref="H48:H66" si="7">G48/$G$67</f>
        <v>0.194047208425601</v>
      </c>
      <c r="I48" s="130">
        <f t="shared" ref="I48:I65" si="8">G48/E48</f>
        <v>854.80268348812365</v>
      </c>
    </row>
    <row r="49" spans="1:9">
      <c r="A49" s="24" t="s">
        <v>44</v>
      </c>
      <c r="B49" s="25">
        <v>29664</v>
      </c>
      <c r="C49" s="25">
        <v>18466754</v>
      </c>
      <c r="D49" s="131">
        <f>C49/B49</f>
        <v>622.5308117583603</v>
      </c>
      <c r="E49" s="132">
        <f>B49+整車出口!B49</f>
        <v>31305</v>
      </c>
      <c r="F49" s="133">
        <f t="shared" si="6"/>
        <v>4.5278548772250564E-2</v>
      </c>
      <c r="G49" s="134">
        <f>C49+整車出口!C49</f>
        <v>20144329</v>
      </c>
      <c r="H49" s="133">
        <f t="shared" si="7"/>
        <v>4.6980846020867911E-2</v>
      </c>
      <c r="I49" s="135">
        <f t="shared" si="8"/>
        <v>643.4859926529308</v>
      </c>
    </row>
    <row r="50" spans="1:9">
      <c r="A50" s="24" t="s">
        <v>45</v>
      </c>
      <c r="B50" s="25">
        <v>180</v>
      </c>
      <c r="C50" s="25">
        <v>318478</v>
      </c>
      <c r="D50" s="131">
        <f t="shared" ref="D50:D65" si="9">C50/B50</f>
        <v>1769.3222222222223</v>
      </c>
      <c r="E50" s="132">
        <f>B50+整車出口!B50</f>
        <v>245</v>
      </c>
      <c r="F50" s="133">
        <f t="shared" si="6"/>
        <v>3.543601485130614E-4</v>
      </c>
      <c r="G50" s="134">
        <f>C50+整車出口!C50</f>
        <v>432193</v>
      </c>
      <c r="H50" s="133">
        <f t="shared" si="7"/>
        <v>1.007965705102263E-3</v>
      </c>
      <c r="I50" s="135">
        <f t="shared" si="8"/>
        <v>1764.0530612244897</v>
      </c>
    </row>
    <row r="51" spans="1:9">
      <c r="A51" s="24" t="s">
        <v>46</v>
      </c>
      <c r="B51" s="25">
        <v>2544</v>
      </c>
      <c r="C51" s="25">
        <v>3564525</v>
      </c>
      <c r="D51" s="131">
        <f t="shared" si="9"/>
        <v>1401.1497641509434</v>
      </c>
      <c r="E51" s="132">
        <f>B51+整車出口!B51</f>
        <v>2555</v>
      </c>
      <c r="F51" s="133">
        <f t="shared" si="6"/>
        <v>3.6954701202076405E-3</v>
      </c>
      <c r="G51" s="134">
        <f>C51+整車出口!C51</f>
        <v>3577639</v>
      </c>
      <c r="H51" s="133">
        <f t="shared" si="7"/>
        <v>8.3438126421213551E-3</v>
      </c>
      <c r="I51" s="138">
        <f t="shared" si="8"/>
        <v>1400.2500978473581</v>
      </c>
    </row>
    <row r="52" spans="1:9">
      <c r="A52" s="29" t="s">
        <v>47</v>
      </c>
      <c r="B52" s="25">
        <v>388</v>
      </c>
      <c r="C52" s="25">
        <v>348522</v>
      </c>
      <c r="D52" s="131">
        <f t="shared" si="9"/>
        <v>898.25257731958766</v>
      </c>
      <c r="E52" s="132">
        <f>B52+整車出口!B52</f>
        <v>657</v>
      </c>
      <c r="F52" s="133">
        <f t="shared" si="6"/>
        <v>9.5026374519625043E-4</v>
      </c>
      <c r="G52" s="134">
        <f>C52+整車出口!C52</f>
        <v>434996</v>
      </c>
      <c r="H52" s="133">
        <f t="shared" si="7"/>
        <v>1.0145028953654131E-3</v>
      </c>
      <c r="I52" s="138">
        <f t="shared" si="8"/>
        <v>662.09436834094367</v>
      </c>
    </row>
    <row r="53" spans="1:9">
      <c r="A53" s="24" t="s">
        <v>48</v>
      </c>
      <c r="B53" s="25">
        <v>1618</v>
      </c>
      <c r="C53" s="25">
        <v>1660704</v>
      </c>
      <c r="D53" s="131">
        <f t="shared" si="9"/>
        <v>1026.3930778739184</v>
      </c>
      <c r="E53" s="132">
        <f>B53+整車出口!B53</f>
        <v>1833</v>
      </c>
      <c r="F53" s="133">
        <f t="shared" si="6"/>
        <v>2.6511924580589451E-3</v>
      </c>
      <c r="G53" s="134">
        <f>C53+整車出口!C53</f>
        <v>2024689</v>
      </c>
      <c r="H53" s="133">
        <f t="shared" si="7"/>
        <v>4.7220040016793322E-3</v>
      </c>
      <c r="I53" s="138">
        <f t="shared" si="8"/>
        <v>1104.5766503000546</v>
      </c>
    </row>
    <row r="54" spans="1:9">
      <c r="A54" s="24" t="s">
        <v>80</v>
      </c>
      <c r="B54" s="25">
        <v>18670</v>
      </c>
      <c r="C54" s="25">
        <v>14403484</v>
      </c>
      <c r="D54" s="131">
        <f t="shared" si="9"/>
        <v>771.47745045527586</v>
      </c>
      <c r="E54" s="139">
        <f>B54+整車出口!B54</f>
        <v>21994</v>
      </c>
      <c r="F54" s="133">
        <f t="shared" si="6"/>
        <v>3.1811416760801112E-2</v>
      </c>
      <c r="G54" s="134">
        <f>C54+整車出口!C54</f>
        <v>17908267</v>
      </c>
      <c r="H54" s="133">
        <f t="shared" si="7"/>
        <v>4.1765875370065202E-2</v>
      </c>
      <c r="I54" s="135">
        <f t="shared" si="8"/>
        <v>814.23420023642814</v>
      </c>
    </row>
    <row r="55" spans="1:9">
      <c r="A55" s="29" t="s">
        <v>50</v>
      </c>
      <c r="B55" s="25">
        <v>2265</v>
      </c>
      <c r="C55" s="25">
        <v>1613641</v>
      </c>
      <c r="D55" s="131">
        <f t="shared" si="9"/>
        <v>712.42428256070639</v>
      </c>
      <c r="E55" s="132">
        <f>B55+整車出口!B55</f>
        <v>2795</v>
      </c>
      <c r="F55" s="133">
        <f t="shared" si="6"/>
        <v>4.0425984289551289E-3</v>
      </c>
      <c r="G55" s="134">
        <f>C55+整車出口!C55</f>
        <v>1879716</v>
      </c>
      <c r="H55" s="133">
        <f t="shared" si="7"/>
        <v>4.38389622999911E-3</v>
      </c>
      <c r="I55" s="135">
        <f t="shared" si="8"/>
        <v>672.5280858676208</v>
      </c>
    </row>
    <row r="56" spans="1:9">
      <c r="A56" s="29" t="s">
        <v>51</v>
      </c>
      <c r="B56" s="25">
        <v>7839</v>
      </c>
      <c r="C56" s="25">
        <v>8446993</v>
      </c>
      <c r="D56" s="131">
        <f t="shared" si="9"/>
        <v>1077.5600204107666</v>
      </c>
      <c r="E56" s="132">
        <f>B56+整車出口!B56</f>
        <v>8216</v>
      </c>
      <c r="F56" s="133">
        <f t="shared" si="6"/>
        <v>1.1883359102789032E-2</v>
      </c>
      <c r="G56" s="134">
        <f>C56+整車出口!C56</f>
        <v>9282406</v>
      </c>
      <c r="H56" s="133">
        <f t="shared" si="7"/>
        <v>2.1648538751982277E-2</v>
      </c>
      <c r="I56" s="135">
        <f t="shared" si="8"/>
        <v>1129.7962512171373</v>
      </c>
    </row>
    <row r="57" spans="1:9">
      <c r="A57" s="140" t="s">
        <v>81</v>
      </c>
      <c r="B57" s="25">
        <v>10507</v>
      </c>
      <c r="C57" s="25">
        <v>11117360</v>
      </c>
      <c r="D57" s="131">
        <f t="shared" si="9"/>
        <v>1058.0907966117827</v>
      </c>
      <c r="E57" s="132">
        <f>B57+整車出口!B57</f>
        <v>10933</v>
      </c>
      <c r="F57" s="133">
        <f t="shared" si="6"/>
        <v>1.5813140831401225E-2</v>
      </c>
      <c r="G57" s="134">
        <f>C57+整車出口!C57</f>
        <v>12107224</v>
      </c>
      <c r="H57" s="133">
        <f t="shared" si="7"/>
        <v>2.8236613216759736E-2</v>
      </c>
      <c r="I57" s="135">
        <f t="shared" si="8"/>
        <v>1107.4018110308241</v>
      </c>
    </row>
    <row r="58" spans="1:9">
      <c r="A58" s="140" t="s">
        <v>52</v>
      </c>
      <c r="B58" s="25">
        <v>5194</v>
      </c>
      <c r="C58" s="25">
        <v>2392803</v>
      </c>
      <c r="D58" s="131">
        <f t="shared" si="9"/>
        <v>460.68598382749326</v>
      </c>
      <c r="E58" s="132">
        <f>B58+整車出口!B58</f>
        <v>5863</v>
      </c>
      <c r="F58" s="133">
        <f t="shared" si="6"/>
        <v>8.4800553091105273E-3</v>
      </c>
      <c r="G58" s="134">
        <f>C58+整車出口!C58</f>
        <v>3287608</v>
      </c>
      <c r="H58" s="133">
        <f t="shared" si="7"/>
        <v>7.6673988607400875E-3</v>
      </c>
      <c r="I58" s="135">
        <f t="shared" si="8"/>
        <v>560.73818864062764</v>
      </c>
    </row>
    <row r="59" spans="1:9">
      <c r="A59" s="140" t="s">
        <v>53</v>
      </c>
      <c r="B59" s="25">
        <v>1150</v>
      </c>
      <c r="C59" s="25">
        <v>482542</v>
      </c>
      <c r="D59" s="131">
        <f t="shared" si="9"/>
        <v>419.60173913043479</v>
      </c>
      <c r="E59" s="132">
        <f>B59+整車出口!B59</f>
        <v>1150</v>
      </c>
      <c r="F59" s="133">
        <f t="shared" si="6"/>
        <v>1.6633231460817168E-3</v>
      </c>
      <c r="G59" s="134">
        <f>C59+整車出口!C59</f>
        <v>482542</v>
      </c>
      <c r="H59" s="133">
        <f t="shared" si="7"/>
        <v>1.1253902475779484E-3</v>
      </c>
      <c r="I59" s="135">
        <f t="shared" si="8"/>
        <v>419.60173913043479</v>
      </c>
    </row>
    <row r="60" spans="1:9">
      <c r="A60" s="140" t="s">
        <v>54</v>
      </c>
      <c r="B60" s="25">
        <v>3346</v>
      </c>
      <c r="C60" s="25">
        <v>3669100</v>
      </c>
      <c r="D60" s="131">
        <f t="shared" si="9"/>
        <v>1096.5630603705918</v>
      </c>
      <c r="E60" s="132">
        <f>B60+整車出口!B60</f>
        <v>4217</v>
      </c>
      <c r="F60" s="133">
        <f t="shared" si="6"/>
        <v>6.0993336582840004E-3</v>
      </c>
      <c r="G60" s="134">
        <f>C60+整車出口!C60</f>
        <v>4425260</v>
      </c>
      <c r="H60" s="133">
        <f t="shared" si="7"/>
        <v>1.0320644517983495E-2</v>
      </c>
      <c r="I60" s="135">
        <f t="shared" si="8"/>
        <v>1049.3858193028218</v>
      </c>
    </row>
    <row r="61" spans="1:9">
      <c r="A61" s="140" t="s">
        <v>82</v>
      </c>
      <c r="B61" s="25">
        <v>1205</v>
      </c>
      <c r="C61" s="25">
        <v>2102464</v>
      </c>
      <c r="D61" s="131">
        <f t="shared" si="9"/>
        <v>1744.7834024896265</v>
      </c>
      <c r="E61" s="132">
        <f>B61+整車出口!B61</f>
        <v>1398</v>
      </c>
      <c r="F61" s="133">
        <f t="shared" si="6"/>
        <v>2.0220223984541217E-3</v>
      </c>
      <c r="G61" s="134">
        <f>C61+整車出口!C61</f>
        <v>2494196</v>
      </c>
      <c r="H61" s="133">
        <f t="shared" si="7"/>
        <v>5.8169938657110223E-3</v>
      </c>
      <c r="I61" s="135">
        <f t="shared" si="8"/>
        <v>1784.1173104434906</v>
      </c>
    </row>
    <row r="62" spans="1:9">
      <c r="A62" s="140" t="s">
        <v>83</v>
      </c>
      <c r="B62" s="25">
        <v>1670</v>
      </c>
      <c r="C62" s="25">
        <v>1845506</v>
      </c>
      <c r="D62" s="131">
        <f t="shared" si="9"/>
        <v>1105.0934131736526</v>
      </c>
      <c r="E62" s="132">
        <f>B62+整車出口!B62</f>
        <v>1813</v>
      </c>
      <c r="F62" s="133">
        <f t="shared" si="6"/>
        <v>2.6222650989966545E-3</v>
      </c>
      <c r="G62" s="134">
        <f>C62+整車出口!C62</f>
        <v>2058081</v>
      </c>
      <c r="H62" s="133">
        <f t="shared" si="7"/>
        <v>4.7998812251067707E-3</v>
      </c>
      <c r="I62" s="135">
        <f t="shared" si="8"/>
        <v>1135.1798124655268</v>
      </c>
    </row>
    <row r="63" spans="1:9">
      <c r="A63" s="140" t="s">
        <v>84</v>
      </c>
      <c r="B63" s="25">
        <v>891</v>
      </c>
      <c r="C63" s="25">
        <v>940897</v>
      </c>
      <c r="D63" s="131">
        <f t="shared" si="9"/>
        <v>1056.0011223344557</v>
      </c>
      <c r="E63" s="132">
        <f>B63+整車出口!B63</f>
        <v>891</v>
      </c>
      <c r="F63" s="133">
        <f t="shared" si="6"/>
        <v>1.288713846225052E-3</v>
      </c>
      <c r="G63" s="134">
        <f>C63+整車出口!C63</f>
        <v>940897</v>
      </c>
      <c r="H63" s="133">
        <f t="shared" si="7"/>
        <v>2.1943712832776189E-3</v>
      </c>
      <c r="I63" s="135">
        <f t="shared" si="8"/>
        <v>1056.0011223344557</v>
      </c>
    </row>
    <row r="64" spans="1:9">
      <c r="A64" s="140" t="s">
        <v>85</v>
      </c>
      <c r="B64" s="25">
        <v>810</v>
      </c>
      <c r="C64" s="25">
        <v>898428</v>
      </c>
      <c r="D64" s="131">
        <f t="shared" si="9"/>
        <v>1109.1703703703704</v>
      </c>
      <c r="E64" s="132">
        <f>B64+整車出口!B64</f>
        <v>858</v>
      </c>
      <c r="F64" s="133">
        <f t="shared" si="6"/>
        <v>1.2409837037722722E-3</v>
      </c>
      <c r="G64" s="134">
        <f>C64+整車出口!C64</f>
        <v>955444</v>
      </c>
      <c r="H64" s="133">
        <f t="shared" si="7"/>
        <v>2.2282979713825228E-3</v>
      </c>
      <c r="I64" s="135">
        <f t="shared" si="8"/>
        <v>1113.5710955710956</v>
      </c>
    </row>
    <row r="65" spans="1:9">
      <c r="A65" s="140" t="s">
        <v>86</v>
      </c>
      <c r="B65" s="25">
        <v>562</v>
      </c>
      <c r="C65" s="25">
        <v>628057</v>
      </c>
      <c r="D65" s="131">
        <f t="shared" si="9"/>
        <v>1117.5391459074733</v>
      </c>
      <c r="E65" s="132">
        <f>B65+整車出口!B65</f>
        <v>613</v>
      </c>
      <c r="F65" s="133">
        <f t="shared" si="6"/>
        <v>8.866235552592108E-4</v>
      </c>
      <c r="G65" s="134">
        <f>C65+整車出口!C65</f>
        <v>767587</v>
      </c>
      <c r="H65" s="133">
        <f t="shared" si="7"/>
        <v>1.7901756198789216E-3</v>
      </c>
      <c r="I65" s="135">
        <f t="shared" si="8"/>
        <v>1252.1810766721044</v>
      </c>
    </row>
    <row r="66" spans="1:9">
      <c r="A66" s="29" t="s">
        <v>57</v>
      </c>
      <c r="B66" s="25">
        <f>B67-B48-B42-B12-B7</f>
        <v>12180</v>
      </c>
      <c r="C66" s="25">
        <f>C67-C48-C42-C12-C7</f>
        <v>8183233</v>
      </c>
      <c r="D66" s="131">
        <f>C66/B66</f>
        <v>671.85821018062393</v>
      </c>
      <c r="E66" s="134">
        <f>E67-E48-E42-E12-E7</f>
        <v>13005</v>
      </c>
      <c r="F66" s="133">
        <f t="shared" si="6"/>
        <v>1.8810015230254547E-2</v>
      </c>
      <c r="G66" s="134">
        <f>G67-G48-G42-G12-G7</f>
        <v>9295491</v>
      </c>
      <c r="H66" s="133">
        <f t="shared" si="7"/>
        <v>2.1679055746129022E-2</v>
      </c>
      <c r="I66" s="135">
        <f>G66/E66</f>
        <v>714.76286043829293</v>
      </c>
    </row>
    <row r="67" spans="1:9">
      <c r="A67" s="30" t="s">
        <v>58</v>
      </c>
      <c r="B67" s="25">
        <v>631916</v>
      </c>
      <c r="C67" s="25">
        <v>372498462</v>
      </c>
      <c r="D67" s="127">
        <f>C67/B67</f>
        <v>589.47464852923486</v>
      </c>
      <c r="E67" s="132">
        <f>B67+整車出口!B67</f>
        <v>691387</v>
      </c>
      <c r="F67" s="129">
        <f>E67/$E$67</f>
        <v>1</v>
      </c>
      <c r="G67" s="134">
        <f>C67+整車出口!C67</f>
        <v>428777485</v>
      </c>
      <c r="H67" s="129">
        <f>G67/$G$67</f>
        <v>1</v>
      </c>
      <c r="I67" s="130">
        <f>G67/E67</f>
        <v>620.17001332104883</v>
      </c>
    </row>
    <row r="68" spans="1:9">
      <c r="A68" s="141"/>
      <c r="B68" s="35"/>
      <c r="C68" s="35"/>
      <c r="D68" s="142"/>
      <c r="E68" s="143"/>
      <c r="F68" s="36"/>
      <c r="G68" s="143"/>
      <c r="H68" s="144"/>
      <c r="I68" s="142"/>
    </row>
    <row r="69" spans="1:9">
      <c r="A69" s="145" t="s">
        <v>59</v>
      </c>
      <c r="B69" s="522"/>
      <c r="C69" s="522"/>
      <c r="D69" s="146"/>
      <c r="E69" s="147"/>
      <c r="F69" s="41"/>
      <c r="G69" s="147"/>
      <c r="H69" s="148"/>
      <c r="I69" s="149"/>
    </row>
    <row r="70" spans="1:9">
      <c r="A70" s="44" t="s">
        <v>281</v>
      </c>
      <c r="B70" s="523" t="s">
        <v>267</v>
      </c>
      <c r="C70" s="523" t="s">
        <v>268</v>
      </c>
      <c r="D70" s="150" t="s">
        <v>1</v>
      </c>
      <c r="E70" s="151" t="s">
        <v>279</v>
      </c>
      <c r="F70" s="46" t="s">
        <v>2</v>
      </c>
      <c r="G70" s="151" t="s">
        <v>280</v>
      </c>
      <c r="H70" s="47" t="s">
        <v>2</v>
      </c>
      <c r="I70" s="150" t="s">
        <v>1</v>
      </c>
    </row>
    <row r="71" spans="1:9">
      <c r="A71" s="48"/>
      <c r="B71" s="51" t="s">
        <v>6</v>
      </c>
      <c r="C71" s="52" t="s">
        <v>87</v>
      </c>
      <c r="D71" s="150" t="s">
        <v>5</v>
      </c>
      <c r="E71" s="112" t="s">
        <v>6</v>
      </c>
      <c r="F71" s="46" t="s">
        <v>6</v>
      </c>
      <c r="G71" s="152" t="s">
        <v>5</v>
      </c>
      <c r="H71" s="53" t="s">
        <v>5</v>
      </c>
      <c r="I71" s="150" t="s">
        <v>5</v>
      </c>
    </row>
    <row r="72" spans="1:9">
      <c r="A72" s="30" t="s">
        <v>58</v>
      </c>
      <c r="B72" s="25">
        <v>33851</v>
      </c>
      <c r="C72" s="25">
        <v>8030737</v>
      </c>
      <c r="D72" s="153">
        <f>C72/B72</f>
        <v>237.23780685947239</v>
      </c>
      <c r="E72" s="132">
        <f>B72+整車出口!B72</f>
        <v>36704</v>
      </c>
      <c r="F72" s="154">
        <v>1</v>
      </c>
      <c r="G72" s="134">
        <f>C72+整車出口!C72</f>
        <v>8766785</v>
      </c>
      <c r="H72" s="154">
        <v>1</v>
      </c>
      <c r="I72" s="153">
        <f>G72/E72</f>
        <v>238.8509426765475</v>
      </c>
    </row>
    <row r="73" spans="1:9">
      <c r="A73" s="57" t="s">
        <v>88</v>
      </c>
      <c r="B73" s="3"/>
      <c r="C73" s="35"/>
      <c r="D73" s="3"/>
      <c r="E73" s="155"/>
      <c r="F73" s="3"/>
      <c r="G73" s="155"/>
      <c r="H73" s="3"/>
      <c r="I73" s="3"/>
    </row>
    <row r="74" spans="1:9" ht="18">
      <c r="A74" s="156" t="s">
        <v>89</v>
      </c>
      <c r="B74" s="61"/>
      <c r="C74" s="62"/>
      <c r="D74" s="64"/>
      <c r="E74" s="62"/>
      <c r="F74" s="62"/>
      <c r="G74" s="62"/>
      <c r="H74" s="60"/>
      <c r="I74" s="60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4"/>
  <sheetViews>
    <sheetView zoomScale="115" zoomScaleNormal="115" workbookViewId="0">
      <selection activeCell="D15" sqref="D15"/>
    </sheetView>
  </sheetViews>
  <sheetFormatPr defaultRowHeight="16.5"/>
  <cols>
    <col min="1" max="1" width="16.125" customWidth="1"/>
    <col min="2" max="2" width="13.125" customWidth="1"/>
    <col min="3" max="3" width="12" customWidth="1"/>
    <col min="4" max="4" width="10.625" customWidth="1"/>
    <col min="5" max="5" width="12.125" customWidth="1"/>
    <col min="7" max="7" width="11.5" customWidth="1"/>
    <col min="9" max="9" width="12" customWidth="1"/>
  </cols>
  <sheetData>
    <row r="1" spans="1:9" ht="23.25">
      <c r="A1" s="763" t="s">
        <v>269</v>
      </c>
      <c r="B1" s="763"/>
      <c r="C1" s="763"/>
      <c r="D1" s="763"/>
      <c r="E1" s="763"/>
      <c r="F1" s="763"/>
      <c r="G1" s="763"/>
      <c r="H1" s="763"/>
      <c r="I1" s="763"/>
    </row>
    <row r="2" spans="1:9">
      <c r="A2" s="4"/>
      <c r="B2" s="4"/>
      <c r="C2" s="4"/>
      <c r="D2" s="4"/>
      <c r="E2" s="4"/>
      <c r="F2" s="4"/>
      <c r="G2" s="4"/>
      <c r="H2" s="4"/>
      <c r="I2" s="4"/>
    </row>
    <row r="3" spans="1:9">
      <c r="A3" s="117" t="s">
        <v>0</v>
      </c>
      <c r="B3" s="519"/>
      <c r="C3" s="519"/>
      <c r="D3" s="119"/>
      <c r="E3" s="118"/>
      <c r="F3" s="118"/>
      <c r="G3" s="118"/>
      <c r="H3" s="118"/>
      <c r="I3" s="119"/>
    </row>
    <row r="4" spans="1:9">
      <c r="A4" s="6" t="s">
        <v>285</v>
      </c>
      <c r="B4" s="6" t="s">
        <v>286</v>
      </c>
      <c r="C4" s="6" t="s">
        <v>287</v>
      </c>
      <c r="D4" s="10" t="s">
        <v>1</v>
      </c>
      <c r="E4" s="7" t="s">
        <v>282</v>
      </c>
      <c r="F4" s="10" t="s">
        <v>2</v>
      </c>
      <c r="G4" s="6" t="s">
        <v>283</v>
      </c>
      <c r="H4" s="10" t="s">
        <v>2</v>
      </c>
      <c r="I4" s="157" t="s">
        <v>90</v>
      </c>
    </row>
    <row r="5" spans="1:9">
      <c r="A5" s="12"/>
      <c r="B5" s="12" t="s">
        <v>6</v>
      </c>
      <c r="C5" s="6" t="s">
        <v>5</v>
      </c>
      <c r="D5" s="10" t="s">
        <v>5</v>
      </c>
      <c r="E5" s="10" t="s">
        <v>6</v>
      </c>
      <c r="F5" s="10" t="s">
        <v>6</v>
      </c>
      <c r="G5" s="6" t="s">
        <v>5</v>
      </c>
      <c r="H5" s="6" t="s">
        <v>5</v>
      </c>
      <c r="I5" s="122" t="s">
        <v>5</v>
      </c>
    </row>
    <row r="6" spans="1:9">
      <c r="A6" s="158" t="s">
        <v>7</v>
      </c>
      <c r="B6" s="520"/>
      <c r="C6" s="521"/>
      <c r="D6" s="16"/>
      <c r="E6" s="16"/>
      <c r="F6" s="16"/>
      <c r="G6" s="16"/>
      <c r="H6" s="16"/>
      <c r="I6" s="125"/>
    </row>
    <row r="7" spans="1:9">
      <c r="A7" s="19" t="s">
        <v>8</v>
      </c>
      <c r="B7" s="524">
        <f>SUM(B8:B10)</f>
        <v>6</v>
      </c>
      <c r="C7" s="26">
        <f>SUM(C8:C10)</f>
        <v>2754</v>
      </c>
      <c r="D7" s="127">
        <f>C7/B7</f>
        <v>459</v>
      </c>
      <c r="E7" s="21">
        <f>SUM(E8:E10)</f>
        <v>17</v>
      </c>
      <c r="F7" s="22">
        <f>E7/$E$66</f>
        <v>1.6837184426594828E-4</v>
      </c>
      <c r="G7" s="21">
        <f>SUM(G8:G10)</f>
        <v>23658</v>
      </c>
      <c r="H7" s="22">
        <f>G7/$G$66</f>
        <v>2.6113548348642031E-3</v>
      </c>
      <c r="I7" s="130">
        <f>G7/E7</f>
        <v>1391.6470588235295</v>
      </c>
    </row>
    <row r="8" spans="1:9">
      <c r="A8" s="24" t="s">
        <v>66</v>
      </c>
      <c r="B8" s="25">
        <v>5</v>
      </c>
      <c r="C8" s="26">
        <v>700</v>
      </c>
      <c r="D8" s="127">
        <f>C8/B8</f>
        <v>140</v>
      </c>
      <c r="E8" s="26">
        <f>B8+整車進口!B8</f>
        <v>14</v>
      </c>
      <c r="F8" s="22">
        <f>E8/$E$66</f>
        <v>1.3865916586607507E-4</v>
      </c>
      <c r="G8" s="26">
        <f>C8+整車進口!C8</f>
        <v>21256</v>
      </c>
      <c r="H8" s="22">
        <f>G8/$G$66</f>
        <v>2.3462236186437358E-3</v>
      </c>
      <c r="I8" s="130">
        <f>G8/E8</f>
        <v>1518.2857142857142</v>
      </c>
    </row>
    <row r="9" spans="1:9">
      <c r="A9" s="29" t="s">
        <v>9</v>
      </c>
      <c r="B9" s="25">
        <v>1</v>
      </c>
      <c r="C9" s="26">
        <v>2054</v>
      </c>
      <c r="D9" s="127">
        <f>C9/B9</f>
        <v>2054</v>
      </c>
      <c r="E9" s="26">
        <f>B9+整車進口!B9</f>
        <v>3</v>
      </c>
      <c r="F9" s="22">
        <f>E9/$E$66</f>
        <v>2.9712678399873227E-5</v>
      </c>
      <c r="G9" s="26">
        <f>C9+整車進口!C9</f>
        <v>2402</v>
      </c>
      <c r="H9" s="22">
        <f>G9/$G$66</f>
        <v>2.651312162204673E-4</v>
      </c>
      <c r="I9" s="130">
        <f>G9/E9</f>
        <v>800.66666666666663</v>
      </c>
    </row>
    <row r="10" spans="1:9">
      <c r="A10" s="29" t="s">
        <v>10</v>
      </c>
      <c r="B10" s="25">
        <v>0</v>
      </c>
      <c r="C10" s="26">
        <v>0</v>
      </c>
      <c r="D10" s="127">
        <v>0</v>
      </c>
      <c r="E10" s="26">
        <f>B10+整車進口!B10</f>
        <v>0</v>
      </c>
      <c r="F10" s="22">
        <f>E10/$E$66</f>
        <v>0</v>
      </c>
      <c r="G10" s="26">
        <f>C10+整車進口!C10</f>
        <v>0</v>
      </c>
      <c r="H10" s="22">
        <f>G10/$G$66</f>
        <v>0</v>
      </c>
      <c r="I10" s="130">
        <v>0</v>
      </c>
    </row>
    <row r="11" spans="1:9">
      <c r="A11" s="136"/>
      <c r="B11" s="25"/>
      <c r="C11" s="25"/>
      <c r="D11" s="131"/>
      <c r="E11" s="25"/>
      <c r="F11" s="28"/>
      <c r="G11" s="25"/>
      <c r="H11" s="28"/>
      <c r="I11" s="135"/>
    </row>
    <row r="12" spans="1:9">
      <c r="A12" s="30" t="s">
        <v>11</v>
      </c>
      <c r="B12" s="25">
        <f>SUM(B13:B40)</f>
        <v>177</v>
      </c>
      <c r="C12" s="25">
        <f>SUM(C13:C40)</f>
        <v>173236</v>
      </c>
      <c r="D12" s="127">
        <f>C12/B12</f>
        <v>978.73446327683621</v>
      </c>
      <c r="E12" s="31">
        <f>SUM(E13:E40)</f>
        <v>190</v>
      </c>
      <c r="F12" s="22">
        <f t="shared" ref="F12:F40" si="0">E12/$E$66</f>
        <v>1.8818029653253044E-3</v>
      </c>
      <c r="G12" s="31">
        <f>SUM(G13:G40)</f>
        <v>210100</v>
      </c>
      <c r="H12" s="22">
        <f t="shared" ref="H12:H40" si="1">G12/$G$66</f>
        <v>2.3190702967493832E-2</v>
      </c>
      <c r="I12" s="130">
        <f>G12/E12</f>
        <v>1105.7894736842106</v>
      </c>
    </row>
    <row r="13" spans="1:9">
      <c r="A13" s="24" t="s">
        <v>12</v>
      </c>
      <c r="B13" s="25">
        <v>0</v>
      </c>
      <c r="C13" s="25">
        <v>0</v>
      </c>
      <c r="D13" s="127">
        <v>0</v>
      </c>
      <c r="E13" s="26">
        <f>B13+整車進口!B13</f>
        <v>0</v>
      </c>
      <c r="F13" s="22">
        <f t="shared" si="0"/>
        <v>0</v>
      </c>
      <c r="G13" s="26">
        <f>C13+整車進口!C13</f>
        <v>0</v>
      </c>
      <c r="H13" s="22">
        <f t="shared" si="1"/>
        <v>0</v>
      </c>
      <c r="I13" s="130">
        <v>0</v>
      </c>
    </row>
    <row r="14" spans="1:9">
      <c r="A14" s="24" t="s">
        <v>13</v>
      </c>
      <c r="B14" s="25">
        <v>9</v>
      </c>
      <c r="C14" s="25">
        <v>17809</v>
      </c>
      <c r="D14" s="127">
        <f>C14/B14</f>
        <v>1978.7777777777778</v>
      </c>
      <c r="E14" s="26">
        <f>B14+整車進口!B14</f>
        <v>17</v>
      </c>
      <c r="F14" s="22">
        <f t="shared" si="0"/>
        <v>1.6837184426594828E-4</v>
      </c>
      <c r="G14" s="26">
        <f>C14+整車進口!C14</f>
        <v>53318</v>
      </c>
      <c r="H14" s="22">
        <f t="shared" si="1"/>
        <v>5.8852065722076923E-3</v>
      </c>
      <c r="I14" s="130">
        <f>G14/E14</f>
        <v>3136.3529411764707</v>
      </c>
    </row>
    <row r="15" spans="1:9">
      <c r="A15" s="29" t="s">
        <v>14</v>
      </c>
      <c r="B15" s="25">
        <v>0</v>
      </c>
      <c r="C15" s="25">
        <v>0</v>
      </c>
      <c r="D15" s="127">
        <v>0</v>
      </c>
      <c r="E15" s="26">
        <f>B15+整車進口!B15</f>
        <v>0</v>
      </c>
      <c r="F15" s="22">
        <f t="shared" si="0"/>
        <v>0</v>
      </c>
      <c r="G15" s="26">
        <f>C15+整車進口!C15</f>
        <v>0</v>
      </c>
      <c r="H15" s="22">
        <f t="shared" si="1"/>
        <v>0</v>
      </c>
      <c r="I15" s="130">
        <v>0</v>
      </c>
    </row>
    <row r="16" spans="1:9">
      <c r="A16" s="24" t="s">
        <v>15</v>
      </c>
      <c r="B16" s="25">
        <v>163</v>
      </c>
      <c r="C16" s="25">
        <v>134185</v>
      </c>
      <c r="D16" s="127">
        <f>C16/B16</f>
        <v>823.22085889570553</v>
      </c>
      <c r="E16" s="26">
        <f>B16+整車進口!B48</f>
        <v>164</v>
      </c>
      <c r="F16" s="22">
        <f t="shared" si="0"/>
        <v>1.6242930858597364E-3</v>
      </c>
      <c r="G16" s="26">
        <f>C16+整車進口!C48</f>
        <v>134210</v>
      </c>
      <c r="H16" s="22">
        <f t="shared" si="1"/>
        <v>1.4814013542443346E-2</v>
      </c>
      <c r="I16" s="130">
        <f>G16/E16</f>
        <v>818.35365853658539</v>
      </c>
    </row>
    <row r="17" spans="1:9">
      <c r="A17" s="24" t="s">
        <v>16</v>
      </c>
      <c r="B17" s="25">
        <v>2</v>
      </c>
      <c r="C17" s="25">
        <v>16595</v>
      </c>
      <c r="D17" s="127">
        <f>C17/B17</f>
        <v>8297.5</v>
      </c>
      <c r="E17" s="26">
        <f>B17+整車進口!B16</f>
        <v>2</v>
      </c>
      <c r="F17" s="22">
        <f t="shared" si="0"/>
        <v>1.980845226658215E-5</v>
      </c>
      <c r="G17" s="26">
        <f>C17+整車進口!C16</f>
        <v>16595</v>
      </c>
      <c r="H17" s="22">
        <f t="shared" si="1"/>
        <v>1.8317454342958598E-3</v>
      </c>
      <c r="I17" s="130">
        <f>G17/E17</f>
        <v>8297.5</v>
      </c>
    </row>
    <row r="18" spans="1:9">
      <c r="A18" s="29" t="s">
        <v>17</v>
      </c>
      <c r="B18" s="25">
        <v>2</v>
      </c>
      <c r="C18" s="25">
        <v>3686</v>
      </c>
      <c r="D18" s="127">
        <f>C18/B18</f>
        <v>1843</v>
      </c>
      <c r="E18" s="26">
        <f>B18+整車進口!B17</f>
        <v>6</v>
      </c>
      <c r="F18" s="22">
        <f t="shared" si="0"/>
        <v>5.9425356799746454E-5</v>
      </c>
      <c r="G18" s="26">
        <f>C18+整車進口!C17</f>
        <v>5016</v>
      </c>
      <c r="H18" s="22">
        <f t="shared" si="1"/>
        <v>5.5366285618728731E-4</v>
      </c>
      <c r="I18" s="130">
        <f>G18/E18</f>
        <v>836</v>
      </c>
    </row>
    <row r="19" spans="1:9">
      <c r="A19" s="29" t="s">
        <v>18</v>
      </c>
      <c r="B19" s="25">
        <v>0</v>
      </c>
      <c r="C19" s="25">
        <v>0</v>
      </c>
      <c r="D19" s="127">
        <v>0</v>
      </c>
      <c r="E19" s="26">
        <f>B19+整車進口!B18</f>
        <v>0</v>
      </c>
      <c r="F19" s="22">
        <f t="shared" si="0"/>
        <v>0</v>
      </c>
      <c r="G19" s="26">
        <f>C19+整車進口!C18</f>
        <v>0</v>
      </c>
      <c r="H19" s="22">
        <f t="shared" si="1"/>
        <v>0</v>
      </c>
      <c r="I19" s="130">
        <v>0</v>
      </c>
    </row>
    <row r="20" spans="1:9">
      <c r="A20" s="24" t="s">
        <v>19</v>
      </c>
      <c r="B20" s="25">
        <v>0</v>
      </c>
      <c r="C20" s="25">
        <v>0</v>
      </c>
      <c r="D20" s="127">
        <v>0</v>
      </c>
      <c r="E20" s="26">
        <f>B20+整車進口!B19</f>
        <v>0</v>
      </c>
      <c r="F20" s="22">
        <f t="shared" si="0"/>
        <v>0</v>
      </c>
      <c r="G20" s="26">
        <f>C20+整車進口!C19</f>
        <v>0</v>
      </c>
      <c r="H20" s="22">
        <f t="shared" si="1"/>
        <v>0</v>
      </c>
      <c r="I20" s="130">
        <v>0</v>
      </c>
    </row>
    <row r="21" spans="1:9">
      <c r="A21" s="29" t="s">
        <v>67</v>
      </c>
      <c r="B21" s="25">
        <v>0</v>
      </c>
      <c r="C21" s="25">
        <v>0</v>
      </c>
      <c r="D21" s="127">
        <v>0</v>
      </c>
      <c r="E21" s="26">
        <f>B21+整車進口!B20</f>
        <v>0</v>
      </c>
      <c r="F21" s="22">
        <f t="shared" si="0"/>
        <v>0</v>
      </c>
      <c r="G21" s="26">
        <f>C21+整車進口!C20</f>
        <v>0</v>
      </c>
      <c r="H21" s="22">
        <f t="shared" si="1"/>
        <v>0</v>
      </c>
      <c r="I21" s="130" t="e">
        <f>G21/E21</f>
        <v>#DIV/0!</v>
      </c>
    </row>
    <row r="22" spans="1:9">
      <c r="A22" s="24" t="s">
        <v>21</v>
      </c>
      <c r="B22" s="25">
        <v>1</v>
      </c>
      <c r="C22" s="25">
        <v>961</v>
      </c>
      <c r="D22" s="127">
        <f t="shared" ref="D22" si="2">C22/B22</f>
        <v>961</v>
      </c>
      <c r="E22" s="26">
        <f>B22+整車進口!B21</f>
        <v>1</v>
      </c>
      <c r="F22" s="22">
        <f t="shared" si="0"/>
        <v>9.904226133291075E-6</v>
      </c>
      <c r="G22" s="26">
        <f>C22+整車進口!C21</f>
        <v>961</v>
      </c>
      <c r="H22" s="22">
        <f t="shared" si="1"/>
        <v>1.0607456235964575E-4</v>
      </c>
      <c r="I22" s="130">
        <f>G22/E22</f>
        <v>961</v>
      </c>
    </row>
    <row r="23" spans="1:9">
      <c r="A23" s="29" t="s">
        <v>22</v>
      </c>
      <c r="B23" s="25">
        <v>0</v>
      </c>
      <c r="C23" s="25">
        <v>0</v>
      </c>
      <c r="D23" s="127">
        <v>0</v>
      </c>
      <c r="E23" s="26">
        <f>B23+整車進口!B22</f>
        <v>0</v>
      </c>
      <c r="F23" s="22">
        <f t="shared" si="0"/>
        <v>0</v>
      </c>
      <c r="G23" s="26">
        <f>C23+整車進口!C22</f>
        <v>0</v>
      </c>
      <c r="H23" s="22">
        <f t="shared" si="1"/>
        <v>0</v>
      </c>
      <c r="I23" s="130">
        <v>0</v>
      </c>
    </row>
    <row r="24" spans="1:9">
      <c r="A24" s="29" t="s">
        <v>23</v>
      </c>
      <c r="B24" s="25">
        <v>0</v>
      </c>
      <c r="C24" s="25">
        <v>0</v>
      </c>
      <c r="D24" s="127">
        <v>0</v>
      </c>
      <c r="E24" s="26">
        <f>B24+整車進口!B23</f>
        <v>0</v>
      </c>
      <c r="F24" s="22">
        <f t="shared" si="0"/>
        <v>0</v>
      </c>
      <c r="G24" s="26">
        <f>C24+整車進口!C23</f>
        <v>0</v>
      </c>
      <c r="H24" s="22">
        <f t="shared" si="1"/>
        <v>0</v>
      </c>
      <c r="I24" s="130">
        <v>0</v>
      </c>
    </row>
    <row r="25" spans="1:9">
      <c r="A25" s="29" t="s">
        <v>24</v>
      </c>
      <c r="B25" s="25">
        <v>0</v>
      </c>
      <c r="C25" s="25">
        <v>0</v>
      </c>
      <c r="D25" s="127">
        <v>0</v>
      </c>
      <c r="E25" s="26">
        <f>B25+整車進口!B24</f>
        <v>0</v>
      </c>
      <c r="F25" s="22">
        <f t="shared" si="0"/>
        <v>0</v>
      </c>
      <c r="G25" s="26">
        <f>C25+整車進口!C24</f>
        <v>0</v>
      </c>
      <c r="H25" s="22">
        <f t="shared" si="1"/>
        <v>0</v>
      </c>
      <c r="I25" s="130">
        <v>0</v>
      </c>
    </row>
    <row r="26" spans="1:9">
      <c r="A26" s="24" t="s">
        <v>25</v>
      </c>
      <c r="B26" s="25">
        <v>0</v>
      </c>
      <c r="C26" s="25">
        <v>0</v>
      </c>
      <c r="D26" s="127">
        <v>0</v>
      </c>
      <c r="E26" s="26">
        <f>B26+整車進口!B25</f>
        <v>0</v>
      </c>
      <c r="F26" s="22">
        <f t="shared" si="0"/>
        <v>0</v>
      </c>
      <c r="G26" s="26">
        <f>C26+整車進口!C25</f>
        <v>0</v>
      </c>
      <c r="H26" s="22">
        <f t="shared" si="1"/>
        <v>0</v>
      </c>
      <c r="I26" s="130">
        <v>0</v>
      </c>
    </row>
    <row r="27" spans="1:9">
      <c r="A27" s="24" t="s">
        <v>26</v>
      </c>
      <c r="B27" s="25">
        <v>0</v>
      </c>
      <c r="C27" s="25">
        <v>0</v>
      </c>
      <c r="D27" s="127">
        <v>0</v>
      </c>
      <c r="E27" s="26">
        <f>B27+整車進口!B26</f>
        <v>0</v>
      </c>
      <c r="F27" s="22">
        <f t="shared" si="0"/>
        <v>0</v>
      </c>
      <c r="G27" s="26">
        <f>C27+整車進口!C26</f>
        <v>0</v>
      </c>
      <c r="H27" s="22">
        <f t="shared" si="1"/>
        <v>0</v>
      </c>
      <c r="I27" s="130">
        <v>0</v>
      </c>
    </row>
    <row r="28" spans="1:9">
      <c r="A28" s="168" t="s">
        <v>98</v>
      </c>
      <c r="B28" s="25">
        <v>0</v>
      </c>
      <c r="C28" s="25">
        <v>0</v>
      </c>
      <c r="D28" s="127">
        <v>0</v>
      </c>
      <c r="E28" s="26">
        <f>B28+整車進口!B27</f>
        <v>0</v>
      </c>
      <c r="F28" s="22">
        <f t="shared" si="0"/>
        <v>0</v>
      </c>
      <c r="G28" s="26">
        <f>C28+整車進口!C27</f>
        <v>0</v>
      </c>
      <c r="H28" s="22">
        <f t="shared" si="1"/>
        <v>0</v>
      </c>
      <c r="I28" s="130">
        <v>0</v>
      </c>
    </row>
    <row r="29" spans="1:9">
      <c r="A29" s="168" t="s">
        <v>99</v>
      </c>
      <c r="B29" s="25">
        <v>0</v>
      </c>
      <c r="C29" s="25">
        <v>0</v>
      </c>
      <c r="D29" s="127">
        <v>0</v>
      </c>
      <c r="E29" s="26">
        <f>B29+整車進口!B28</f>
        <v>0</v>
      </c>
      <c r="F29" s="22">
        <f t="shared" si="0"/>
        <v>0</v>
      </c>
      <c r="G29" s="26">
        <f>C29+整車進口!C28</f>
        <v>0</v>
      </c>
      <c r="H29" s="22">
        <f t="shared" si="1"/>
        <v>0</v>
      </c>
      <c r="I29" s="130">
        <v>0</v>
      </c>
    </row>
    <row r="30" spans="1:9">
      <c r="A30" s="168" t="s">
        <v>68</v>
      </c>
      <c r="B30" s="25">
        <v>0</v>
      </c>
      <c r="C30" s="25">
        <v>0</v>
      </c>
      <c r="D30" s="127">
        <v>0</v>
      </c>
      <c r="E30" s="26">
        <f>B30+整車進口!B29</f>
        <v>0</v>
      </c>
      <c r="F30" s="22">
        <f t="shared" si="0"/>
        <v>0</v>
      </c>
      <c r="G30" s="26">
        <f>C30+整車進口!C29</f>
        <v>0</v>
      </c>
      <c r="H30" s="22">
        <f t="shared" si="1"/>
        <v>0</v>
      </c>
      <c r="I30" s="130">
        <v>0</v>
      </c>
    </row>
    <row r="31" spans="1:9">
      <c r="A31" s="168" t="s">
        <v>69</v>
      </c>
      <c r="B31" s="25">
        <v>0</v>
      </c>
      <c r="C31" s="25">
        <v>0</v>
      </c>
      <c r="D31" s="127">
        <v>0</v>
      </c>
      <c r="E31" s="26">
        <f>B31+整車進口!B30</f>
        <v>0</v>
      </c>
      <c r="F31" s="22">
        <f t="shared" si="0"/>
        <v>0</v>
      </c>
      <c r="G31" s="26">
        <f>C31+整車進口!C30</f>
        <v>0</v>
      </c>
      <c r="H31" s="22">
        <f t="shared" si="1"/>
        <v>0</v>
      </c>
      <c r="I31" s="130">
        <v>0</v>
      </c>
    </row>
    <row r="32" spans="1:9">
      <c r="A32" s="168" t="s">
        <v>100</v>
      </c>
      <c r="B32" s="25">
        <v>0</v>
      </c>
      <c r="C32" s="25">
        <v>0</v>
      </c>
      <c r="D32" s="127">
        <v>0</v>
      </c>
      <c r="E32" s="26">
        <f>B32+整車進口!B31</f>
        <v>0</v>
      </c>
      <c r="F32" s="22">
        <f t="shared" si="0"/>
        <v>0</v>
      </c>
      <c r="G32" s="26">
        <f>C32+整車進口!C31</f>
        <v>0</v>
      </c>
      <c r="H32" s="22">
        <f t="shared" si="1"/>
        <v>0</v>
      </c>
      <c r="I32" s="130">
        <v>0</v>
      </c>
    </row>
    <row r="33" spans="1:9">
      <c r="A33" s="29" t="s">
        <v>30</v>
      </c>
      <c r="B33" s="25">
        <v>0</v>
      </c>
      <c r="C33" s="25">
        <v>0</v>
      </c>
      <c r="D33" s="127">
        <v>0</v>
      </c>
      <c r="E33" s="26">
        <f>B33+整車進口!B32</f>
        <v>0</v>
      </c>
      <c r="F33" s="22">
        <f t="shared" si="0"/>
        <v>0</v>
      </c>
      <c r="G33" s="26">
        <f>C33+整車進口!C32</f>
        <v>0</v>
      </c>
      <c r="H33" s="22">
        <f t="shared" si="1"/>
        <v>0</v>
      </c>
      <c r="I33" s="130">
        <v>0</v>
      </c>
    </row>
    <row r="34" spans="1:9">
      <c r="A34" s="168" t="s">
        <v>71</v>
      </c>
      <c r="B34" s="25">
        <v>0</v>
      </c>
      <c r="C34" s="25">
        <v>0</v>
      </c>
      <c r="D34" s="127">
        <v>0</v>
      </c>
      <c r="E34" s="26">
        <f>B34+整車進口!B33</f>
        <v>0</v>
      </c>
      <c r="F34" s="22">
        <f t="shared" si="0"/>
        <v>0</v>
      </c>
      <c r="G34" s="26">
        <f>C34+整車進口!C33</f>
        <v>0</v>
      </c>
      <c r="H34" s="22">
        <f t="shared" si="1"/>
        <v>0</v>
      </c>
      <c r="I34" s="130">
        <v>0</v>
      </c>
    </row>
    <row r="35" spans="1:9">
      <c r="A35" s="169" t="s">
        <v>72</v>
      </c>
      <c r="B35" s="25">
        <v>0</v>
      </c>
      <c r="C35" s="25">
        <v>0</v>
      </c>
      <c r="D35" s="127">
        <v>0</v>
      </c>
      <c r="E35" s="26">
        <f>B35+整車進口!B34</f>
        <v>0</v>
      </c>
      <c r="F35" s="22">
        <f t="shared" si="0"/>
        <v>0</v>
      </c>
      <c r="G35" s="26">
        <f>C35+整車進口!C34</f>
        <v>0</v>
      </c>
      <c r="H35" s="22">
        <f t="shared" si="1"/>
        <v>0</v>
      </c>
      <c r="I35" s="130">
        <v>0</v>
      </c>
    </row>
    <row r="36" spans="1:9">
      <c r="A36" s="168" t="s">
        <v>73</v>
      </c>
      <c r="B36" s="25">
        <v>0</v>
      </c>
      <c r="C36" s="25">
        <v>0</v>
      </c>
      <c r="D36" s="127">
        <v>0</v>
      </c>
      <c r="E36" s="26">
        <f>B36+整車進口!B35</f>
        <v>0</v>
      </c>
      <c r="F36" s="22">
        <f t="shared" si="0"/>
        <v>0</v>
      </c>
      <c r="G36" s="26">
        <f>C36+整車進口!C35</f>
        <v>0</v>
      </c>
      <c r="H36" s="22">
        <f t="shared" si="1"/>
        <v>0</v>
      </c>
      <c r="I36" s="130">
        <v>0</v>
      </c>
    </row>
    <row r="37" spans="1:9">
      <c r="A37" s="168" t="s">
        <v>74</v>
      </c>
      <c r="B37" s="25">
        <v>0</v>
      </c>
      <c r="C37" s="25">
        <v>0</v>
      </c>
      <c r="D37" s="127">
        <v>0</v>
      </c>
      <c r="E37" s="26">
        <f>B37+整車進口!B36</f>
        <v>0</v>
      </c>
      <c r="F37" s="22">
        <f t="shared" si="0"/>
        <v>0</v>
      </c>
      <c r="G37" s="26">
        <f>C37+整車進口!C36</f>
        <v>0</v>
      </c>
      <c r="H37" s="22">
        <f t="shared" si="1"/>
        <v>0</v>
      </c>
      <c r="I37" s="130">
        <v>0</v>
      </c>
    </row>
    <row r="38" spans="1:9">
      <c r="A38" s="168" t="s">
        <v>91</v>
      </c>
      <c r="B38" s="25">
        <v>0</v>
      </c>
      <c r="C38" s="25">
        <v>0</v>
      </c>
      <c r="D38" s="127">
        <v>0</v>
      </c>
      <c r="E38" s="26">
        <f>B38+整車進口!B37</f>
        <v>0</v>
      </c>
      <c r="F38" s="22">
        <f t="shared" si="0"/>
        <v>0</v>
      </c>
      <c r="G38" s="26">
        <f>C38+整車進口!C37</f>
        <v>0</v>
      </c>
      <c r="H38" s="22">
        <f t="shared" si="1"/>
        <v>0</v>
      </c>
      <c r="I38" s="130">
        <v>0</v>
      </c>
    </row>
    <row r="39" spans="1:9">
      <c r="A39" s="168" t="s">
        <v>92</v>
      </c>
      <c r="B39" s="25">
        <v>0</v>
      </c>
      <c r="C39" s="25">
        <v>0</v>
      </c>
      <c r="D39" s="127">
        <v>0</v>
      </c>
      <c r="E39" s="26">
        <f>B39+整車進口!B38</f>
        <v>0</v>
      </c>
      <c r="F39" s="22">
        <f t="shared" si="0"/>
        <v>0</v>
      </c>
      <c r="G39" s="26">
        <f>C39+整車進口!C38</f>
        <v>0</v>
      </c>
      <c r="H39" s="22">
        <f t="shared" si="1"/>
        <v>0</v>
      </c>
      <c r="I39" s="130">
        <v>0</v>
      </c>
    </row>
    <row r="40" spans="1:9">
      <c r="A40" s="29" t="s">
        <v>79</v>
      </c>
      <c r="B40" s="25">
        <v>0</v>
      </c>
      <c r="C40" s="25">
        <v>0</v>
      </c>
      <c r="D40" s="127">
        <v>0</v>
      </c>
      <c r="E40" s="26">
        <f>B40+整車進口!B39</f>
        <v>0</v>
      </c>
      <c r="F40" s="22">
        <f t="shared" si="0"/>
        <v>0</v>
      </c>
      <c r="G40" s="26">
        <f>C40+整車進口!C39</f>
        <v>0</v>
      </c>
      <c r="H40" s="22">
        <f t="shared" si="1"/>
        <v>0</v>
      </c>
      <c r="I40" s="130">
        <v>0</v>
      </c>
    </row>
    <row r="41" spans="1:9">
      <c r="A41" s="29"/>
      <c r="B41" s="25"/>
      <c r="C41" s="25"/>
      <c r="D41" s="131"/>
      <c r="E41" s="26"/>
      <c r="F41" s="22"/>
      <c r="G41" s="25"/>
      <c r="H41" s="28"/>
      <c r="I41" s="135"/>
    </row>
    <row r="42" spans="1:9">
      <c r="A42" s="32" t="s">
        <v>38</v>
      </c>
      <c r="B42" s="25">
        <f>SUM(B43:B46)</f>
        <v>2</v>
      </c>
      <c r="C42" s="25">
        <f>SUM(C43:C46)</f>
        <v>13757</v>
      </c>
      <c r="D42" s="127">
        <f>C42/B42</f>
        <v>6878.5</v>
      </c>
      <c r="E42" s="31">
        <f>SUM(E43:E46)</f>
        <v>2</v>
      </c>
      <c r="F42" s="22">
        <f>E42/$E$66</f>
        <v>1.980845226658215E-5</v>
      </c>
      <c r="G42" s="31">
        <f>SUM(G43:G46)</f>
        <v>13757</v>
      </c>
      <c r="H42" s="22">
        <f>G42/$G$66</f>
        <v>1.5184888182951577E-3</v>
      </c>
      <c r="I42" s="130">
        <f>G42/E42</f>
        <v>6878.5</v>
      </c>
    </row>
    <row r="43" spans="1:9">
      <c r="A43" s="24" t="s">
        <v>39</v>
      </c>
      <c r="B43" s="25">
        <v>2</v>
      </c>
      <c r="C43" s="25">
        <v>13757</v>
      </c>
      <c r="D43" s="127">
        <f>C43/B43</f>
        <v>6878.5</v>
      </c>
      <c r="E43" s="26">
        <f>B43+[6]整車進口!B43</f>
        <v>2</v>
      </c>
      <c r="F43" s="22">
        <f>E43/$E$66</f>
        <v>1.980845226658215E-5</v>
      </c>
      <c r="G43" s="26">
        <f>C43+[6]整車進口!C43</f>
        <v>13757</v>
      </c>
      <c r="H43" s="22">
        <f>G43/$G$66</f>
        <v>1.5184888182951577E-3</v>
      </c>
      <c r="I43" s="130">
        <f>G43/E43</f>
        <v>6878.5</v>
      </c>
    </row>
    <row r="44" spans="1:9">
      <c r="A44" s="24" t="s">
        <v>40</v>
      </c>
      <c r="B44" s="25">
        <v>0</v>
      </c>
      <c r="C44" s="25">
        <v>0</v>
      </c>
      <c r="D44" s="127">
        <v>0</v>
      </c>
      <c r="E44" s="26">
        <f>B44+[6]整車進口!B44</f>
        <v>0</v>
      </c>
      <c r="F44" s="22">
        <f>E44/$E$66</f>
        <v>0</v>
      </c>
      <c r="G44" s="26">
        <f>C44+[6]整車進口!C44</f>
        <v>0</v>
      </c>
      <c r="H44" s="22">
        <f>G44/$G$66</f>
        <v>0</v>
      </c>
      <c r="I44" s="130">
        <v>0</v>
      </c>
    </row>
    <row r="45" spans="1:9">
      <c r="A45" s="24" t="s">
        <v>41</v>
      </c>
      <c r="B45" s="25">
        <v>0</v>
      </c>
      <c r="C45" s="25">
        <v>0</v>
      </c>
      <c r="D45" s="127">
        <v>0</v>
      </c>
      <c r="E45" s="26">
        <f>B45+[6]整車進口!B45</f>
        <v>0</v>
      </c>
      <c r="F45" s="22">
        <f>E45/$E$66</f>
        <v>0</v>
      </c>
      <c r="G45" s="26">
        <f>C45+[6]整車進口!C45</f>
        <v>0</v>
      </c>
      <c r="H45" s="22">
        <f>G45/$G$66</f>
        <v>0</v>
      </c>
      <c r="I45" s="130">
        <v>0</v>
      </c>
    </row>
    <row r="46" spans="1:9">
      <c r="A46" s="29" t="s">
        <v>42</v>
      </c>
      <c r="B46" s="25">
        <v>0</v>
      </c>
      <c r="C46" s="25">
        <v>0</v>
      </c>
      <c r="D46" s="127">
        <v>0</v>
      </c>
      <c r="E46" s="26">
        <f>B46+[6]整車進口!B46</f>
        <v>0</v>
      </c>
      <c r="F46" s="22">
        <f>E46/$E$66</f>
        <v>0</v>
      </c>
      <c r="G46" s="26">
        <f>C46+[6]整車進口!C46</f>
        <v>0</v>
      </c>
      <c r="H46" s="22">
        <f>G46/$G$66</f>
        <v>0</v>
      </c>
      <c r="I46" s="130">
        <v>0</v>
      </c>
    </row>
    <row r="47" spans="1:9">
      <c r="A47" s="29"/>
      <c r="B47" s="25"/>
      <c r="C47" s="25"/>
      <c r="D47" s="131"/>
      <c r="E47" s="25"/>
      <c r="F47" s="28"/>
      <c r="G47" s="25"/>
      <c r="H47" s="28"/>
      <c r="I47" s="135"/>
    </row>
    <row r="48" spans="1:9">
      <c r="A48" s="32" t="s">
        <v>43</v>
      </c>
      <c r="B48" s="25">
        <f>SUM(B49:B64)</f>
        <v>85531</v>
      </c>
      <c r="C48" s="25">
        <f>SUM(C49:C64)</f>
        <v>7057670</v>
      </c>
      <c r="D48" s="127">
        <f>C48/B48</f>
        <v>82.515929896762572</v>
      </c>
      <c r="E48" s="31">
        <f>SUM(E49:E64)</f>
        <v>100511</v>
      </c>
      <c r="F48" s="22">
        <f>E48/$E$66</f>
        <v>0.99548367288321926</v>
      </c>
      <c r="G48" s="31">
        <f>SUM(G49:G64)</f>
        <v>8634949</v>
      </c>
      <c r="H48" s="22">
        <f>G48/$G$66</f>
        <v>0.95312012088747211</v>
      </c>
      <c r="I48" s="130">
        <f>G48/E48</f>
        <v>85.910487409338288</v>
      </c>
    </row>
    <row r="49" spans="1:9">
      <c r="A49" s="24" t="s">
        <v>44</v>
      </c>
      <c r="B49" s="525">
        <v>31</v>
      </c>
      <c r="C49" s="525">
        <v>1994</v>
      </c>
      <c r="D49" s="127">
        <f>C49/B49</f>
        <v>64.322580645161295</v>
      </c>
      <c r="E49" s="26">
        <f>B49+整車進口!B49</f>
        <v>39</v>
      </c>
      <c r="F49" s="22">
        <f>E49/$E$66</f>
        <v>3.8626481919835194E-4</v>
      </c>
      <c r="G49" s="26">
        <f>C49+整車進口!C49</f>
        <v>3920</v>
      </c>
      <c r="H49" s="22">
        <f>G49/$G$66</f>
        <v>4.3268708059293582E-4</v>
      </c>
      <c r="I49" s="130">
        <f>G49/E49</f>
        <v>100.51282051282051</v>
      </c>
    </row>
    <row r="50" spans="1:9">
      <c r="A50" s="24" t="s">
        <v>45</v>
      </c>
      <c r="B50" s="525">
        <v>0</v>
      </c>
      <c r="C50" s="525">
        <v>0</v>
      </c>
      <c r="D50" s="127">
        <v>0</v>
      </c>
      <c r="E50" s="26">
        <f>B50+整車進口!B50</f>
        <v>0</v>
      </c>
      <c r="F50" s="22">
        <f t="shared" ref="F50:F64" si="3">E50/$E$66</f>
        <v>0</v>
      </c>
      <c r="G50" s="26">
        <f>C50+整車進口!C50</f>
        <v>0</v>
      </c>
      <c r="H50" s="22">
        <f t="shared" ref="H50:H64" si="4">G50/$G$66</f>
        <v>0</v>
      </c>
      <c r="I50" s="130">
        <v>0</v>
      </c>
    </row>
    <row r="51" spans="1:9">
      <c r="A51" s="24" t="s">
        <v>46</v>
      </c>
      <c r="B51" s="525">
        <v>0</v>
      </c>
      <c r="C51" s="525">
        <v>0</v>
      </c>
      <c r="D51" s="127">
        <v>0</v>
      </c>
      <c r="E51" s="26">
        <f>B51+整車進口!B51</f>
        <v>0</v>
      </c>
      <c r="F51" s="22">
        <f t="shared" si="3"/>
        <v>0</v>
      </c>
      <c r="G51" s="26">
        <f>C51+整車進口!C51</f>
        <v>0</v>
      </c>
      <c r="H51" s="22">
        <f t="shared" si="4"/>
        <v>0</v>
      </c>
      <c r="I51" s="130">
        <v>0</v>
      </c>
    </row>
    <row r="52" spans="1:9">
      <c r="A52" s="29" t="s">
        <v>47</v>
      </c>
      <c r="B52" s="525">
        <v>0</v>
      </c>
      <c r="C52" s="525">
        <v>0</v>
      </c>
      <c r="D52" s="127">
        <v>0</v>
      </c>
      <c r="E52" s="26">
        <f>B52+整車進口!B52</f>
        <v>0</v>
      </c>
      <c r="F52" s="22">
        <f t="shared" si="3"/>
        <v>0</v>
      </c>
      <c r="G52" s="26">
        <f>C52+整車進口!C52</f>
        <v>0</v>
      </c>
      <c r="H52" s="22">
        <f t="shared" si="4"/>
        <v>0</v>
      </c>
      <c r="I52" s="130">
        <v>0</v>
      </c>
    </row>
    <row r="53" spans="1:9">
      <c r="A53" s="24" t="s">
        <v>48</v>
      </c>
      <c r="B53" s="525">
        <v>0</v>
      </c>
      <c r="C53" s="525">
        <v>0</v>
      </c>
      <c r="D53" s="127">
        <v>0</v>
      </c>
      <c r="E53" s="26">
        <f>B53+整車進口!B53</f>
        <v>0</v>
      </c>
      <c r="F53" s="22">
        <f t="shared" si="3"/>
        <v>0</v>
      </c>
      <c r="G53" s="26">
        <f>C53+整車進口!C53</f>
        <v>0</v>
      </c>
      <c r="H53" s="22">
        <f t="shared" si="4"/>
        <v>0</v>
      </c>
      <c r="I53" s="130">
        <v>0</v>
      </c>
    </row>
    <row r="54" spans="1:9">
      <c r="A54" s="24" t="s">
        <v>80</v>
      </c>
      <c r="B54" s="525">
        <v>0</v>
      </c>
      <c r="C54" s="525">
        <v>0</v>
      </c>
      <c r="D54" s="127">
        <v>0</v>
      </c>
      <c r="E54" s="26">
        <f>B54+整車進口!B54</f>
        <v>0</v>
      </c>
      <c r="F54" s="22">
        <f t="shared" si="3"/>
        <v>0</v>
      </c>
      <c r="G54" s="26">
        <f>C54+整車進口!C54</f>
        <v>0</v>
      </c>
      <c r="H54" s="22">
        <f t="shared" si="4"/>
        <v>0</v>
      </c>
      <c r="I54" s="130">
        <v>0</v>
      </c>
    </row>
    <row r="55" spans="1:9">
      <c r="A55" s="29" t="s">
        <v>50</v>
      </c>
      <c r="B55" s="525">
        <v>0</v>
      </c>
      <c r="C55" s="525">
        <v>0</v>
      </c>
      <c r="D55" s="127">
        <v>0</v>
      </c>
      <c r="E55" s="26">
        <f>B55+整車進口!B55</f>
        <v>0</v>
      </c>
      <c r="F55" s="22">
        <f t="shared" si="3"/>
        <v>0</v>
      </c>
      <c r="G55" s="26">
        <f>C55+整車進口!C55</f>
        <v>0</v>
      </c>
      <c r="H55" s="22">
        <f t="shared" si="4"/>
        <v>0</v>
      </c>
      <c r="I55" s="130">
        <v>0</v>
      </c>
    </row>
    <row r="56" spans="1:9">
      <c r="A56" s="29" t="s">
        <v>101</v>
      </c>
      <c r="B56" s="525">
        <v>0</v>
      </c>
      <c r="C56" s="525">
        <v>0</v>
      </c>
      <c r="D56" s="127">
        <v>0</v>
      </c>
      <c r="E56" s="26">
        <f>B56+整車進口!B56</f>
        <v>0</v>
      </c>
      <c r="F56" s="22">
        <f t="shared" si="3"/>
        <v>0</v>
      </c>
      <c r="G56" s="26">
        <f>C56+整車進口!C56</f>
        <v>0</v>
      </c>
      <c r="H56" s="22">
        <f t="shared" si="4"/>
        <v>0</v>
      </c>
      <c r="I56" s="130">
        <v>0</v>
      </c>
    </row>
    <row r="57" spans="1:9">
      <c r="A57" s="140" t="s">
        <v>81</v>
      </c>
      <c r="B57" s="525">
        <v>100</v>
      </c>
      <c r="C57" s="525">
        <v>15057</v>
      </c>
      <c r="D57" s="127">
        <f>C57/B57</f>
        <v>150.57</v>
      </c>
      <c r="E57" s="26">
        <f>B57+整車進口!B57</f>
        <v>100</v>
      </c>
      <c r="F57" s="22">
        <f t="shared" si="3"/>
        <v>9.9042261332910747E-4</v>
      </c>
      <c r="G57" s="26">
        <f>C57+整車進口!C57</f>
        <v>15057</v>
      </c>
      <c r="H57" s="22">
        <f t="shared" si="4"/>
        <v>1.661981982777509E-3</v>
      </c>
      <c r="I57" s="130">
        <f>G57/E57</f>
        <v>150.57</v>
      </c>
    </row>
    <row r="58" spans="1:9">
      <c r="A58" s="140" t="s">
        <v>93</v>
      </c>
      <c r="B58" s="525">
        <v>361</v>
      </c>
      <c r="C58" s="525">
        <v>92817</v>
      </c>
      <c r="D58" s="127">
        <f>C58/B58</f>
        <v>257.11080332409972</v>
      </c>
      <c r="E58" s="26">
        <f>B58+整車進口!B58</f>
        <v>379</v>
      </c>
      <c r="F58" s="22">
        <f t="shared" si="3"/>
        <v>3.7537017045173177E-3</v>
      </c>
      <c r="G58" s="26">
        <f>C58+整車進口!C58</f>
        <v>107197</v>
      </c>
      <c r="H58" s="22">
        <f t="shared" si="4"/>
        <v>1.1832335963857384E-2</v>
      </c>
      <c r="I58" s="130">
        <f>G58/E58</f>
        <v>282.84168865435356</v>
      </c>
    </row>
    <row r="59" spans="1:9">
      <c r="A59" s="140" t="s">
        <v>94</v>
      </c>
      <c r="B59" s="525">
        <v>193</v>
      </c>
      <c r="C59" s="525">
        <v>26289</v>
      </c>
      <c r="D59" s="127">
        <f>C59/B59</f>
        <v>136.21243523316062</v>
      </c>
      <c r="E59" s="26">
        <f>B59+整車進口!B59</f>
        <v>221</v>
      </c>
      <c r="F59" s="22">
        <f t="shared" si="3"/>
        <v>2.1888339754573276E-3</v>
      </c>
      <c r="G59" s="26">
        <f>C59+整車進口!C59</f>
        <v>54385</v>
      </c>
      <c r="H59" s="22">
        <f t="shared" si="4"/>
        <v>6.0029813464405144E-3</v>
      </c>
      <c r="I59" s="130">
        <f>G59/E59</f>
        <v>246.08597285067873</v>
      </c>
    </row>
    <row r="60" spans="1:9">
      <c r="A60" s="140" t="s">
        <v>56</v>
      </c>
      <c r="B60" s="525">
        <v>0</v>
      </c>
      <c r="C60" s="525">
        <v>0</v>
      </c>
      <c r="D60" s="127">
        <v>0</v>
      </c>
      <c r="E60" s="26">
        <f>B60+整車進口!B60</f>
        <v>0</v>
      </c>
      <c r="F60" s="22">
        <f t="shared" si="3"/>
        <v>0</v>
      </c>
      <c r="G60" s="26">
        <f>C60+整車進口!C60</f>
        <v>0</v>
      </c>
      <c r="H60" s="22">
        <f t="shared" si="4"/>
        <v>0</v>
      </c>
      <c r="I60" s="130">
        <v>0</v>
      </c>
    </row>
    <row r="61" spans="1:9">
      <c r="A61" s="140" t="s">
        <v>95</v>
      </c>
      <c r="B61" s="525">
        <v>84846</v>
      </c>
      <c r="C61" s="525">
        <v>6921513</v>
      </c>
      <c r="D61" s="127">
        <f>C61/B61</f>
        <v>81.57736369422247</v>
      </c>
      <c r="E61" s="26">
        <f>B61+整車進口!B61</f>
        <v>99766</v>
      </c>
      <c r="F61" s="22">
        <f t="shared" si="3"/>
        <v>0.98810502441391745</v>
      </c>
      <c r="G61" s="26">
        <f>C61+整車進口!C61</f>
        <v>8431490</v>
      </c>
      <c r="H61" s="22">
        <f t="shared" si="4"/>
        <v>0.9306624472317685</v>
      </c>
      <c r="I61" s="130">
        <f>G61/E61</f>
        <v>84.512659623519028</v>
      </c>
    </row>
    <row r="62" spans="1:9">
      <c r="A62" s="140" t="s">
        <v>86</v>
      </c>
      <c r="B62" s="525">
        <v>0</v>
      </c>
      <c r="C62" s="525">
        <v>0</v>
      </c>
      <c r="D62" s="127">
        <v>0</v>
      </c>
      <c r="E62" s="26">
        <f>B62+整車進口!B62</f>
        <v>0</v>
      </c>
      <c r="F62" s="22">
        <f t="shared" si="3"/>
        <v>0</v>
      </c>
      <c r="G62" s="26">
        <f>C62+整車進口!C62</f>
        <v>0</v>
      </c>
      <c r="H62" s="22">
        <f t="shared" si="4"/>
        <v>0</v>
      </c>
      <c r="I62" s="130">
        <v>0</v>
      </c>
    </row>
    <row r="63" spans="1:9">
      <c r="A63" s="140" t="s">
        <v>96</v>
      </c>
      <c r="B63" s="525">
        <v>0</v>
      </c>
      <c r="C63" s="525">
        <v>0</v>
      </c>
      <c r="D63" s="127">
        <v>0</v>
      </c>
      <c r="E63" s="26">
        <f>B63+整車進口!B63</f>
        <v>0</v>
      </c>
      <c r="F63" s="22">
        <f t="shared" si="3"/>
        <v>0</v>
      </c>
      <c r="G63" s="26">
        <f>C63+整車進口!C63</f>
        <v>0</v>
      </c>
      <c r="H63" s="22">
        <f t="shared" si="4"/>
        <v>0</v>
      </c>
      <c r="I63" s="130">
        <v>0</v>
      </c>
    </row>
    <row r="64" spans="1:9">
      <c r="A64" s="140" t="s">
        <v>102</v>
      </c>
      <c r="B64" s="525">
        <v>0</v>
      </c>
      <c r="C64" s="525">
        <v>0</v>
      </c>
      <c r="D64" s="127">
        <v>0</v>
      </c>
      <c r="E64" s="26">
        <f>B64+整車進口!B64</f>
        <v>6</v>
      </c>
      <c r="F64" s="22">
        <f t="shared" si="3"/>
        <v>5.9425356799746454E-5</v>
      </c>
      <c r="G64" s="26">
        <f>C64+整車進口!C64</f>
        <v>22900</v>
      </c>
      <c r="H64" s="22">
        <f t="shared" si="4"/>
        <v>2.527687282035263E-3</v>
      </c>
      <c r="I64" s="130">
        <f t="shared" ref="I64" si="5">G64/E64</f>
        <v>3816.6666666666665</v>
      </c>
    </row>
    <row r="65" spans="1:9">
      <c r="A65" s="29" t="s">
        <v>57</v>
      </c>
      <c r="B65" s="25">
        <f>B66-B48-B42-B12-B7</f>
        <v>247</v>
      </c>
      <c r="C65" s="25">
        <f>C66-C48-C42-C12-C7</f>
        <v>177201</v>
      </c>
      <c r="D65" s="127">
        <f>C65/B65</f>
        <v>717.41295546558706</v>
      </c>
      <c r="E65" s="25">
        <f>E66-E48-E42-E12-E7</f>
        <v>247</v>
      </c>
      <c r="F65" s="22">
        <f>E65/$E$66</f>
        <v>2.4463438549228956E-3</v>
      </c>
      <c r="G65" s="25">
        <f>G66-G48-G42-G12-G7</f>
        <v>177201</v>
      </c>
      <c r="H65" s="22">
        <f>G65/$G$66</f>
        <v>1.9559332491874699E-2</v>
      </c>
      <c r="I65" s="130">
        <f>G65/E65</f>
        <v>717.41295546558706</v>
      </c>
    </row>
    <row r="66" spans="1:9" ht="17.25" thickBot="1">
      <c r="A66" s="159" t="s">
        <v>58</v>
      </c>
      <c r="B66" s="161">
        <v>85963</v>
      </c>
      <c r="C66" s="161">
        <v>7424618</v>
      </c>
      <c r="D66" s="160">
        <f>C66/B66</f>
        <v>86.369926596326323</v>
      </c>
      <c r="E66" s="161">
        <f>B66+整車進口!B65</f>
        <v>100967</v>
      </c>
      <c r="F66" s="162">
        <f>E66/$E$66</f>
        <v>1</v>
      </c>
      <c r="G66" s="161">
        <f>C66+整車進口!C65</f>
        <v>9059665</v>
      </c>
      <c r="H66" s="162">
        <f>G66/$G$66</f>
        <v>1</v>
      </c>
      <c r="I66" s="163">
        <f>G66/E66</f>
        <v>89.728970851862485</v>
      </c>
    </row>
    <row r="67" spans="1:9" ht="17.25" thickTop="1">
      <c r="A67" s="164"/>
      <c r="B67" s="35"/>
      <c r="C67" s="35"/>
      <c r="D67" s="165"/>
      <c r="E67" s="58"/>
      <c r="F67" s="166"/>
      <c r="G67" s="58"/>
      <c r="H67" s="166"/>
      <c r="I67" s="165"/>
    </row>
    <row r="68" spans="1:9">
      <c r="A68" s="141"/>
      <c r="B68" s="35"/>
      <c r="C68" s="35"/>
      <c r="D68" s="142"/>
      <c r="E68" s="35"/>
      <c r="F68" s="36"/>
      <c r="G68" s="35"/>
      <c r="H68" s="37"/>
      <c r="I68" s="142"/>
    </row>
    <row r="69" spans="1:9">
      <c r="A69" s="145" t="s">
        <v>59</v>
      </c>
      <c r="B69" s="522"/>
      <c r="C69" s="522"/>
      <c r="D69" s="146"/>
      <c r="E69" s="39"/>
      <c r="F69" s="41"/>
      <c r="G69" s="39"/>
      <c r="H69" s="42"/>
      <c r="I69" s="149"/>
    </row>
    <row r="70" spans="1:9">
      <c r="A70" s="44" t="s">
        <v>285</v>
      </c>
      <c r="B70" s="526" t="s">
        <v>271</v>
      </c>
      <c r="C70" s="526" t="s">
        <v>270</v>
      </c>
      <c r="D70" s="150" t="s">
        <v>1</v>
      </c>
      <c r="E70" s="167" t="s">
        <v>284</v>
      </c>
      <c r="F70" s="46" t="s">
        <v>2</v>
      </c>
      <c r="G70" s="167" t="s">
        <v>283</v>
      </c>
      <c r="H70" s="47" t="s">
        <v>2</v>
      </c>
      <c r="I70" s="150" t="s">
        <v>1</v>
      </c>
    </row>
    <row r="71" spans="1:9">
      <c r="A71" s="48"/>
      <c r="B71" s="49" t="s">
        <v>6</v>
      </c>
      <c r="C71" s="50" t="s">
        <v>5</v>
      </c>
      <c r="D71" s="150" t="s">
        <v>5</v>
      </c>
      <c r="E71" s="51" t="s">
        <v>6</v>
      </c>
      <c r="F71" s="46" t="s">
        <v>6</v>
      </c>
      <c r="G71" s="50" t="s">
        <v>5</v>
      </c>
      <c r="H71" s="53" t="s">
        <v>5</v>
      </c>
      <c r="I71" s="150" t="s">
        <v>5</v>
      </c>
    </row>
    <row r="72" spans="1:9">
      <c r="A72" s="30" t="s">
        <v>58</v>
      </c>
      <c r="B72" s="25">
        <v>313</v>
      </c>
      <c r="C72" s="25">
        <v>183709</v>
      </c>
      <c r="D72" s="153">
        <f>C72/B72</f>
        <v>586.92971246006391</v>
      </c>
      <c r="E72" s="25">
        <f>B72+整車進口!B70</f>
        <v>849</v>
      </c>
      <c r="F72" s="56">
        <v>1</v>
      </c>
      <c r="G72" s="26">
        <f>C72+整車進口!C70</f>
        <v>219185</v>
      </c>
      <c r="H72" s="56">
        <v>1</v>
      </c>
      <c r="I72" s="153">
        <f>G72/E72</f>
        <v>258.16843345111897</v>
      </c>
    </row>
    <row r="73" spans="1:9">
      <c r="A73" s="164"/>
      <c r="B73" s="35"/>
      <c r="C73" s="35"/>
      <c r="D73" s="165"/>
      <c r="E73" s="58"/>
      <c r="F73" s="166"/>
      <c r="G73" s="58"/>
      <c r="H73" s="166"/>
      <c r="I73" s="165"/>
    </row>
    <row r="74" spans="1:9">
      <c r="A74" s="57" t="s">
        <v>103</v>
      </c>
      <c r="B74" s="3"/>
      <c r="C74" s="35"/>
      <c r="D74" s="3"/>
      <c r="E74" s="3"/>
      <c r="F74" s="3"/>
      <c r="G74" s="3"/>
      <c r="H74" s="3"/>
      <c r="I74" s="3"/>
    </row>
  </sheetData>
  <mergeCells count="1">
    <mergeCell ref="A1:I1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73"/>
  <sheetViews>
    <sheetView zoomScaleNormal="100" workbookViewId="0">
      <selection activeCell="A2" sqref="A2"/>
    </sheetView>
  </sheetViews>
  <sheetFormatPr defaultRowHeight="16.5"/>
  <cols>
    <col min="1" max="1" width="19.25" customWidth="1"/>
    <col min="2" max="2" width="14.5" customWidth="1"/>
    <col min="3" max="3" width="14.75" customWidth="1"/>
    <col min="4" max="4" width="14.875" customWidth="1"/>
    <col min="5" max="5" width="16.125" customWidth="1"/>
    <col min="6" max="6" width="13.875" hidden="1" customWidth="1"/>
    <col min="7" max="7" width="15.875" customWidth="1"/>
    <col min="8" max="8" width="15.25" customWidth="1"/>
    <col min="9" max="9" width="15.5" customWidth="1"/>
  </cols>
  <sheetData>
    <row r="1" spans="1:9" ht="23.25">
      <c r="A1" s="763" t="s">
        <v>479</v>
      </c>
      <c r="B1" s="763"/>
      <c r="C1" s="763"/>
      <c r="D1" s="763"/>
      <c r="E1" s="763"/>
      <c r="F1" s="763"/>
      <c r="G1" s="763"/>
      <c r="H1" s="763"/>
      <c r="I1" s="763"/>
    </row>
    <row r="2" spans="1:9" ht="6.75" customHeight="1">
      <c r="A2" s="3"/>
      <c r="B2" s="4"/>
      <c r="C2" s="4"/>
      <c r="D2" s="4"/>
      <c r="E2" s="4"/>
      <c r="F2" s="4"/>
      <c r="G2" s="4"/>
      <c r="H2" s="4"/>
      <c r="I2" s="4"/>
    </row>
    <row r="3" spans="1:9">
      <c r="A3" s="757" t="s">
        <v>0</v>
      </c>
      <c r="B3" s="758"/>
      <c r="C3" s="758"/>
      <c r="D3" s="758"/>
      <c r="E3" s="758"/>
      <c r="F3" s="758"/>
      <c r="G3" s="758"/>
      <c r="H3" s="758"/>
      <c r="I3" s="759"/>
    </row>
    <row r="4" spans="1:9" ht="19.5">
      <c r="A4" s="6" t="s">
        <v>472</v>
      </c>
      <c r="B4" s="7" t="s">
        <v>473</v>
      </c>
      <c r="C4" s="7" t="s">
        <v>474</v>
      </c>
      <c r="D4" s="8" t="s">
        <v>1</v>
      </c>
      <c r="E4" s="9" t="s">
        <v>475</v>
      </c>
      <c r="F4" s="10" t="s">
        <v>2</v>
      </c>
      <c r="G4" s="9" t="s">
        <v>476</v>
      </c>
      <c r="H4" s="10" t="s">
        <v>2</v>
      </c>
      <c r="I4" s="157" t="s">
        <v>90</v>
      </c>
    </row>
    <row r="5" spans="1:9">
      <c r="A5" s="12"/>
      <c r="B5" s="12" t="s">
        <v>6</v>
      </c>
      <c r="C5" s="6" t="s">
        <v>5</v>
      </c>
      <c r="D5" s="10" t="s">
        <v>5</v>
      </c>
      <c r="E5" s="10" t="s">
        <v>6</v>
      </c>
      <c r="F5" s="10" t="s">
        <v>6</v>
      </c>
      <c r="G5" s="6" t="s">
        <v>87</v>
      </c>
      <c r="H5" s="6" t="s">
        <v>5</v>
      </c>
      <c r="I5" s="122" t="s">
        <v>5</v>
      </c>
    </row>
    <row r="6" spans="1:9">
      <c r="A6" s="158" t="s">
        <v>7</v>
      </c>
      <c r="B6" s="15"/>
      <c r="C6" s="16"/>
      <c r="D6" s="16"/>
      <c r="E6" s="16"/>
      <c r="F6" s="16"/>
      <c r="G6" s="16"/>
      <c r="H6" s="16"/>
      <c r="I6" s="125"/>
    </row>
    <row r="7" spans="1:9">
      <c r="A7" s="19" t="s">
        <v>8</v>
      </c>
      <c r="B7" s="20">
        <f>SUM(B8:B10)</f>
        <v>11</v>
      </c>
      <c r="C7" s="21">
        <f>SUM(C8:C10)</f>
        <v>20904</v>
      </c>
      <c r="D7" s="127">
        <f>IF(B7,C7/B7,0)</f>
        <v>1900.3636363636363</v>
      </c>
      <c r="E7" s="126">
        <f>SUM(E8:E10)</f>
        <v>16</v>
      </c>
      <c r="F7" s="21">
        <f>SUM(F8:F10)</f>
        <v>8277</v>
      </c>
      <c r="G7" s="21">
        <f>SUM(G8:G10)</f>
        <v>29181</v>
      </c>
      <c r="H7" s="22">
        <f>G7/$G$65</f>
        <v>5.1760974662292498E-3</v>
      </c>
      <c r="I7" s="130">
        <f>IF(E7,G7/E7,0)</f>
        <v>1823.8125</v>
      </c>
    </row>
    <row r="8" spans="1:9">
      <c r="A8" s="24" t="s">
        <v>342</v>
      </c>
      <c r="B8" s="25">
        <f>VLOOKUP(A8,[7]進出口值表查詢結果!$B$10:$D$20,3,0)</f>
        <v>9</v>
      </c>
      <c r="C8" s="26">
        <f>VLOOKUP(A8,[7]進出口值表查詢結果!$B$10:$D$20,2,0)</f>
        <v>20556</v>
      </c>
      <c r="D8" s="127">
        <f t="shared" ref="D8:D64" si="0">IF(B8,C8/B8,0)</f>
        <v>2284</v>
      </c>
      <c r="E8" s="26">
        <f>VLOOKUP(A8,[8]進出口值表查詢結果!$B$10:$D$21,3,0)</f>
        <v>14</v>
      </c>
      <c r="F8" s="22">
        <v>8277</v>
      </c>
      <c r="G8" s="26">
        <f>VLOOKUP(A8,[8]進出口值表查詢結果!$B$10:$D$21,2,0)</f>
        <v>28833</v>
      </c>
      <c r="H8" s="22">
        <f>G8/$G$65</f>
        <v>5.1143695638870487E-3</v>
      </c>
      <c r="I8" s="130">
        <f t="shared" ref="I8:I64" si="1">IF(E8,G8/E8,0)</f>
        <v>2059.5</v>
      </c>
    </row>
    <row r="9" spans="1:9">
      <c r="A9" s="29" t="s">
        <v>9</v>
      </c>
      <c r="B9" s="25">
        <f>VLOOKUP(A9,[7]進出口值表查詢結果!$B$10:$D$20,3,0)</f>
        <v>2</v>
      </c>
      <c r="C9" s="26">
        <f>VLOOKUP(A9,[7]進出口值表查詢結果!$B$10:$D$20,2,0)</f>
        <v>348</v>
      </c>
      <c r="D9" s="127">
        <f t="shared" ref="D9:D10" si="2">IF(B9,C9/B9,0)</f>
        <v>174</v>
      </c>
      <c r="E9" s="26">
        <f>VLOOKUP(A9,[8]進出口值表查詢結果!$B$10:$D$21,3,0)</f>
        <v>2</v>
      </c>
      <c r="F9" s="22">
        <v>0</v>
      </c>
      <c r="G9" s="26">
        <f>VLOOKUP(A9,[8]進出口值表查詢結果!$B$10:$D$21,2,0)</f>
        <v>348</v>
      </c>
      <c r="H9" s="22">
        <f>G9/$G$65</f>
        <v>6.1727902342201393E-5</v>
      </c>
      <c r="I9" s="130">
        <f t="shared" si="1"/>
        <v>174</v>
      </c>
    </row>
    <row r="10" spans="1:9">
      <c r="A10" s="29" t="s">
        <v>10</v>
      </c>
      <c r="B10" s="25">
        <v>0</v>
      </c>
      <c r="C10" s="26">
        <v>0</v>
      </c>
      <c r="D10" s="127">
        <f t="shared" si="2"/>
        <v>0</v>
      </c>
      <c r="E10" s="26">
        <v>0</v>
      </c>
      <c r="F10" s="22">
        <v>0</v>
      </c>
      <c r="G10" s="26">
        <v>0</v>
      </c>
      <c r="H10" s="22">
        <f>G10/$G$65</f>
        <v>0</v>
      </c>
      <c r="I10" s="130">
        <f t="shared" si="1"/>
        <v>0</v>
      </c>
    </row>
    <row r="11" spans="1:9">
      <c r="A11" s="29"/>
      <c r="B11" s="25"/>
      <c r="C11" s="25"/>
      <c r="D11" s="127"/>
      <c r="E11" s="25"/>
      <c r="F11" s="28"/>
      <c r="G11" s="25"/>
      <c r="H11" s="28"/>
      <c r="I11" s="130"/>
    </row>
    <row r="12" spans="1:9">
      <c r="A12" s="30" t="s">
        <v>11</v>
      </c>
      <c r="B12" s="31">
        <f>SUM(B13:B39)</f>
        <v>12</v>
      </c>
      <c r="C12" s="31">
        <f>SUM(C13:C39)</f>
        <v>36839</v>
      </c>
      <c r="D12" s="127">
        <f t="shared" si="0"/>
        <v>3069.9166666666665</v>
      </c>
      <c r="E12" s="31">
        <f>SUM(E13:E39)</f>
        <v>28</v>
      </c>
      <c r="F12" s="22">
        <v>120501</v>
      </c>
      <c r="G12" s="31">
        <f>SUM(G13:G39)</f>
        <v>89931</v>
      </c>
      <c r="H12" s="22">
        <f t="shared" ref="H12:H39" si="3">G12/$G$65</f>
        <v>1.595187352165665E-2</v>
      </c>
      <c r="I12" s="130">
        <f t="shared" si="1"/>
        <v>3211.8214285714284</v>
      </c>
    </row>
    <row r="13" spans="1:9">
      <c r="A13" s="24" t="s">
        <v>322</v>
      </c>
      <c r="B13" s="25">
        <v>0</v>
      </c>
      <c r="C13" s="26">
        <v>0</v>
      </c>
      <c r="D13" s="127">
        <f t="shared" si="0"/>
        <v>0</v>
      </c>
      <c r="E13" s="26">
        <v>0</v>
      </c>
      <c r="F13" s="22">
        <v>0</v>
      </c>
      <c r="G13" s="26">
        <v>0</v>
      </c>
      <c r="H13" s="22">
        <f t="shared" si="3"/>
        <v>0</v>
      </c>
      <c r="I13" s="130">
        <f t="shared" si="1"/>
        <v>0</v>
      </c>
    </row>
    <row r="14" spans="1:9">
      <c r="A14" s="24" t="s">
        <v>323</v>
      </c>
      <c r="B14" s="25">
        <f>VLOOKUP(A14,[7]進出口值表查詢結果!$B$10:$D$20,3,0)</f>
        <v>8</v>
      </c>
      <c r="C14" s="26">
        <f>VLOOKUP(A14,[7]進出口值表查詢結果!$B$10:$D$20,2,0)</f>
        <v>35509</v>
      </c>
      <c r="D14" s="127">
        <f t="shared" ref="D14:D39" si="4">IF(B14,C14/B14,0)</f>
        <v>4438.625</v>
      </c>
      <c r="E14" s="26">
        <f>VLOOKUP(A14,[8]進出口值表查詢結果!$B$10:$D$21,3,0)</f>
        <v>17</v>
      </c>
      <c r="F14" s="22">
        <v>51538</v>
      </c>
      <c r="G14" s="26">
        <f>VLOOKUP(A14,[8]進出口值表查詢結果!$B$10:$D$21,2,0)</f>
        <v>87047</v>
      </c>
      <c r="H14" s="22">
        <f t="shared" si="3"/>
        <v>1.5440312399947141E-2</v>
      </c>
      <c r="I14" s="130">
        <f t="shared" si="1"/>
        <v>5120.411764705882</v>
      </c>
    </row>
    <row r="15" spans="1:9">
      <c r="A15" s="29" t="s">
        <v>14</v>
      </c>
      <c r="B15" s="25">
        <v>0</v>
      </c>
      <c r="C15" s="26">
        <v>0</v>
      </c>
      <c r="D15" s="127">
        <f t="shared" si="4"/>
        <v>0</v>
      </c>
      <c r="E15" s="26">
        <v>0</v>
      </c>
      <c r="F15" s="25">
        <v>0</v>
      </c>
      <c r="G15" s="25">
        <v>0</v>
      </c>
      <c r="H15" s="22">
        <f t="shared" si="3"/>
        <v>0</v>
      </c>
      <c r="I15" s="130">
        <f t="shared" si="1"/>
        <v>0</v>
      </c>
    </row>
    <row r="16" spans="1:9">
      <c r="A16" s="24" t="s">
        <v>325</v>
      </c>
      <c r="B16" s="25">
        <v>0</v>
      </c>
      <c r="C16" s="26">
        <v>0</v>
      </c>
      <c r="D16" s="127">
        <f t="shared" si="4"/>
        <v>0</v>
      </c>
      <c r="E16" s="26">
        <f>VLOOKUP(A16,[8]進出口值表查詢結果!$B$10:$D$21,3,0)</f>
        <v>1</v>
      </c>
      <c r="F16" s="22">
        <v>91</v>
      </c>
      <c r="G16" s="26">
        <f>VLOOKUP(A16,[8]進出口值表查詢結果!$B$10:$D$21,2,0)</f>
        <v>63</v>
      </c>
      <c r="H16" s="22">
        <f t="shared" si="3"/>
        <v>1.117487887229508E-5</v>
      </c>
      <c r="I16" s="130">
        <f t="shared" si="1"/>
        <v>63</v>
      </c>
    </row>
    <row r="17" spans="1:9">
      <c r="A17" s="29" t="s">
        <v>17</v>
      </c>
      <c r="B17" s="25">
        <f>VLOOKUP(A17,[7]進出口值表查詢結果!$B$10:$D$20,3,0)</f>
        <v>4</v>
      </c>
      <c r="C17" s="26">
        <f>VLOOKUP(A17,[7]進出口值表查詢結果!$B$10:$D$20,2,0)</f>
        <v>1330</v>
      </c>
      <c r="D17" s="127">
        <f t="shared" si="4"/>
        <v>332.5</v>
      </c>
      <c r="E17" s="26">
        <f>VLOOKUP(A17,[8]進出口值表查詢結果!$B$10:$D$21,3,0)</f>
        <v>10</v>
      </c>
      <c r="F17" s="26">
        <v>122</v>
      </c>
      <c r="G17" s="26">
        <f>VLOOKUP(A17,[8]進出口值表查詢結果!$B$10:$D$21,2,0)</f>
        <v>2821</v>
      </c>
      <c r="H17" s="22">
        <f t="shared" si="3"/>
        <v>5.0038624283721303E-4</v>
      </c>
      <c r="I17" s="130">
        <f t="shared" si="1"/>
        <v>282.10000000000002</v>
      </c>
    </row>
    <row r="18" spans="1:9">
      <c r="A18" s="29" t="s">
        <v>18</v>
      </c>
      <c r="B18" s="25">
        <v>0</v>
      </c>
      <c r="C18" s="26">
        <v>0</v>
      </c>
      <c r="D18" s="127">
        <f t="shared" si="4"/>
        <v>0</v>
      </c>
      <c r="E18" s="26">
        <v>0</v>
      </c>
      <c r="F18" s="22">
        <v>0</v>
      </c>
      <c r="G18" s="26">
        <v>0</v>
      </c>
      <c r="H18" s="22">
        <f t="shared" si="3"/>
        <v>0</v>
      </c>
      <c r="I18" s="130">
        <f t="shared" si="1"/>
        <v>0</v>
      </c>
    </row>
    <row r="19" spans="1:9">
      <c r="A19" s="24" t="s">
        <v>326</v>
      </c>
      <c r="B19" s="25">
        <v>0</v>
      </c>
      <c r="C19" s="26">
        <v>0</v>
      </c>
      <c r="D19" s="127">
        <f t="shared" si="4"/>
        <v>0</v>
      </c>
      <c r="E19" s="26">
        <v>0</v>
      </c>
      <c r="F19" s="22">
        <v>0</v>
      </c>
      <c r="G19" s="26">
        <v>0</v>
      </c>
      <c r="H19" s="22">
        <f t="shared" si="3"/>
        <v>0</v>
      </c>
      <c r="I19" s="130">
        <f t="shared" si="1"/>
        <v>0</v>
      </c>
    </row>
    <row r="20" spans="1:9">
      <c r="A20" s="29" t="s">
        <v>67</v>
      </c>
      <c r="B20" s="25">
        <v>0</v>
      </c>
      <c r="C20" s="26">
        <v>0</v>
      </c>
      <c r="D20" s="127">
        <f t="shared" si="4"/>
        <v>0</v>
      </c>
      <c r="E20" s="26">
        <v>0</v>
      </c>
      <c r="F20" s="22">
        <v>0</v>
      </c>
      <c r="G20" s="26">
        <v>0</v>
      </c>
      <c r="H20" s="22">
        <f t="shared" si="3"/>
        <v>0</v>
      </c>
      <c r="I20" s="130">
        <f t="shared" si="1"/>
        <v>0</v>
      </c>
    </row>
    <row r="21" spans="1:9">
      <c r="A21" s="24" t="s">
        <v>327</v>
      </c>
      <c r="B21" s="25">
        <v>0</v>
      </c>
      <c r="C21" s="26">
        <v>0</v>
      </c>
      <c r="D21" s="127">
        <f t="shared" si="4"/>
        <v>0</v>
      </c>
      <c r="E21" s="26">
        <v>0</v>
      </c>
      <c r="F21" s="22">
        <v>0</v>
      </c>
      <c r="G21" s="26">
        <v>0</v>
      </c>
      <c r="H21" s="22">
        <f t="shared" si="3"/>
        <v>0</v>
      </c>
      <c r="I21" s="130">
        <f t="shared" si="1"/>
        <v>0</v>
      </c>
    </row>
    <row r="22" spans="1:9">
      <c r="A22" s="29" t="s">
        <v>22</v>
      </c>
      <c r="B22" s="25">
        <v>0</v>
      </c>
      <c r="C22" s="26">
        <v>0</v>
      </c>
      <c r="D22" s="127">
        <f t="shared" si="4"/>
        <v>0</v>
      </c>
      <c r="E22" s="26">
        <v>0</v>
      </c>
      <c r="F22" s="22">
        <v>0</v>
      </c>
      <c r="G22" s="26">
        <v>0</v>
      </c>
      <c r="H22" s="22">
        <f t="shared" si="3"/>
        <v>0</v>
      </c>
      <c r="I22" s="130">
        <f t="shared" si="1"/>
        <v>0</v>
      </c>
    </row>
    <row r="23" spans="1:9">
      <c r="A23" s="29" t="s">
        <v>23</v>
      </c>
      <c r="B23" s="25">
        <v>0</v>
      </c>
      <c r="C23" s="26">
        <v>0</v>
      </c>
      <c r="D23" s="127">
        <f t="shared" si="4"/>
        <v>0</v>
      </c>
      <c r="E23" s="26">
        <v>0</v>
      </c>
      <c r="F23" s="22">
        <v>0</v>
      </c>
      <c r="G23" s="26">
        <v>0</v>
      </c>
      <c r="H23" s="22">
        <f t="shared" si="3"/>
        <v>0</v>
      </c>
      <c r="I23" s="130">
        <f t="shared" si="1"/>
        <v>0</v>
      </c>
    </row>
    <row r="24" spans="1:9">
      <c r="A24" s="29" t="s">
        <v>24</v>
      </c>
      <c r="B24" s="25">
        <v>0</v>
      </c>
      <c r="C24" s="26">
        <v>0</v>
      </c>
      <c r="D24" s="127">
        <f t="shared" si="4"/>
        <v>0</v>
      </c>
      <c r="E24" s="26">
        <v>0</v>
      </c>
      <c r="F24" s="22">
        <v>2024</v>
      </c>
      <c r="G24" s="26">
        <v>0</v>
      </c>
      <c r="H24" s="22">
        <f t="shared" si="3"/>
        <v>0</v>
      </c>
      <c r="I24" s="130">
        <f t="shared" si="1"/>
        <v>0</v>
      </c>
    </row>
    <row r="25" spans="1:9">
      <c r="A25" s="24" t="s">
        <v>328</v>
      </c>
      <c r="B25" s="25">
        <v>0</v>
      </c>
      <c r="C25" s="26">
        <v>0</v>
      </c>
      <c r="D25" s="127">
        <f t="shared" si="4"/>
        <v>0</v>
      </c>
      <c r="E25" s="26">
        <v>0</v>
      </c>
      <c r="F25" s="22">
        <v>0</v>
      </c>
      <c r="G25" s="26">
        <v>0</v>
      </c>
      <c r="H25" s="22">
        <f t="shared" si="3"/>
        <v>0</v>
      </c>
      <c r="I25" s="130">
        <f t="shared" si="1"/>
        <v>0</v>
      </c>
    </row>
    <row r="26" spans="1:9">
      <c r="A26" s="24" t="s">
        <v>329</v>
      </c>
      <c r="B26" s="25">
        <v>0</v>
      </c>
      <c r="C26" s="26">
        <v>0</v>
      </c>
      <c r="D26" s="127">
        <f t="shared" si="4"/>
        <v>0</v>
      </c>
      <c r="E26" s="26">
        <v>0</v>
      </c>
      <c r="F26" s="22">
        <v>0</v>
      </c>
      <c r="G26" s="26">
        <v>0</v>
      </c>
      <c r="H26" s="22">
        <f t="shared" si="3"/>
        <v>0</v>
      </c>
      <c r="I26" s="130">
        <f t="shared" si="1"/>
        <v>0</v>
      </c>
    </row>
    <row r="27" spans="1:9">
      <c r="A27" s="546" t="s">
        <v>344</v>
      </c>
      <c r="B27" s="25">
        <v>0</v>
      </c>
      <c r="C27" s="26">
        <v>0</v>
      </c>
      <c r="D27" s="127">
        <f t="shared" si="4"/>
        <v>0</v>
      </c>
      <c r="E27" s="26">
        <v>0</v>
      </c>
      <c r="F27" s="22">
        <v>0</v>
      </c>
      <c r="G27" s="26">
        <v>0</v>
      </c>
      <c r="H27" s="22">
        <f t="shared" si="3"/>
        <v>0</v>
      </c>
      <c r="I27" s="130">
        <f t="shared" si="1"/>
        <v>0</v>
      </c>
    </row>
    <row r="28" spans="1:9">
      <c r="A28" s="546" t="s">
        <v>343</v>
      </c>
      <c r="B28" s="25">
        <v>0</v>
      </c>
      <c r="C28" s="26">
        <v>0</v>
      </c>
      <c r="D28" s="127">
        <f t="shared" si="4"/>
        <v>0</v>
      </c>
      <c r="E28" s="26">
        <v>0</v>
      </c>
      <c r="F28" s="22">
        <v>0</v>
      </c>
      <c r="G28" s="26">
        <v>0</v>
      </c>
      <c r="H28" s="22">
        <f t="shared" si="3"/>
        <v>0</v>
      </c>
      <c r="I28" s="130">
        <f t="shared" si="1"/>
        <v>0</v>
      </c>
    </row>
    <row r="29" spans="1:9">
      <c r="A29" s="101" t="s">
        <v>68</v>
      </c>
      <c r="B29" s="25">
        <v>0</v>
      </c>
      <c r="C29" s="26">
        <v>0</v>
      </c>
      <c r="D29" s="127">
        <f t="shared" si="4"/>
        <v>0</v>
      </c>
      <c r="E29" s="26">
        <v>0</v>
      </c>
      <c r="F29" s="22">
        <v>0</v>
      </c>
      <c r="G29" s="26">
        <v>0</v>
      </c>
      <c r="H29" s="22">
        <f t="shared" si="3"/>
        <v>0</v>
      </c>
      <c r="I29" s="130">
        <f t="shared" si="1"/>
        <v>0</v>
      </c>
    </row>
    <row r="30" spans="1:9">
      <c r="A30" s="101" t="s">
        <v>69</v>
      </c>
      <c r="B30" s="25">
        <v>0</v>
      </c>
      <c r="C30" s="26">
        <v>0</v>
      </c>
      <c r="D30" s="127">
        <f t="shared" si="4"/>
        <v>0</v>
      </c>
      <c r="E30" s="26">
        <v>0</v>
      </c>
      <c r="F30" s="22">
        <v>0</v>
      </c>
      <c r="G30" s="26">
        <v>0</v>
      </c>
      <c r="H30" s="22">
        <f t="shared" si="3"/>
        <v>0</v>
      </c>
      <c r="I30" s="130">
        <f t="shared" si="1"/>
        <v>0</v>
      </c>
    </row>
    <row r="31" spans="1:9">
      <c r="A31" s="101" t="s">
        <v>70</v>
      </c>
      <c r="B31" s="25">
        <v>0</v>
      </c>
      <c r="C31" s="26">
        <v>0</v>
      </c>
      <c r="D31" s="127">
        <f t="shared" si="4"/>
        <v>0</v>
      </c>
      <c r="E31" s="26">
        <v>0</v>
      </c>
      <c r="F31" s="22">
        <v>0</v>
      </c>
      <c r="G31" s="26">
        <v>0</v>
      </c>
      <c r="H31" s="22">
        <f t="shared" si="3"/>
        <v>0</v>
      </c>
      <c r="I31" s="130">
        <f t="shared" si="1"/>
        <v>0</v>
      </c>
    </row>
    <row r="32" spans="1:9">
      <c r="A32" s="29" t="s">
        <v>30</v>
      </c>
      <c r="B32" s="25">
        <v>0</v>
      </c>
      <c r="C32" s="26">
        <v>0</v>
      </c>
      <c r="D32" s="127">
        <f t="shared" si="4"/>
        <v>0</v>
      </c>
      <c r="E32" s="26">
        <v>0</v>
      </c>
      <c r="F32" s="22">
        <v>0</v>
      </c>
      <c r="G32" s="26">
        <v>0</v>
      </c>
      <c r="H32" s="22">
        <f t="shared" si="3"/>
        <v>0</v>
      </c>
      <c r="I32" s="130">
        <f t="shared" si="1"/>
        <v>0</v>
      </c>
    </row>
    <row r="33" spans="1:9">
      <c r="A33" s="101" t="s">
        <v>71</v>
      </c>
      <c r="B33" s="25">
        <v>0</v>
      </c>
      <c r="C33" s="26">
        <v>0</v>
      </c>
      <c r="D33" s="127">
        <f t="shared" si="4"/>
        <v>0</v>
      </c>
      <c r="E33" s="26">
        <v>0</v>
      </c>
      <c r="F33" s="22">
        <v>0</v>
      </c>
      <c r="G33" s="26">
        <v>0</v>
      </c>
      <c r="H33" s="22">
        <f t="shared" si="3"/>
        <v>0</v>
      </c>
      <c r="I33" s="130">
        <f t="shared" si="1"/>
        <v>0</v>
      </c>
    </row>
    <row r="34" spans="1:9">
      <c r="A34" s="102" t="s">
        <v>72</v>
      </c>
      <c r="B34" s="25">
        <v>0</v>
      </c>
      <c r="C34" s="26">
        <v>0</v>
      </c>
      <c r="D34" s="127">
        <f t="shared" si="4"/>
        <v>0</v>
      </c>
      <c r="E34" s="26">
        <v>0</v>
      </c>
      <c r="F34" s="22">
        <v>0</v>
      </c>
      <c r="G34" s="26">
        <v>0</v>
      </c>
      <c r="H34" s="22">
        <f t="shared" si="3"/>
        <v>0</v>
      </c>
      <c r="I34" s="130">
        <f t="shared" si="1"/>
        <v>0</v>
      </c>
    </row>
    <row r="35" spans="1:9">
      <c r="A35" s="101" t="s">
        <v>73</v>
      </c>
      <c r="B35" s="25">
        <v>0</v>
      </c>
      <c r="C35" s="26">
        <v>0</v>
      </c>
      <c r="D35" s="127">
        <f t="shared" si="4"/>
        <v>0</v>
      </c>
      <c r="E35" s="26">
        <v>0</v>
      </c>
      <c r="F35" s="22">
        <v>0</v>
      </c>
      <c r="G35" s="26">
        <v>0</v>
      </c>
      <c r="H35" s="22">
        <f t="shared" si="3"/>
        <v>0</v>
      </c>
      <c r="I35" s="130">
        <f t="shared" si="1"/>
        <v>0</v>
      </c>
    </row>
    <row r="36" spans="1:9">
      <c r="A36" s="101" t="s">
        <v>74</v>
      </c>
      <c r="B36" s="25">
        <v>0</v>
      </c>
      <c r="C36" s="26">
        <v>0</v>
      </c>
      <c r="D36" s="127">
        <f t="shared" si="4"/>
        <v>0</v>
      </c>
      <c r="E36" s="26">
        <v>0</v>
      </c>
      <c r="F36" s="22">
        <v>0</v>
      </c>
      <c r="G36" s="26">
        <v>0</v>
      </c>
      <c r="H36" s="22">
        <f t="shared" si="3"/>
        <v>0</v>
      </c>
      <c r="I36" s="130">
        <f t="shared" si="1"/>
        <v>0</v>
      </c>
    </row>
    <row r="37" spans="1:9">
      <c r="A37" s="101" t="s">
        <v>91</v>
      </c>
      <c r="B37" s="25">
        <v>0</v>
      </c>
      <c r="C37" s="26">
        <v>0</v>
      </c>
      <c r="D37" s="127">
        <f t="shared" si="4"/>
        <v>0</v>
      </c>
      <c r="E37" s="26">
        <v>0</v>
      </c>
      <c r="F37" s="22">
        <v>0</v>
      </c>
      <c r="G37" s="26">
        <v>0</v>
      </c>
      <c r="H37" s="22">
        <f t="shared" si="3"/>
        <v>0</v>
      </c>
      <c r="I37" s="130">
        <f t="shared" si="1"/>
        <v>0</v>
      </c>
    </row>
    <row r="38" spans="1:9">
      <c r="A38" s="101" t="s">
        <v>92</v>
      </c>
      <c r="B38" s="25">
        <v>0</v>
      </c>
      <c r="C38" s="26">
        <v>0</v>
      </c>
      <c r="D38" s="127">
        <f t="shared" si="4"/>
        <v>0</v>
      </c>
      <c r="E38" s="26">
        <v>0</v>
      </c>
      <c r="F38" s="22">
        <v>0</v>
      </c>
      <c r="G38" s="26">
        <v>0</v>
      </c>
      <c r="H38" s="22">
        <f t="shared" si="3"/>
        <v>0</v>
      </c>
      <c r="I38" s="130">
        <f t="shared" si="1"/>
        <v>0</v>
      </c>
    </row>
    <row r="39" spans="1:9">
      <c r="A39" s="29" t="s">
        <v>37</v>
      </c>
      <c r="B39" s="25">
        <v>0</v>
      </c>
      <c r="C39" s="26">
        <v>0</v>
      </c>
      <c r="D39" s="127">
        <f t="shared" si="4"/>
        <v>0</v>
      </c>
      <c r="E39" s="26">
        <v>0</v>
      </c>
      <c r="F39" s="22">
        <v>0</v>
      </c>
      <c r="G39" s="26">
        <v>0</v>
      </c>
      <c r="H39" s="22">
        <f t="shared" si="3"/>
        <v>0</v>
      </c>
      <c r="I39" s="130">
        <f t="shared" si="1"/>
        <v>0</v>
      </c>
    </row>
    <row r="40" spans="1:9">
      <c r="A40" s="29"/>
      <c r="B40" s="25"/>
      <c r="C40" s="25"/>
      <c r="D40" s="127"/>
      <c r="E40" s="25"/>
      <c r="F40" s="22"/>
      <c r="G40" s="25"/>
      <c r="H40" s="28"/>
      <c r="I40" s="130"/>
    </row>
    <row r="41" spans="1:9">
      <c r="A41" s="32" t="s">
        <v>38</v>
      </c>
      <c r="B41" s="31">
        <f>SUM(B42:B45)</f>
        <v>0</v>
      </c>
      <c r="C41" s="31">
        <f>SUM(C42:C45)</f>
        <v>0</v>
      </c>
      <c r="D41" s="127">
        <f t="shared" si="0"/>
        <v>0</v>
      </c>
      <c r="E41" s="31">
        <f>SUM(E42:E45)</f>
        <v>0</v>
      </c>
      <c r="F41" s="22">
        <v>0</v>
      </c>
      <c r="G41" s="31">
        <f>SUM(G42:G45)</f>
        <v>0</v>
      </c>
      <c r="H41" s="22">
        <f>G41/$G$65</f>
        <v>0</v>
      </c>
      <c r="I41" s="130">
        <f t="shared" si="1"/>
        <v>0</v>
      </c>
    </row>
    <row r="42" spans="1:9">
      <c r="A42" s="24" t="s">
        <v>332</v>
      </c>
      <c r="B42" s="25">
        <v>0</v>
      </c>
      <c r="C42" s="26">
        <v>0</v>
      </c>
      <c r="D42" s="127">
        <f t="shared" si="0"/>
        <v>0</v>
      </c>
      <c r="E42" s="26">
        <v>0</v>
      </c>
      <c r="F42" s="22">
        <v>0</v>
      </c>
      <c r="G42" s="26">
        <v>0</v>
      </c>
      <c r="H42" s="22">
        <f>G42/$G$65</f>
        <v>0</v>
      </c>
      <c r="I42" s="130">
        <f t="shared" si="1"/>
        <v>0</v>
      </c>
    </row>
    <row r="43" spans="1:9">
      <c r="A43" s="24" t="s">
        <v>333</v>
      </c>
      <c r="B43" s="25">
        <v>0</v>
      </c>
      <c r="C43" s="26">
        <v>0</v>
      </c>
      <c r="D43" s="127">
        <f t="shared" si="0"/>
        <v>0</v>
      </c>
      <c r="E43" s="26">
        <v>0</v>
      </c>
      <c r="F43" s="22">
        <v>0</v>
      </c>
      <c r="G43" s="26">
        <v>0</v>
      </c>
      <c r="H43" s="22">
        <f>G43/$G$65</f>
        <v>0</v>
      </c>
      <c r="I43" s="130">
        <f t="shared" si="1"/>
        <v>0</v>
      </c>
    </row>
    <row r="44" spans="1:9">
      <c r="A44" s="24" t="s">
        <v>334</v>
      </c>
      <c r="B44" s="25">
        <v>0</v>
      </c>
      <c r="C44" s="26">
        <v>0</v>
      </c>
      <c r="D44" s="127">
        <f t="shared" si="0"/>
        <v>0</v>
      </c>
      <c r="E44" s="26">
        <v>0</v>
      </c>
      <c r="F44" s="22">
        <v>0</v>
      </c>
      <c r="G44" s="26">
        <v>0</v>
      </c>
      <c r="H44" s="22">
        <f>G44/$G$65</f>
        <v>0</v>
      </c>
      <c r="I44" s="130">
        <f t="shared" si="1"/>
        <v>0</v>
      </c>
    </row>
    <row r="45" spans="1:9">
      <c r="A45" s="29" t="s">
        <v>42</v>
      </c>
      <c r="B45" s="25">
        <v>0</v>
      </c>
      <c r="C45" s="26">
        <v>0</v>
      </c>
      <c r="D45" s="127">
        <f t="shared" si="0"/>
        <v>0</v>
      </c>
      <c r="E45" s="26">
        <v>0</v>
      </c>
      <c r="F45" s="22">
        <v>0</v>
      </c>
      <c r="G45" s="26">
        <v>0</v>
      </c>
      <c r="H45" s="22">
        <f>G45/$G$65</f>
        <v>0</v>
      </c>
      <c r="I45" s="130">
        <f t="shared" si="1"/>
        <v>0</v>
      </c>
    </row>
    <row r="46" spans="1:9">
      <c r="A46" s="29"/>
      <c r="B46" s="25"/>
      <c r="C46" s="25"/>
      <c r="D46" s="127"/>
      <c r="E46" s="25"/>
      <c r="F46" s="28"/>
      <c r="G46" s="25"/>
      <c r="H46" s="28"/>
      <c r="I46" s="130"/>
    </row>
    <row r="47" spans="1:9">
      <c r="A47" s="32" t="s">
        <v>43</v>
      </c>
      <c r="B47" s="31">
        <f>SUM(B48:B63)</f>
        <v>14975</v>
      </c>
      <c r="C47" s="31">
        <f>SUM(C48:C63)</f>
        <v>1554404</v>
      </c>
      <c r="D47" s="127">
        <f t="shared" si="0"/>
        <v>103.79993322203673</v>
      </c>
      <c r="E47" s="31">
        <f>SUM(E48:E63)</f>
        <v>36599</v>
      </c>
      <c r="F47" s="31">
        <f>SUM(F48:F63)</f>
        <v>3813148</v>
      </c>
      <c r="G47" s="31">
        <f>SUM(G48:G63)</f>
        <v>4276254</v>
      </c>
      <c r="H47" s="22">
        <f t="shared" ref="H47:H65" si="5">G47/$G$65</f>
        <v>0.75851778535186232</v>
      </c>
      <c r="I47" s="130">
        <f t="shared" si="1"/>
        <v>116.84073335337031</v>
      </c>
    </row>
    <row r="48" spans="1:9">
      <c r="A48" s="24" t="s">
        <v>324</v>
      </c>
      <c r="B48" s="25">
        <f>VLOOKUP(A48,[7]進出口值表查詢結果!$B$10:$D$20,3,0)</f>
        <v>1</v>
      </c>
      <c r="C48" s="26">
        <f>VLOOKUP(A48,[7]進出口值表查詢結果!$B$10:$D$20,2,0)</f>
        <v>25</v>
      </c>
      <c r="D48" s="127">
        <f t="shared" si="0"/>
        <v>25</v>
      </c>
      <c r="E48" s="26">
        <f>VLOOKUP(A48,[8]進出口值表查詢結果!$B$10:$D$21,3,0)</f>
        <v>2</v>
      </c>
      <c r="F48" s="22">
        <v>53342</v>
      </c>
      <c r="G48" s="26">
        <f>VLOOKUP(A48,[8]進出口值表查詢結果!$B$10:$D$21,2,0)</f>
        <v>57</v>
      </c>
      <c r="H48" s="22">
        <f t="shared" si="5"/>
        <v>1.0110604693981263E-5</v>
      </c>
      <c r="I48" s="130">
        <f t="shared" si="1"/>
        <v>28.5</v>
      </c>
    </row>
    <row r="49" spans="1:9">
      <c r="A49" s="24" t="s">
        <v>335</v>
      </c>
      <c r="B49" s="25">
        <f>VLOOKUP(A49,[7]進出口值表查詢結果!$B$10:$D$20,3,0)</f>
        <v>8</v>
      </c>
      <c r="C49" s="26">
        <f>VLOOKUP(A49,[7]進出口值表查詢結果!$B$10:$D$20,2,0)</f>
        <v>1926</v>
      </c>
      <c r="D49" s="127">
        <f t="shared" ref="D49:D63" si="6">IF(B49,C49/B49,0)</f>
        <v>240.75</v>
      </c>
      <c r="E49" s="26">
        <f>VLOOKUP(A49,[8]進出口值表查詢結果!$B$10:$D$21,3,0)</f>
        <v>25</v>
      </c>
      <c r="F49" s="22">
        <v>9408</v>
      </c>
      <c r="G49" s="26">
        <f>VLOOKUP(A49,[8]進出口值表查詢結果!$B$10:$D$21,2,0)</f>
        <v>5479</v>
      </c>
      <c r="H49" s="22">
        <f t="shared" si="5"/>
        <v>9.7185970383023405E-4</v>
      </c>
      <c r="I49" s="130">
        <f t="shared" si="1"/>
        <v>219.16</v>
      </c>
    </row>
    <row r="50" spans="1:9">
      <c r="A50" s="24" t="s">
        <v>341</v>
      </c>
      <c r="B50" s="25">
        <v>0</v>
      </c>
      <c r="C50" s="26">
        <v>0</v>
      </c>
      <c r="D50" s="127">
        <f t="shared" si="6"/>
        <v>0</v>
      </c>
      <c r="E50" s="26">
        <v>0</v>
      </c>
      <c r="F50" s="22">
        <v>0</v>
      </c>
      <c r="G50" s="26">
        <v>0</v>
      </c>
      <c r="H50" s="22">
        <f t="shared" si="5"/>
        <v>0</v>
      </c>
      <c r="I50" s="130">
        <f t="shared" si="1"/>
        <v>0</v>
      </c>
    </row>
    <row r="51" spans="1:9">
      <c r="A51" s="24" t="s">
        <v>336</v>
      </c>
      <c r="B51" s="25">
        <v>0</v>
      </c>
      <c r="C51" s="26">
        <v>0</v>
      </c>
      <c r="D51" s="127">
        <f t="shared" si="6"/>
        <v>0</v>
      </c>
      <c r="E51" s="26">
        <v>0</v>
      </c>
      <c r="F51" s="22">
        <v>0</v>
      </c>
      <c r="G51" s="26">
        <v>0</v>
      </c>
      <c r="H51" s="22">
        <f t="shared" si="5"/>
        <v>0</v>
      </c>
      <c r="I51" s="130">
        <f t="shared" si="1"/>
        <v>0</v>
      </c>
    </row>
    <row r="52" spans="1:9">
      <c r="A52" s="29" t="s">
        <v>47</v>
      </c>
      <c r="B52" s="25">
        <v>0</v>
      </c>
      <c r="C52" s="26">
        <v>0</v>
      </c>
      <c r="D52" s="127">
        <f t="shared" si="6"/>
        <v>0</v>
      </c>
      <c r="E52" s="26">
        <v>0</v>
      </c>
      <c r="F52" s="22">
        <v>0</v>
      </c>
      <c r="G52" s="26">
        <v>0</v>
      </c>
      <c r="H52" s="22">
        <f t="shared" si="5"/>
        <v>0</v>
      </c>
      <c r="I52" s="130">
        <f t="shared" si="1"/>
        <v>0</v>
      </c>
    </row>
    <row r="53" spans="1:9">
      <c r="A53" s="24" t="s">
        <v>337</v>
      </c>
      <c r="B53" s="25">
        <v>0</v>
      </c>
      <c r="C53" s="26">
        <v>0</v>
      </c>
      <c r="D53" s="127">
        <f t="shared" si="6"/>
        <v>0</v>
      </c>
      <c r="E53" s="26">
        <v>0</v>
      </c>
      <c r="F53" s="22">
        <v>0</v>
      </c>
      <c r="G53" s="26">
        <v>0</v>
      </c>
      <c r="H53" s="22">
        <f t="shared" si="5"/>
        <v>0</v>
      </c>
      <c r="I53" s="130">
        <f t="shared" si="1"/>
        <v>0</v>
      </c>
    </row>
    <row r="54" spans="1:9">
      <c r="A54" s="29" t="s">
        <v>49</v>
      </c>
      <c r="B54" s="25">
        <v>0</v>
      </c>
      <c r="C54" s="26">
        <v>0</v>
      </c>
      <c r="D54" s="127">
        <f t="shared" si="6"/>
        <v>0</v>
      </c>
      <c r="E54" s="26">
        <v>0</v>
      </c>
      <c r="F54" s="22"/>
      <c r="G54" s="26">
        <v>0</v>
      </c>
      <c r="H54" s="22">
        <f t="shared" si="5"/>
        <v>0</v>
      </c>
      <c r="I54" s="130">
        <f t="shared" si="1"/>
        <v>0</v>
      </c>
    </row>
    <row r="55" spans="1:9">
      <c r="A55" s="29" t="s">
        <v>50</v>
      </c>
      <c r="B55" s="25">
        <v>0</v>
      </c>
      <c r="C55" s="26">
        <v>0</v>
      </c>
      <c r="D55" s="127">
        <f t="shared" si="6"/>
        <v>0</v>
      </c>
      <c r="E55" s="26">
        <v>0</v>
      </c>
      <c r="F55" s="22">
        <v>0</v>
      </c>
      <c r="G55" s="26">
        <v>0</v>
      </c>
      <c r="H55" s="22">
        <f t="shared" si="5"/>
        <v>0</v>
      </c>
      <c r="I55" s="130">
        <f t="shared" si="1"/>
        <v>0</v>
      </c>
    </row>
    <row r="56" spans="1:9">
      <c r="A56" s="543" t="s">
        <v>101</v>
      </c>
      <c r="B56" s="25">
        <v>0</v>
      </c>
      <c r="C56" s="26">
        <v>0</v>
      </c>
      <c r="D56" s="127">
        <f t="shared" si="6"/>
        <v>0</v>
      </c>
      <c r="E56" s="26">
        <v>0</v>
      </c>
      <c r="F56" s="22"/>
      <c r="G56" s="26">
        <v>0</v>
      </c>
      <c r="H56" s="22">
        <f t="shared" si="5"/>
        <v>0</v>
      </c>
      <c r="I56" s="130">
        <f t="shared" si="1"/>
        <v>0</v>
      </c>
    </row>
    <row r="57" spans="1:9">
      <c r="A57" s="544" t="s">
        <v>340</v>
      </c>
      <c r="B57" s="25">
        <v>0</v>
      </c>
      <c r="C57" s="26">
        <v>0</v>
      </c>
      <c r="D57" s="127">
        <f t="shared" si="6"/>
        <v>0</v>
      </c>
      <c r="E57" s="26">
        <v>0</v>
      </c>
      <c r="F57" s="22"/>
      <c r="G57" s="26">
        <v>0</v>
      </c>
      <c r="H57" s="22">
        <f t="shared" si="5"/>
        <v>0</v>
      </c>
      <c r="I57" s="130">
        <f t="shared" si="1"/>
        <v>0</v>
      </c>
    </row>
    <row r="58" spans="1:9">
      <c r="A58" s="543" t="s">
        <v>345</v>
      </c>
      <c r="B58" s="25">
        <f>VLOOKUP(A58,[7]進出口值表查詢結果!$B$10:$D$20,3,0)</f>
        <v>18</v>
      </c>
      <c r="C58" s="26">
        <f>VLOOKUP(A58,[7]進出口值表查詢結果!$B$10:$D$20,2,0)</f>
        <v>14380</v>
      </c>
      <c r="D58" s="127">
        <f t="shared" si="6"/>
        <v>798.88888888888891</v>
      </c>
      <c r="E58" s="26">
        <f>VLOOKUP(A58,[8]進出口值表查詢結果!$B$10:$D$21,3,0)</f>
        <v>246</v>
      </c>
      <c r="F58" s="22">
        <v>297687</v>
      </c>
      <c r="G58" s="26">
        <f>VLOOKUP(A58,[8]進出口值表查詢結果!$B$10:$D$21,2,0)</f>
        <v>184948</v>
      </c>
      <c r="H58" s="22">
        <f t="shared" si="5"/>
        <v>3.2805896788463976E-2</v>
      </c>
      <c r="I58" s="130">
        <f t="shared" si="1"/>
        <v>751.82113821138216</v>
      </c>
    </row>
    <row r="59" spans="1:9">
      <c r="A59" s="29" t="s">
        <v>94</v>
      </c>
      <c r="B59" s="25">
        <f>VLOOKUP(A59,[7]進出口值表查詢結果!$B$10:$D$20,3,0)</f>
        <v>28</v>
      </c>
      <c r="C59" s="26">
        <f>VLOOKUP(A59,[7]進出口值表查詢結果!$B$10:$D$20,2,0)</f>
        <v>28096</v>
      </c>
      <c r="D59" s="127">
        <f t="shared" si="6"/>
        <v>1003.4285714285714</v>
      </c>
      <c r="E59" s="26">
        <f>VLOOKUP(A59,[8]進出口值表查詢結果!$B$10:$D$21,3,0)</f>
        <v>29</v>
      </c>
      <c r="F59" s="22">
        <v>46594</v>
      </c>
      <c r="G59" s="26">
        <f>VLOOKUP(A59,[8]進出口值表查詢結果!$B$10:$D$21,2,0)</f>
        <v>28921</v>
      </c>
      <c r="H59" s="22">
        <f t="shared" si="5"/>
        <v>5.1299789185023179E-3</v>
      </c>
      <c r="I59" s="130">
        <f t="shared" si="1"/>
        <v>997.27586206896547</v>
      </c>
    </row>
    <row r="60" spans="1:9">
      <c r="A60" s="29" t="s">
        <v>56</v>
      </c>
      <c r="B60" s="25">
        <v>0</v>
      </c>
      <c r="C60" s="26">
        <v>0</v>
      </c>
      <c r="D60" s="127">
        <f t="shared" si="6"/>
        <v>0</v>
      </c>
      <c r="E60" s="26">
        <v>0</v>
      </c>
      <c r="F60" s="22">
        <v>0</v>
      </c>
      <c r="G60" s="26">
        <v>0</v>
      </c>
      <c r="H60" s="22">
        <f t="shared" si="5"/>
        <v>0</v>
      </c>
      <c r="I60" s="130">
        <f t="shared" si="1"/>
        <v>0</v>
      </c>
    </row>
    <row r="61" spans="1:9">
      <c r="A61" s="29" t="s">
        <v>95</v>
      </c>
      <c r="B61" s="25">
        <f>VLOOKUP(A61,[7]進出口值表查詢結果!$B$10:$D$20,3,0)</f>
        <v>14920</v>
      </c>
      <c r="C61" s="26">
        <f>VLOOKUP(A61,[7]進出口值表查詢結果!$B$10:$D$20,2,0)</f>
        <v>1509977</v>
      </c>
      <c r="D61" s="127">
        <f t="shared" si="6"/>
        <v>101.20489276139411</v>
      </c>
      <c r="E61" s="26">
        <f>VLOOKUP(A61,[8]進出口值表查詢結果!$B$10:$D$21,3,0)</f>
        <v>36297</v>
      </c>
      <c r="F61" s="22">
        <v>3406117</v>
      </c>
      <c r="G61" s="26">
        <f>VLOOKUP(A61,[8]進出口值表查詢結果!$B$10:$D$21,2,0)</f>
        <v>4056849</v>
      </c>
      <c r="H61" s="22">
        <f t="shared" si="5"/>
        <v>0.71959993933637179</v>
      </c>
      <c r="I61" s="130">
        <f t="shared" si="1"/>
        <v>111.76816265807092</v>
      </c>
    </row>
    <row r="62" spans="1:9">
      <c r="A62" s="543" t="s">
        <v>107</v>
      </c>
      <c r="B62" s="25">
        <v>0</v>
      </c>
      <c r="C62" s="26">
        <v>0</v>
      </c>
      <c r="D62" s="127">
        <f t="shared" si="6"/>
        <v>0</v>
      </c>
      <c r="E62" s="26">
        <v>0</v>
      </c>
      <c r="F62" s="22">
        <v>0</v>
      </c>
      <c r="G62" s="26">
        <v>0</v>
      </c>
      <c r="H62" s="22">
        <f t="shared" si="5"/>
        <v>0</v>
      </c>
      <c r="I62" s="130">
        <f t="shared" si="1"/>
        <v>0</v>
      </c>
    </row>
    <row r="63" spans="1:9">
      <c r="A63" s="543" t="s">
        <v>346</v>
      </c>
      <c r="B63" s="25">
        <v>0</v>
      </c>
      <c r="C63" s="26">
        <v>0</v>
      </c>
      <c r="D63" s="127">
        <f t="shared" si="6"/>
        <v>0</v>
      </c>
      <c r="E63" s="26">
        <v>0</v>
      </c>
      <c r="F63" s="22">
        <v>0</v>
      </c>
      <c r="G63" s="26">
        <v>0</v>
      </c>
      <c r="H63" s="22">
        <f t="shared" si="5"/>
        <v>0</v>
      </c>
      <c r="I63" s="130">
        <f t="shared" si="1"/>
        <v>0</v>
      </c>
    </row>
    <row r="64" spans="1:9">
      <c r="A64" s="29" t="s">
        <v>97</v>
      </c>
      <c r="B64" s="25">
        <f>B65-B47-B41-B12-B7</f>
        <v>6</v>
      </c>
      <c r="C64" s="25">
        <f>C65-C47-C41-C12-C7</f>
        <v>22900</v>
      </c>
      <c r="D64" s="153">
        <f t="shared" si="0"/>
        <v>3816.6666666666665</v>
      </c>
      <c r="E64" s="25">
        <f>E65-E47-E41-E12-E7</f>
        <v>321</v>
      </c>
      <c r="F64" s="25">
        <f>F65-F47-F41-F12-F7</f>
        <v>-934555</v>
      </c>
      <c r="G64" s="25">
        <f>G65-G47-G41-G12-G7</f>
        <v>1242279</v>
      </c>
      <c r="H64" s="56">
        <f t="shared" si="5"/>
        <v>0.22035424366025175</v>
      </c>
      <c r="I64" s="153">
        <f t="shared" si="1"/>
        <v>3870.0280373831774</v>
      </c>
    </row>
    <row r="65" spans="1:9">
      <c r="A65" s="30" t="s">
        <v>398</v>
      </c>
      <c r="B65" s="25">
        <f>VLOOKUP(A65,[7]進出口值表查詢結果!$B$10:$D$20,3,0)</f>
        <v>15004</v>
      </c>
      <c r="C65" s="26">
        <f>VLOOKUP(A65,[7]進出口值表查詢結果!$B$10:$D$20,2,0)</f>
        <v>1635047</v>
      </c>
      <c r="D65" s="153">
        <f>C65/B65</f>
        <v>108.97407358037857</v>
      </c>
      <c r="E65" s="26">
        <f>VLOOKUP(A65,[8]進出口值表查詢結果!$B$10:$D$21,3,0)</f>
        <v>36964</v>
      </c>
      <c r="F65" s="25">
        <v>3007371</v>
      </c>
      <c r="G65" s="26">
        <f>VLOOKUP(A65,[8]進出口值表查詢結果!$B$10:$D$21,2,0)</f>
        <v>5637645</v>
      </c>
      <c r="H65" s="56">
        <f t="shared" si="5"/>
        <v>1</v>
      </c>
      <c r="I65" s="153">
        <f t="shared" ref="I65" si="7">G65/E65</f>
        <v>152.51717887674494</v>
      </c>
    </row>
    <row r="66" spans="1:9" ht="8.25" customHeight="1">
      <c r="A66" s="164"/>
      <c r="B66" s="58"/>
      <c r="C66" s="58"/>
      <c r="D66" s="165"/>
      <c r="E66" s="58"/>
      <c r="F66" s="166"/>
      <c r="G66" s="58"/>
      <c r="H66" s="166"/>
      <c r="I66" s="165"/>
    </row>
    <row r="67" spans="1:9">
      <c r="A67" s="38" t="s">
        <v>308</v>
      </c>
      <c r="B67" s="39"/>
      <c r="C67" s="39"/>
      <c r="D67" s="146"/>
      <c r="E67" s="39"/>
      <c r="F67" s="41"/>
      <c r="G67" s="39"/>
      <c r="H67" s="42"/>
      <c r="I67" s="149"/>
    </row>
    <row r="68" spans="1:9" ht="19.5">
      <c r="A68" s="6" t="s">
        <v>472</v>
      </c>
      <c r="B68" s="7" t="s">
        <v>473</v>
      </c>
      <c r="C68" s="7" t="s">
        <v>474</v>
      </c>
      <c r="D68" s="8" t="s">
        <v>1</v>
      </c>
      <c r="E68" s="9" t="s">
        <v>475</v>
      </c>
      <c r="F68" s="10" t="s">
        <v>2</v>
      </c>
      <c r="G68" s="9" t="s">
        <v>476</v>
      </c>
      <c r="H68" s="10" t="s">
        <v>2</v>
      </c>
      <c r="I68" s="157" t="s">
        <v>90</v>
      </c>
    </row>
    <row r="69" spans="1:9">
      <c r="A69" s="48"/>
      <c r="B69" s="49" t="s">
        <v>6</v>
      </c>
      <c r="C69" s="50" t="s">
        <v>5</v>
      </c>
      <c r="D69" s="150" t="s">
        <v>5</v>
      </c>
      <c r="E69" s="49" t="s">
        <v>6</v>
      </c>
      <c r="F69" s="46" t="s">
        <v>6</v>
      </c>
      <c r="G69" s="52" t="s">
        <v>5</v>
      </c>
      <c r="H69" s="53" t="s">
        <v>5</v>
      </c>
      <c r="I69" s="150" t="s">
        <v>5</v>
      </c>
    </row>
    <row r="70" spans="1:9">
      <c r="A70" s="30" t="s">
        <v>58</v>
      </c>
      <c r="B70" s="31">
        <v>536</v>
      </c>
      <c r="C70" s="31">
        <v>35476</v>
      </c>
      <c r="D70" s="153">
        <f>C70/B70</f>
        <v>66.18656716417911</v>
      </c>
      <c r="E70" s="31">
        <v>606</v>
      </c>
      <c r="F70" s="31">
        <v>28582</v>
      </c>
      <c r="G70" s="31">
        <v>49589</v>
      </c>
      <c r="H70" s="56">
        <v>1</v>
      </c>
      <c r="I70" s="153">
        <f>G70/E70</f>
        <v>81.830033003300329</v>
      </c>
    </row>
    <row r="71" spans="1:9" ht="8.25" customHeight="1">
      <c r="A71" s="164"/>
      <c r="B71" s="58"/>
      <c r="C71" s="58"/>
      <c r="D71" s="165"/>
      <c r="E71" s="58"/>
      <c r="F71" s="166"/>
      <c r="G71" s="58"/>
      <c r="H71" s="166"/>
      <c r="I71" s="165"/>
    </row>
    <row r="72" spans="1:9">
      <c r="A72" s="57" t="s">
        <v>454</v>
      </c>
      <c r="B72" s="3"/>
      <c r="C72" s="58"/>
      <c r="D72" s="3"/>
      <c r="E72" s="3"/>
      <c r="F72" s="3"/>
      <c r="G72" s="3"/>
      <c r="H72" s="3"/>
      <c r="I72" s="3"/>
    </row>
    <row r="73" spans="1:9">
      <c r="A73" s="60" t="s">
        <v>60</v>
      </c>
      <c r="B73" s="61"/>
      <c r="C73" s="62"/>
      <c r="D73" s="64"/>
      <c r="E73" s="61"/>
      <c r="F73" s="62"/>
      <c r="G73" s="64"/>
      <c r="H73" s="60"/>
      <c r="I73" s="60"/>
    </row>
  </sheetData>
  <mergeCells count="2">
    <mergeCell ref="A1:I1"/>
    <mergeCell ref="A3:I3"/>
  </mergeCells>
  <phoneticPr fontId="3" type="noConversion"/>
  <pageMargins left="0.7" right="0.7" top="0.75" bottom="0.75" header="0.3" footer="0.3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73"/>
  <sheetViews>
    <sheetView zoomScaleNormal="100" workbookViewId="0">
      <selection activeCell="A2" sqref="A2"/>
    </sheetView>
  </sheetViews>
  <sheetFormatPr defaultRowHeight="16.5"/>
  <cols>
    <col min="1" max="1" width="17.125" customWidth="1"/>
    <col min="2" max="2" width="12.625" customWidth="1"/>
    <col min="3" max="3" width="13.5" customWidth="1"/>
    <col min="4" max="4" width="11.75" customWidth="1"/>
    <col min="5" max="5" width="15.25" customWidth="1"/>
    <col min="6" max="6" width="14.875" customWidth="1"/>
    <col min="7" max="7" width="12" customWidth="1"/>
    <col min="8" max="8" width="12.5" customWidth="1"/>
    <col min="9" max="9" width="12.625" customWidth="1"/>
    <col min="10" max="10" width="10.75" customWidth="1"/>
  </cols>
  <sheetData>
    <row r="1" spans="1:10" ht="23.25">
      <c r="A1" s="1" t="s">
        <v>480</v>
      </c>
      <c r="B1" s="66"/>
      <c r="C1" s="67"/>
      <c r="D1" s="68"/>
      <c r="E1" s="66"/>
      <c r="F1" s="67"/>
      <c r="G1" s="68"/>
      <c r="H1" s="69"/>
      <c r="I1" s="70"/>
      <c r="J1" s="68"/>
    </row>
    <row r="2" spans="1:10" ht="7.5" customHeight="1">
      <c r="A2" s="3"/>
      <c r="B2" s="4"/>
      <c r="C2" s="71"/>
      <c r="D2" s="72"/>
      <c r="E2" s="4"/>
      <c r="F2" s="71"/>
      <c r="G2" s="72"/>
      <c r="H2" s="73"/>
      <c r="I2" s="74"/>
      <c r="J2" s="72"/>
    </row>
    <row r="3" spans="1:10">
      <c r="A3" s="760" t="s">
        <v>0</v>
      </c>
      <c r="B3" s="761"/>
      <c r="C3" s="761"/>
      <c r="D3" s="761"/>
      <c r="E3" s="761"/>
      <c r="F3" s="761"/>
      <c r="G3" s="761"/>
      <c r="H3" s="761"/>
      <c r="I3" s="761"/>
      <c r="J3" s="762"/>
    </row>
    <row r="4" spans="1:10">
      <c r="A4" s="75" t="s">
        <v>478</v>
      </c>
      <c r="B4" s="6" t="s">
        <v>448</v>
      </c>
      <c r="C4" s="76" t="s">
        <v>449</v>
      </c>
      <c r="D4" s="77" t="s">
        <v>61</v>
      </c>
      <c r="E4" s="6" t="s">
        <v>448</v>
      </c>
      <c r="F4" s="76" t="s">
        <v>449</v>
      </c>
      <c r="G4" s="78" t="s">
        <v>317</v>
      </c>
      <c r="H4" s="6" t="s">
        <v>448</v>
      </c>
      <c r="I4" s="76" t="s">
        <v>449</v>
      </c>
      <c r="J4" s="78" t="s">
        <v>319</v>
      </c>
    </row>
    <row r="5" spans="1:10">
      <c r="A5" s="12"/>
      <c r="B5" s="6" t="s">
        <v>62</v>
      </c>
      <c r="C5" s="79" t="s">
        <v>62</v>
      </c>
      <c r="D5" s="539" t="s">
        <v>2</v>
      </c>
      <c r="E5" s="81" t="s">
        <v>63</v>
      </c>
      <c r="F5" s="79" t="s">
        <v>63</v>
      </c>
      <c r="G5" s="540" t="s">
        <v>2</v>
      </c>
      <c r="H5" s="82" t="s">
        <v>64</v>
      </c>
      <c r="I5" s="83" t="s">
        <v>65</v>
      </c>
      <c r="J5" s="539" t="s">
        <v>2</v>
      </c>
    </row>
    <row r="6" spans="1:10">
      <c r="A6" s="84" t="s">
        <v>7</v>
      </c>
      <c r="B6" s="16"/>
      <c r="C6" s="85"/>
      <c r="D6" s="86"/>
      <c r="E6" s="16"/>
      <c r="F6" s="85"/>
      <c r="G6" s="86"/>
      <c r="H6" s="87"/>
      <c r="I6" s="88"/>
      <c r="J6" s="86"/>
    </row>
    <row r="7" spans="1:10">
      <c r="A7" s="84" t="s">
        <v>8</v>
      </c>
      <c r="B7" s="21">
        <f>SUM(B8:B10)</f>
        <v>16</v>
      </c>
      <c r="C7" s="89">
        <f>SUM(C8:C10)</f>
        <v>1</v>
      </c>
      <c r="D7" s="94">
        <f>IF(C7,(B7-C7)/C7,0)</f>
        <v>15</v>
      </c>
      <c r="E7" s="21">
        <f>SUM(E8:E10)</f>
        <v>29181</v>
      </c>
      <c r="F7" s="89">
        <f>SUM(F8:F10)</f>
        <v>122</v>
      </c>
      <c r="G7" s="90">
        <f t="shared" ref="G7:G10" si="0">IF(F7,(E7-F7)/F7,0)</f>
        <v>238.18852459016392</v>
      </c>
      <c r="H7" s="91">
        <f>IF(B7,E7/B7,0)</f>
        <v>1823.8125</v>
      </c>
      <c r="I7" s="92">
        <f>IF(C7,F7/C7,0)</f>
        <v>122</v>
      </c>
      <c r="J7" s="90">
        <f>IF(I7,(H7-I7)/I7,0)</f>
        <v>13.949282786885245</v>
      </c>
    </row>
    <row r="8" spans="1:10">
      <c r="A8" s="24" t="s">
        <v>342</v>
      </c>
      <c r="B8" s="26">
        <f>整車進口!E8</f>
        <v>14</v>
      </c>
      <c r="C8" s="93">
        <f>VLOOKUP(A8,[9]進出口值表查詢結果!$B$10:$D$24,3,0)</f>
        <v>1</v>
      </c>
      <c r="D8" s="94">
        <f>IF(C8,(B8-C8)/C8,0)</f>
        <v>13</v>
      </c>
      <c r="E8" s="26">
        <f>整車進口!G8</f>
        <v>28833</v>
      </c>
      <c r="F8" s="93">
        <f>VLOOKUP(A8,[9]進出口值表查詢結果!$B$10:$D$24,2,0)</f>
        <v>122</v>
      </c>
      <c r="G8" s="90">
        <f t="shared" si="0"/>
        <v>235.3360655737705</v>
      </c>
      <c r="H8" s="91">
        <f t="shared" ref="H8:H64" si="1">IF(B8,E8/B8,0)</f>
        <v>2059.5</v>
      </c>
      <c r="I8" s="92">
        <f t="shared" ref="I8:I64" si="2">IF(C8,F8/C8,0)</f>
        <v>122</v>
      </c>
      <c r="J8" s="90">
        <f t="shared" ref="J8:J64" si="3">IF(I8,(H8-I8)/I8,0)</f>
        <v>15.881147540983607</v>
      </c>
    </row>
    <row r="9" spans="1:10">
      <c r="A9" s="29" t="s">
        <v>9</v>
      </c>
      <c r="B9" s="26">
        <f>整車進口!E9</f>
        <v>2</v>
      </c>
      <c r="C9" s="93">
        <v>0</v>
      </c>
      <c r="D9" s="94">
        <f t="shared" ref="D9:D64" si="4">IF(C9,(B9-C9)/C9,0)</f>
        <v>0</v>
      </c>
      <c r="E9" s="26">
        <f>整車進口!G9</f>
        <v>348</v>
      </c>
      <c r="F9" s="93">
        <v>0</v>
      </c>
      <c r="G9" s="90">
        <f t="shared" si="0"/>
        <v>0</v>
      </c>
      <c r="H9" s="91">
        <f t="shared" si="1"/>
        <v>174</v>
      </c>
      <c r="I9" s="92">
        <f t="shared" si="2"/>
        <v>0</v>
      </c>
      <c r="J9" s="90">
        <f t="shared" si="3"/>
        <v>0</v>
      </c>
    </row>
    <row r="10" spans="1:10">
      <c r="A10" s="29" t="s">
        <v>10</v>
      </c>
      <c r="B10" s="26">
        <f>整車進口!E10</f>
        <v>0</v>
      </c>
      <c r="C10" s="93">
        <v>0</v>
      </c>
      <c r="D10" s="94">
        <f t="shared" si="4"/>
        <v>0</v>
      </c>
      <c r="E10" s="26">
        <f>整車進口!G10</f>
        <v>0</v>
      </c>
      <c r="F10" s="93">
        <v>0</v>
      </c>
      <c r="G10" s="90">
        <f t="shared" si="0"/>
        <v>0</v>
      </c>
      <c r="H10" s="91">
        <f t="shared" si="1"/>
        <v>0</v>
      </c>
      <c r="I10" s="92">
        <f t="shared" si="2"/>
        <v>0</v>
      </c>
      <c r="J10" s="90">
        <f t="shared" si="3"/>
        <v>0</v>
      </c>
    </row>
    <row r="11" spans="1:10">
      <c r="A11" s="29"/>
      <c r="B11" s="26"/>
      <c r="C11" s="95"/>
      <c r="D11" s="94"/>
      <c r="E11" s="25"/>
      <c r="F11" s="95"/>
      <c r="G11" s="90"/>
      <c r="H11" s="91"/>
      <c r="I11" s="92"/>
      <c r="J11" s="90"/>
    </row>
    <row r="12" spans="1:10">
      <c r="A12" s="30" t="s">
        <v>11</v>
      </c>
      <c r="B12" s="31">
        <f>SUM(B13:B39)</f>
        <v>28</v>
      </c>
      <c r="C12" s="98">
        <f>SUM(C13:C39)</f>
        <v>39</v>
      </c>
      <c r="D12" s="94">
        <f t="shared" si="4"/>
        <v>-0.28205128205128205</v>
      </c>
      <c r="E12" s="31">
        <f>SUM(E13:E39)</f>
        <v>89931</v>
      </c>
      <c r="F12" s="98">
        <f>SUM(F13:F39)</f>
        <v>185534</v>
      </c>
      <c r="G12" s="90">
        <f t="shared" ref="G12:G17" si="5">IF(F12,(E12-F12)/F12,0)</f>
        <v>-0.51528560802871715</v>
      </c>
      <c r="H12" s="91">
        <f t="shared" si="1"/>
        <v>3211.8214285714284</v>
      </c>
      <c r="I12" s="92">
        <f t="shared" si="2"/>
        <v>4757.2820512820517</v>
      </c>
      <c r="J12" s="90">
        <f t="shared" si="3"/>
        <v>-0.32486209689714179</v>
      </c>
    </row>
    <row r="13" spans="1:10">
      <c r="A13" s="24" t="s">
        <v>322</v>
      </c>
      <c r="B13" s="26">
        <f>整車進口!E13</f>
        <v>0</v>
      </c>
      <c r="C13" s="93">
        <v>0</v>
      </c>
      <c r="D13" s="94">
        <f t="shared" si="4"/>
        <v>0</v>
      </c>
      <c r="E13" s="26">
        <f>整車進口!G13</f>
        <v>0</v>
      </c>
      <c r="F13" s="93">
        <v>0</v>
      </c>
      <c r="G13" s="90">
        <f t="shared" si="5"/>
        <v>0</v>
      </c>
      <c r="H13" s="91">
        <f t="shared" si="1"/>
        <v>0</v>
      </c>
      <c r="I13" s="92">
        <f t="shared" si="2"/>
        <v>0</v>
      </c>
      <c r="J13" s="90">
        <f t="shared" si="3"/>
        <v>0</v>
      </c>
    </row>
    <row r="14" spans="1:10">
      <c r="A14" s="24" t="s">
        <v>323</v>
      </c>
      <c r="B14" s="26">
        <f>整車進口!E14</f>
        <v>17</v>
      </c>
      <c r="C14" s="93">
        <f>VLOOKUP(A14,[9]進出口值表查詢結果!$B$10:$D$24,3,0)</f>
        <v>8</v>
      </c>
      <c r="D14" s="94">
        <f t="shared" ref="D14:D39" si="6">IF(C14,(B14-C14)/C14,0)</f>
        <v>1.125</v>
      </c>
      <c r="E14" s="26">
        <f>整車進口!G14</f>
        <v>87047</v>
      </c>
      <c r="F14" s="93">
        <f>VLOOKUP(A14,[9]進出口值表查詢結果!$B$10:$D$24,2,0)</f>
        <v>46627</v>
      </c>
      <c r="G14" s="90">
        <f t="shared" si="5"/>
        <v>0.86687970489201538</v>
      </c>
      <c r="H14" s="91">
        <f t="shared" si="1"/>
        <v>5120.411764705882</v>
      </c>
      <c r="I14" s="92">
        <f t="shared" si="2"/>
        <v>5828.375</v>
      </c>
      <c r="J14" s="90">
        <f t="shared" si="3"/>
        <v>-0.12146837416846343</v>
      </c>
    </row>
    <row r="15" spans="1:10">
      <c r="A15" s="29" t="s">
        <v>14</v>
      </c>
      <c r="B15" s="26">
        <f>整車進口!E15</f>
        <v>0</v>
      </c>
      <c r="C15" s="93">
        <f>VLOOKUP(A15,[9]進出口值表查詢結果!$B$10:$D$24,3,0)</f>
        <v>11</v>
      </c>
      <c r="D15" s="94">
        <f t="shared" si="6"/>
        <v>-1</v>
      </c>
      <c r="E15" s="26">
        <f>整車進口!G15</f>
        <v>0</v>
      </c>
      <c r="F15" s="93">
        <f>VLOOKUP(A15,[9]進出口值表查詢結果!$B$10:$D$24,2,0)</f>
        <v>17119</v>
      </c>
      <c r="G15" s="90">
        <f t="shared" si="5"/>
        <v>-1</v>
      </c>
      <c r="H15" s="91">
        <f t="shared" si="1"/>
        <v>0</v>
      </c>
      <c r="I15" s="92">
        <f t="shared" si="2"/>
        <v>1556.2727272727273</v>
      </c>
      <c r="J15" s="90">
        <f t="shared" si="3"/>
        <v>-1</v>
      </c>
    </row>
    <row r="16" spans="1:10">
      <c r="A16" s="24" t="s">
        <v>325</v>
      </c>
      <c r="B16" s="26">
        <f>整車進口!E16</f>
        <v>1</v>
      </c>
      <c r="C16" s="93">
        <f>VLOOKUP(A16,[9]進出口值表查詢結果!$B$10:$D$24,3,0)</f>
        <v>1</v>
      </c>
      <c r="D16" s="94">
        <f t="shared" si="6"/>
        <v>0</v>
      </c>
      <c r="E16" s="26">
        <f>整車進口!G16</f>
        <v>63</v>
      </c>
      <c r="F16" s="93">
        <f>VLOOKUP(A16,[9]進出口值表查詢結果!$B$10:$D$24,2,0)</f>
        <v>91</v>
      </c>
      <c r="G16" s="90">
        <f t="shared" si="5"/>
        <v>-0.30769230769230771</v>
      </c>
      <c r="H16" s="91">
        <f t="shared" si="1"/>
        <v>63</v>
      </c>
      <c r="I16" s="92">
        <f t="shared" si="2"/>
        <v>91</v>
      </c>
      <c r="J16" s="90">
        <f t="shared" si="3"/>
        <v>-0.30769230769230771</v>
      </c>
    </row>
    <row r="17" spans="1:10">
      <c r="A17" s="29" t="s">
        <v>17</v>
      </c>
      <c r="B17" s="26">
        <f>整車進口!E17</f>
        <v>10</v>
      </c>
      <c r="C17" s="93">
        <f>VLOOKUP(A17,[9]進出口值表查詢結果!$B$10:$D$24,3,0)</f>
        <v>19</v>
      </c>
      <c r="D17" s="94">
        <f t="shared" si="6"/>
        <v>-0.47368421052631576</v>
      </c>
      <c r="E17" s="26">
        <f>整車進口!G17</f>
        <v>2821</v>
      </c>
      <c r="F17" s="93">
        <f>VLOOKUP(A17,[9]進出口值表查詢結果!$B$10:$D$24,2,0)</f>
        <v>121697</v>
      </c>
      <c r="G17" s="90">
        <f t="shared" si="5"/>
        <v>-0.97681947788359613</v>
      </c>
      <c r="H17" s="91">
        <f t="shared" si="1"/>
        <v>282.10000000000002</v>
      </c>
      <c r="I17" s="92">
        <f t="shared" si="2"/>
        <v>6405.105263157895</v>
      </c>
      <c r="J17" s="90">
        <f t="shared" si="3"/>
        <v>-0.95595700797883265</v>
      </c>
    </row>
    <row r="18" spans="1:10">
      <c r="A18" s="29" t="s">
        <v>18</v>
      </c>
      <c r="B18" s="26">
        <f>整車進口!E18</f>
        <v>0</v>
      </c>
      <c r="C18" s="93">
        <v>0</v>
      </c>
      <c r="D18" s="94">
        <f t="shared" si="6"/>
        <v>0</v>
      </c>
      <c r="E18" s="26">
        <f>整車進口!G18</f>
        <v>0</v>
      </c>
      <c r="F18" s="93">
        <v>0</v>
      </c>
      <c r="G18" s="90">
        <f t="shared" ref="G18:G64" si="7">IF(F18,(E18-F18)/F18,0)</f>
        <v>0</v>
      </c>
      <c r="H18" s="91">
        <f t="shared" si="1"/>
        <v>0</v>
      </c>
      <c r="I18" s="92">
        <f t="shared" si="2"/>
        <v>0</v>
      </c>
      <c r="J18" s="90">
        <f t="shared" si="3"/>
        <v>0</v>
      </c>
    </row>
    <row r="19" spans="1:10">
      <c r="A19" s="24" t="s">
        <v>326</v>
      </c>
      <c r="B19" s="26">
        <f>整車進口!E19</f>
        <v>0</v>
      </c>
      <c r="C19" s="93">
        <v>0</v>
      </c>
      <c r="D19" s="94">
        <f t="shared" si="6"/>
        <v>0</v>
      </c>
      <c r="E19" s="26">
        <f>整車進口!G19</f>
        <v>0</v>
      </c>
      <c r="F19" s="93">
        <v>0</v>
      </c>
      <c r="G19" s="90">
        <f t="shared" si="7"/>
        <v>0</v>
      </c>
      <c r="H19" s="91">
        <f t="shared" si="1"/>
        <v>0</v>
      </c>
      <c r="I19" s="92">
        <f t="shared" si="2"/>
        <v>0</v>
      </c>
      <c r="J19" s="90">
        <f t="shared" si="3"/>
        <v>0</v>
      </c>
    </row>
    <row r="20" spans="1:10">
      <c r="A20" s="29" t="s">
        <v>67</v>
      </c>
      <c r="B20" s="26">
        <f>整車進口!E20</f>
        <v>0</v>
      </c>
      <c r="C20" s="93">
        <v>0</v>
      </c>
      <c r="D20" s="94">
        <f t="shared" si="6"/>
        <v>0</v>
      </c>
      <c r="E20" s="26">
        <f>整車進口!G20</f>
        <v>0</v>
      </c>
      <c r="F20" s="93">
        <v>0</v>
      </c>
      <c r="G20" s="90">
        <f t="shared" si="7"/>
        <v>0</v>
      </c>
      <c r="H20" s="91">
        <f t="shared" si="1"/>
        <v>0</v>
      </c>
      <c r="I20" s="92">
        <f t="shared" si="2"/>
        <v>0</v>
      </c>
      <c r="J20" s="90">
        <f t="shared" si="3"/>
        <v>0</v>
      </c>
    </row>
    <row r="21" spans="1:10">
      <c r="A21" s="24" t="s">
        <v>327</v>
      </c>
      <c r="B21" s="26">
        <f>整車進口!E21</f>
        <v>0</v>
      </c>
      <c r="C21" s="93">
        <v>0</v>
      </c>
      <c r="D21" s="94">
        <f t="shared" si="6"/>
        <v>0</v>
      </c>
      <c r="E21" s="26">
        <f>整車進口!G21</f>
        <v>0</v>
      </c>
      <c r="F21" s="93">
        <v>0</v>
      </c>
      <c r="G21" s="90">
        <f t="shared" si="7"/>
        <v>0</v>
      </c>
      <c r="H21" s="91">
        <f t="shared" si="1"/>
        <v>0</v>
      </c>
      <c r="I21" s="92">
        <f t="shared" si="2"/>
        <v>0</v>
      </c>
      <c r="J21" s="90">
        <f t="shared" si="3"/>
        <v>0</v>
      </c>
    </row>
    <row r="22" spans="1:10">
      <c r="A22" s="29" t="s">
        <v>22</v>
      </c>
      <c r="B22" s="26">
        <f>整車進口!E22</f>
        <v>0</v>
      </c>
      <c r="C22" s="93">
        <v>0</v>
      </c>
      <c r="D22" s="94">
        <f t="shared" si="6"/>
        <v>0</v>
      </c>
      <c r="E22" s="26">
        <f>整車進口!G22</f>
        <v>0</v>
      </c>
      <c r="F22" s="93">
        <v>0</v>
      </c>
      <c r="G22" s="90">
        <f t="shared" si="7"/>
        <v>0</v>
      </c>
      <c r="H22" s="91">
        <f t="shared" si="1"/>
        <v>0</v>
      </c>
      <c r="I22" s="92">
        <f t="shared" si="2"/>
        <v>0</v>
      </c>
      <c r="J22" s="90">
        <f t="shared" si="3"/>
        <v>0</v>
      </c>
    </row>
    <row r="23" spans="1:10">
      <c r="A23" s="29" t="s">
        <v>23</v>
      </c>
      <c r="B23" s="26">
        <f>整車進口!E23</f>
        <v>0</v>
      </c>
      <c r="C23" s="93">
        <v>0</v>
      </c>
      <c r="D23" s="94">
        <f t="shared" si="6"/>
        <v>0</v>
      </c>
      <c r="E23" s="26">
        <f>整車進口!G23</f>
        <v>0</v>
      </c>
      <c r="F23" s="93">
        <v>0</v>
      </c>
      <c r="G23" s="90">
        <f t="shared" si="7"/>
        <v>0</v>
      </c>
      <c r="H23" s="91">
        <f t="shared" si="1"/>
        <v>0</v>
      </c>
      <c r="I23" s="92">
        <f t="shared" si="2"/>
        <v>0</v>
      </c>
      <c r="J23" s="90">
        <f t="shared" si="3"/>
        <v>0</v>
      </c>
    </row>
    <row r="24" spans="1:10">
      <c r="A24" s="29" t="s">
        <v>24</v>
      </c>
      <c r="B24" s="26">
        <f>整車進口!E24</f>
        <v>0</v>
      </c>
      <c r="C24" s="93">
        <v>0</v>
      </c>
      <c r="D24" s="94">
        <f t="shared" si="6"/>
        <v>0</v>
      </c>
      <c r="E24" s="26">
        <f>整車進口!G24</f>
        <v>0</v>
      </c>
      <c r="F24" s="93">
        <v>0</v>
      </c>
      <c r="G24" s="90">
        <f t="shared" si="7"/>
        <v>0</v>
      </c>
      <c r="H24" s="91">
        <f t="shared" si="1"/>
        <v>0</v>
      </c>
      <c r="I24" s="92">
        <f t="shared" si="2"/>
        <v>0</v>
      </c>
      <c r="J24" s="90">
        <f t="shared" si="3"/>
        <v>0</v>
      </c>
    </row>
    <row r="25" spans="1:10">
      <c r="A25" s="24" t="s">
        <v>328</v>
      </c>
      <c r="B25" s="26">
        <f>整車進口!E25</f>
        <v>0</v>
      </c>
      <c r="C25" s="93">
        <v>0</v>
      </c>
      <c r="D25" s="94">
        <f t="shared" si="6"/>
        <v>0</v>
      </c>
      <c r="E25" s="26">
        <f>整車進口!G25</f>
        <v>0</v>
      </c>
      <c r="F25" s="93">
        <v>0</v>
      </c>
      <c r="G25" s="90">
        <f t="shared" si="7"/>
        <v>0</v>
      </c>
      <c r="H25" s="91">
        <f t="shared" si="1"/>
        <v>0</v>
      </c>
      <c r="I25" s="92">
        <f t="shared" si="2"/>
        <v>0</v>
      </c>
      <c r="J25" s="90">
        <f t="shared" si="3"/>
        <v>0</v>
      </c>
    </row>
    <row r="26" spans="1:10">
      <c r="A26" s="24" t="s">
        <v>329</v>
      </c>
      <c r="B26" s="26">
        <f>整車進口!E26</f>
        <v>0</v>
      </c>
      <c r="C26" s="93">
        <v>0</v>
      </c>
      <c r="D26" s="94">
        <f t="shared" si="6"/>
        <v>0</v>
      </c>
      <c r="E26" s="26">
        <f>整車進口!G26</f>
        <v>0</v>
      </c>
      <c r="F26" s="93">
        <v>0</v>
      </c>
      <c r="G26" s="90">
        <f t="shared" si="7"/>
        <v>0</v>
      </c>
      <c r="H26" s="91">
        <f t="shared" si="1"/>
        <v>0</v>
      </c>
      <c r="I26" s="92">
        <f t="shared" si="2"/>
        <v>0</v>
      </c>
      <c r="J26" s="90">
        <f t="shared" si="3"/>
        <v>0</v>
      </c>
    </row>
    <row r="27" spans="1:10">
      <c r="A27" s="546" t="s">
        <v>344</v>
      </c>
      <c r="B27" s="26">
        <f>整車進口!E27</f>
        <v>0</v>
      </c>
      <c r="C27" s="93">
        <v>0</v>
      </c>
      <c r="D27" s="94">
        <f t="shared" si="6"/>
        <v>0</v>
      </c>
      <c r="E27" s="26">
        <f>整車進口!G27</f>
        <v>0</v>
      </c>
      <c r="F27" s="93">
        <v>0</v>
      </c>
      <c r="G27" s="90">
        <f t="shared" si="7"/>
        <v>0</v>
      </c>
      <c r="H27" s="91">
        <f t="shared" si="1"/>
        <v>0</v>
      </c>
      <c r="I27" s="92">
        <f t="shared" si="2"/>
        <v>0</v>
      </c>
      <c r="J27" s="90">
        <f t="shared" si="3"/>
        <v>0</v>
      </c>
    </row>
    <row r="28" spans="1:10">
      <c r="A28" s="546" t="s">
        <v>343</v>
      </c>
      <c r="B28" s="26">
        <f>整車進口!E28</f>
        <v>0</v>
      </c>
      <c r="C28" s="93">
        <v>0</v>
      </c>
      <c r="D28" s="94">
        <f t="shared" si="6"/>
        <v>0</v>
      </c>
      <c r="E28" s="26">
        <f>整車進口!G28</f>
        <v>0</v>
      </c>
      <c r="F28" s="93">
        <v>0</v>
      </c>
      <c r="G28" s="90">
        <f t="shared" si="7"/>
        <v>0</v>
      </c>
      <c r="H28" s="91">
        <f t="shared" si="1"/>
        <v>0</v>
      </c>
      <c r="I28" s="92">
        <f t="shared" si="2"/>
        <v>0</v>
      </c>
      <c r="J28" s="90">
        <f t="shared" si="3"/>
        <v>0</v>
      </c>
    </row>
    <row r="29" spans="1:10">
      <c r="A29" s="101" t="s">
        <v>68</v>
      </c>
      <c r="B29" s="26">
        <f>整車進口!E29</f>
        <v>0</v>
      </c>
      <c r="C29" s="93">
        <v>0</v>
      </c>
      <c r="D29" s="94">
        <f t="shared" si="6"/>
        <v>0</v>
      </c>
      <c r="E29" s="26">
        <f>整車進口!G29</f>
        <v>0</v>
      </c>
      <c r="F29" s="93">
        <v>0</v>
      </c>
      <c r="G29" s="90">
        <f t="shared" si="7"/>
        <v>0</v>
      </c>
      <c r="H29" s="91">
        <f t="shared" si="1"/>
        <v>0</v>
      </c>
      <c r="I29" s="92">
        <f t="shared" si="2"/>
        <v>0</v>
      </c>
      <c r="J29" s="90">
        <f t="shared" si="3"/>
        <v>0</v>
      </c>
    </row>
    <row r="30" spans="1:10">
      <c r="A30" s="101" t="s">
        <v>69</v>
      </c>
      <c r="B30" s="26">
        <f>整車進口!E30</f>
        <v>0</v>
      </c>
      <c r="C30" s="93">
        <v>0</v>
      </c>
      <c r="D30" s="94">
        <f t="shared" si="6"/>
        <v>0</v>
      </c>
      <c r="E30" s="26">
        <f>整車進口!G30</f>
        <v>0</v>
      </c>
      <c r="F30" s="93">
        <v>0</v>
      </c>
      <c r="G30" s="90">
        <f t="shared" si="7"/>
        <v>0</v>
      </c>
      <c r="H30" s="91">
        <f t="shared" si="1"/>
        <v>0</v>
      </c>
      <c r="I30" s="92">
        <f t="shared" si="2"/>
        <v>0</v>
      </c>
      <c r="J30" s="90">
        <f t="shared" si="3"/>
        <v>0</v>
      </c>
    </row>
    <row r="31" spans="1:10">
      <c r="A31" s="101" t="s">
        <v>70</v>
      </c>
      <c r="B31" s="26">
        <f>整車進口!E31</f>
        <v>0</v>
      </c>
      <c r="C31" s="93">
        <v>0</v>
      </c>
      <c r="D31" s="94">
        <f t="shared" si="6"/>
        <v>0</v>
      </c>
      <c r="E31" s="26">
        <f>整車進口!G31</f>
        <v>0</v>
      </c>
      <c r="F31" s="93">
        <v>0</v>
      </c>
      <c r="G31" s="90">
        <f t="shared" si="7"/>
        <v>0</v>
      </c>
      <c r="H31" s="91">
        <f t="shared" si="1"/>
        <v>0</v>
      </c>
      <c r="I31" s="92">
        <f t="shared" si="2"/>
        <v>0</v>
      </c>
      <c r="J31" s="90">
        <f t="shared" si="3"/>
        <v>0</v>
      </c>
    </row>
    <row r="32" spans="1:10">
      <c r="A32" s="29" t="s">
        <v>30</v>
      </c>
      <c r="B32" s="26">
        <f>整車進口!E32</f>
        <v>0</v>
      </c>
      <c r="C32" s="93">
        <v>0</v>
      </c>
      <c r="D32" s="94">
        <f t="shared" si="6"/>
        <v>0</v>
      </c>
      <c r="E32" s="26">
        <f>整車進口!G32</f>
        <v>0</v>
      </c>
      <c r="F32" s="93">
        <v>0</v>
      </c>
      <c r="G32" s="90">
        <f t="shared" si="7"/>
        <v>0</v>
      </c>
      <c r="H32" s="91">
        <f t="shared" si="1"/>
        <v>0</v>
      </c>
      <c r="I32" s="92">
        <f t="shared" si="2"/>
        <v>0</v>
      </c>
      <c r="J32" s="90">
        <f t="shared" si="3"/>
        <v>0</v>
      </c>
    </row>
    <row r="33" spans="1:10">
      <c r="A33" s="101" t="s">
        <v>71</v>
      </c>
      <c r="B33" s="26">
        <f>整車進口!E33</f>
        <v>0</v>
      </c>
      <c r="C33" s="93">
        <v>0</v>
      </c>
      <c r="D33" s="94">
        <f t="shared" si="6"/>
        <v>0</v>
      </c>
      <c r="E33" s="26">
        <f>整車進口!G33</f>
        <v>0</v>
      </c>
      <c r="F33" s="93">
        <v>0</v>
      </c>
      <c r="G33" s="90">
        <f t="shared" si="7"/>
        <v>0</v>
      </c>
      <c r="H33" s="91">
        <f t="shared" si="1"/>
        <v>0</v>
      </c>
      <c r="I33" s="92">
        <f t="shared" si="2"/>
        <v>0</v>
      </c>
      <c r="J33" s="90">
        <f t="shared" si="3"/>
        <v>0</v>
      </c>
    </row>
    <row r="34" spans="1:10">
      <c r="A34" s="102" t="s">
        <v>72</v>
      </c>
      <c r="B34" s="26">
        <f>整車進口!E34</f>
        <v>0</v>
      </c>
      <c r="C34" s="93">
        <v>0</v>
      </c>
      <c r="D34" s="94">
        <f t="shared" si="6"/>
        <v>0</v>
      </c>
      <c r="E34" s="26">
        <f>整車進口!G34</f>
        <v>0</v>
      </c>
      <c r="F34" s="93">
        <v>0</v>
      </c>
      <c r="G34" s="90">
        <f t="shared" si="7"/>
        <v>0</v>
      </c>
      <c r="H34" s="91">
        <f t="shared" si="1"/>
        <v>0</v>
      </c>
      <c r="I34" s="92">
        <f t="shared" si="2"/>
        <v>0</v>
      </c>
      <c r="J34" s="90">
        <f t="shared" si="3"/>
        <v>0</v>
      </c>
    </row>
    <row r="35" spans="1:10">
      <c r="A35" s="101" t="s">
        <v>73</v>
      </c>
      <c r="B35" s="26">
        <f>整車進口!E35</f>
        <v>0</v>
      </c>
      <c r="C35" s="93">
        <v>0</v>
      </c>
      <c r="D35" s="94">
        <f t="shared" si="6"/>
        <v>0</v>
      </c>
      <c r="E35" s="26">
        <f>整車進口!G35</f>
        <v>0</v>
      </c>
      <c r="F35" s="93">
        <v>0</v>
      </c>
      <c r="G35" s="90">
        <f t="shared" si="7"/>
        <v>0</v>
      </c>
      <c r="H35" s="91">
        <f t="shared" si="1"/>
        <v>0</v>
      </c>
      <c r="I35" s="92">
        <f t="shared" si="2"/>
        <v>0</v>
      </c>
      <c r="J35" s="90">
        <f t="shared" si="3"/>
        <v>0</v>
      </c>
    </row>
    <row r="36" spans="1:10">
      <c r="A36" s="101" t="s">
        <v>74</v>
      </c>
      <c r="B36" s="26">
        <f>整車進口!E36</f>
        <v>0</v>
      </c>
      <c r="C36" s="93">
        <v>0</v>
      </c>
      <c r="D36" s="94">
        <f t="shared" si="6"/>
        <v>0</v>
      </c>
      <c r="E36" s="26">
        <f>整車進口!G36</f>
        <v>0</v>
      </c>
      <c r="F36" s="93">
        <v>0</v>
      </c>
      <c r="G36" s="90">
        <f t="shared" si="7"/>
        <v>0</v>
      </c>
      <c r="H36" s="91">
        <f t="shared" si="1"/>
        <v>0</v>
      </c>
      <c r="I36" s="92">
        <f t="shared" si="2"/>
        <v>0</v>
      </c>
      <c r="J36" s="90">
        <f t="shared" si="3"/>
        <v>0</v>
      </c>
    </row>
    <row r="37" spans="1:10">
      <c r="A37" s="101" t="s">
        <v>35</v>
      </c>
      <c r="B37" s="26">
        <f>整車進口!E37</f>
        <v>0</v>
      </c>
      <c r="C37" s="93">
        <v>0</v>
      </c>
      <c r="D37" s="94">
        <f t="shared" si="6"/>
        <v>0</v>
      </c>
      <c r="E37" s="26">
        <f>整車進口!G37</f>
        <v>0</v>
      </c>
      <c r="F37" s="93">
        <v>0</v>
      </c>
      <c r="G37" s="90">
        <f t="shared" si="7"/>
        <v>0</v>
      </c>
      <c r="H37" s="91">
        <f t="shared" si="1"/>
        <v>0</v>
      </c>
      <c r="I37" s="92">
        <f t="shared" si="2"/>
        <v>0</v>
      </c>
      <c r="J37" s="90">
        <f t="shared" si="3"/>
        <v>0</v>
      </c>
    </row>
    <row r="38" spans="1:10">
      <c r="A38" s="101" t="s">
        <v>36</v>
      </c>
      <c r="B38" s="26">
        <f>整車進口!E38</f>
        <v>0</v>
      </c>
      <c r="C38" s="93">
        <v>0</v>
      </c>
      <c r="D38" s="94">
        <f t="shared" si="6"/>
        <v>0</v>
      </c>
      <c r="E38" s="26">
        <f>整車進口!G38</f>
        <v>0</v>
      </c>
      <c r="F38" s="93">
        <v>0</v>
      </c>
      <c r="G38" s="90">
        <f t="shared" si="7"/>
        <v>0</v>
      </c>
      <c r="H38" s="91">
        <f t="shared" si="1"/>
        <v>0</v>
      </c>
      <c r="I38" s="92">
        <f t="shared" si="2"/>
        <v>0</v>
      </c>
      <c r="J38" s="90">
        <f t="shared" si="3"/>
        <v>0</v>
      </c>
    </row>
    <row r="39" spans="1:10">
      <c r="A39" s="29" t="s">
        <v>37</v>
      </c>
      <c r="B39" s="26">
        <f>整車進口!E39</f>
        <v>0</v>
      </c>
      <c r="C39" s="93">
        <v>0</v>
      </c>
      <c r="D39" s="94">
        <f t="shared" si="6"/>
        <v>0</v>
      </c>
      <c r="E39" s="26">
        <f>整車進口!G39</f>
        <v>0</v>
      </c>
      <c r="F39" s="93">
        <v>0</v>
      </c>
      <c r="G39" s="90">
        <f t="shared" si="7"/>
        <v>0</v>
      </c>
      <c r="H39" s="91">
        <f t="shared" si="1"/>
        <v>0</v>
      </c>
      <c r="I39" s="92">
        <f t="shared" si="2"/>
        <v>0</v>
      </c>
      <c r="J39" s="90">
        <f t="shared" si="3"/>
        <v>0</v>
      </c>
    </row>
    <row r="40" spans="1:10">
      <c r="A40" s="29"/>
      <c r="B40" s="26"/>
      <c r="C40" s="95"/>
      <c r="D40" s="94"/>
      <c r="E40" s="25"/>
      <c r="F40" s="95"/>
      <c r="G40" s="90"/>
      <c r="H40" s="91"/>
      <c r="I40" s="92"/>
      <c r="J40" s="90"/>
    </row>
    <row r="41" spans="1:10">
      <c r="A41" s="32" t="s">
        <v>38</v>
      </c>
      <c r="B41" s="31">
        <f>SUM(B42:B45)</f>
        <v>0</v>
      </c>
      <c r="C41" s="98">
        <f>SUM(C42:C45)</f>
        <v>0</v>
      </c>
      <c r="D41" s="94">
        <f t="shared" si="4"/>
        <v>0</v>
      </c>
      <c r="E41" s="25">
        <f>SUM(E42:E45)</f>
        <v>0</v>
      </c>
      <c r="F41" s="98">
        <f>SUM(F42:F45)</f>
        <v>0</v>
      </c>
      <c r="G41" s="90">
        <f t="shared" si="7"/>
        <v>0</v>
      </c>
      <c r="H41" s="91">
        <f t="shared" si="1"/>
        <v>0</v>
      </c>
      <c r="I41" s="92">
        <f t="shared" si="2"/>
        <v>0</v>
      </c>
      <c r="J41" s="90">
        <f t="shared" si="3"/>
        <v>0</v>
      </c>
    </row>
    <row r="42" spans="1:10">
      <c r="A42" s="24" t="s">
        <v>332</v>
      </c>
      <c r="B42" s="26">
        <f>整車進口!E42</f>
        <v>0</v>
      </c>
      <c r="C42" s="93">
        <v>0</v>
      </c>
      <c r="D42" s="94">
        <f t="shared" si="4"/>
        <v>0</v>
      </c>
      <c r="E42" s="26">
        <f>整車進口!G42</f>
        <v>0</v>
      </c>
      <c r="F42" s="93">
        <v>0</v>
      </c>
      <c r="G42" s="90">
        <f t="shared" si="7"/>
        <v>0</v>
      </c>
      <c r="H42" s="91">
        <f t="shared" si="1"/>
        <v>0</v>
      </c>
      <c r="I42" s="92">
        <f t="shared" si="2"/>
        <v>0</v>
      </c>
      <c r="J42" s="90">
        <f t="shared" si="3"/>
        <v>0</v>
      </c>
    </row>
    <row r="43" spans="1:10">
      <c r="A43" s="24" t="s">
        <v>333</v>
      </c>
      <c r="B43" s="26">
        <f>整車進口!E43</f>
        <v>0</v>
      </c>
      <c r="C43" s="93">
        <v>0</v>
      </c>
      <c r="D43" s="94">
        <f t="shared" ref="D43:D45" si="8">IF(C43,(B43-C43)/C43,0)</f>
        <v>0</v>
      </c>
      <c r="E43" s="26">
        <f>整車進口!G43</f>
        <v>0</v>
      </c>
      <c r="F43" s="93">
        <v>0</v>
      </c>
      <c r="G43" s="90">
        <f t="shared" si="7"/>
        <v>0</v>
      </c>
      <c r="H43" s="91">
        <f t="shared" si="1"/>
        <v>0</v>
      </c>
      <c r="I43" s="92">
        <f t="shared" si="2"/>
        <v>0</v>
      </c>
      <c r="J43" s="90">
        <f t="shared" si="3"/>
        <v>0</v>
      </c>
    </row>
    <row r="44" spans="1:10">
      <c r="A44" s="24" t="s">
        <v>334</v>
      </c>
      <c r="B44" s="26">
        <f>整車進口!E44</f>
        <v>0</v>
      </c>
      <c r="C44" s="93">
        <v>0</v>
      </c>
      <c r="D44" s="94">
        <f t="shared" si="8"/>
        <v>0</v>
      </c>
      <c r="E44" s="26">
        <f>整車進口!G44</f>
        <v>0</v>
      </c>
      <c r="F44" s="93">
        <v>0</v>
      </c>
      <c r="G44" s="90">
        <f t="shared" si="7"/>
        <v>0</v>
      </c>
      <c r="H44" s="91">
        <f t="shared" si="1"/>
        <v>0</v>
      </c>
      <c r="I44" s="92">
        <f t="shared" si="2"/>
        <v>0</v>
      </c>
      <c r="J44" s="90">
        <f t="shared" si="3"/>
        <v>0</v>
      </c>
    </row>
    <row r="45" spans="1:10">
      <c r="A45" s="29" t="s">
        <v>42</v>
      </c>
      <c r="B45" s="26">
        <f>整車進口!E45</f>
        <v>0</v>
      </c>
      <c r="C45" s="93">
        <v>0</v>
      </c>
      <c r="D45" s="94">
        <f t="shared" si="8"/>
        <v>0</v>
      </c>
      <c r="E45" s="26">
        <f>整車進口!G45</f>
        <v>0</v>
      </c>
      <c r="F45" s="93">
        <v>0</v>
      </c>
      <c r="G45" s="90">
        <f t="shared" si="7"/>
        <v>0</v>
      </c>
      <c r="H45" s="91">
        <f t="shared" si="1"/>
        <v>0</v>
      </c>
      <c r="I45" s="92">
        <f t="shared" si="2"/>
        <v>0</v>
      </c>
      <c r="J45" s="90">
        <f t="shared" si="3"/>
        <v>0</v>
      </c>
    </row>
    <row r="46" spans="1:10">
      <c r="A46" s="29"/>
      <c r="B46" s="25"/>
      <c r="C46" s="95"/>
      <c r="D46" s="94"/>
      <c r="E46" s="25"/>
      <c r="F46" s="95"/>
      <c r="G46" s="90"/>
      <c r="H46" s="91"/>
      <c r="I46" s="92"/>
      <c r="J46" s="90"/>
    </row>
    <row r="47" spans="1:10">
      <c r="A47" s="32" t="s">
        <v>43</v>
      </c>
      <c r="B47" s="31">
        <f>SUM(B48:B63)</f>
        <v>36599</v>
      </c>
      <c r="C47" s="98">
        <f>SUM(C48:C63)</f>
        <v>31510</v>
      </c>
      <c r="D47" s="94">
        <f t="shared" si="4"/>
        <v>0.16150428435417327</v>
      </c>
      <c r="E47" s="31">
        <f>SUM(E48:E63)</f>
        <v>4276254</v>
      </c>
      <c r="F47" s="95">
        <f>SUM(F48:F63)</f>
        <v>5453492</v>
      </c>
      <c r="G47" s="90">
        <f t="shared" si="7"/>
        <v>-0.21586865810016775</v>
      </c>
      <c r="H47" s="91">
        <f t="shared" si="1"/>
        <v>116.84073335337031</v>
      </c>
      <c r="I47" s="92">
        <f t="shared" si="2"/>
        <v>173.07178673437005</v>
      </c>
      <c r="J47" s="90">
        <f t="shared" si="3"/>
        <v>-0.3249001725931388</v>
      </c>
    </row>
    <row r="48" spans="1:10">
      <c r="A48" s="24" t="s">
        <v>324</v>
      </c>
      <c r="B48" s="26">
        <f>整車進口!E48</f>
        <v>2</v>
      </c>
      <c r="C48" s="93">
        <f>VLOOKUP(A48,[9]進出口值表查詢結果!$B$10:$D$24,3,0)</f>
        <v>176</v>
      </c>
      <c r="D48" s="94">
        <f t="shared" si="4"/>
        <v>-0.98863636363636365</v>
      </c>
      <c r="E48" s="26">
        <f>整車進口!G48</f>
        <v>57</v>
      </c>
      <c r="F48" s="93">
        <f>VLOOKUP(A48,[9]進出口值表查詢結果!$B$10:$D$24,2,0)</f>
        <v>285983</v>
      </c>
      <c r="G48" s="90">
        <f t="shared" si="7"/>
        <v>-0.99980068745345008</v>
      </c>
      <c r="H48" s="91">
        <f t="shared" si="1"/>
        <v>28.5</v>
      </c>
      <c r="I48" s="92">
        <f t="shared" si="2"/>
        <v>1624.903409090909</v>
      </c>
      <c r="J48" s="90">
        <f t="shared" si="3"/>
        <v>-0.98246049590360263</v>
      </c>
    </row>
    <row r="49" spans="1:10">
      <c r="A49" s="24" t="s">
        <v>335</v>
      </c>
      <c r="B49" s="26">
        <f>整車進口!E49</f>
        <v>25</v>
      </c>
      <c r="C49" s="93">
        <f>VLOOKUP(A49,[9]進出口值表查詢結果!$B$10:$D$24,3,0)</f>
        <v>21</v>
      </c>
      <c r="D49" s="94">
        <f t="shared" ref="D49:D63" si="9">IF(C49,(B49-C49)/C49,0)</f>
        <v>0.19047619047619047</v>
      </c>
      <c r="E49" s="26">
        <f>整車進口!G49</f>
        <v>5479</v>
      </c>
      <c r="F49" s="93">
        <f>VLOOKUP(A49,[9]進出口值表查詢結果!$B$10:$D$24,2,0)</f>
        <v>1845</v>
      </c>
      <c r="G49" s="90">
        <f t="shared" si="7"/>
        <v>1.9696476964769647</v>
      </c>
      <c r="H49" s="91">
        <f t="shared" si="1"/>
        <v>219.16</v>
      </c>
      <c r="I49" s="92">
        <f t="shared" si="2"/>
        <v>87.857142857142861</v>
      </c>
      <c r="J49" s="90">
        <f t="shared" si="3"/>
        <v>1.4945040650406503</v>
      </c>
    </row>
    <row r="50" spans="1:10">
      <c r="A50" s="545" t="s">
        <v>341</v>
      </c>
      <c r="B50" s="26">
        <f>整車進口!E50</f>
        <v>0</v>
      </c>
      <c r="C50" s="93">
        <v>0</v>
      </c>
      <c r="D50" s="94">
        <f t="shared" si="9"/>
        <v>0</v>
      </c>
      <c r="E50" s="26">
        <f>整車進口!G50</f>
        <v>0</v>
      </c>
      <c r="F50" s="93">
        <v>0</v>
      </c>
      <c r="G50" s="90">
        <f t="shared" si="7"/>
        <v>0</v>
      </c>
      <c r="H50" s="91">
        <f t="shared" si="1"/>
        <v>0</v>
      </c>
      <c r="I50" s="92">
        <f t="shared" si="2"/>
        <v>0</v>
      </c>
      <c r="J50" s="90">
        <f t="shared" si="3"/>
        <v>0</v>
      </c>
    </row>
    <row r="51" spans="1:10">
      <c r="A51" s="24" t="s">
        <v>336</v>
      </c>
      <c r="B51" s="26">
        <f>整車進口!E51</f>
        <v>0</v>
      </c>
      <c r="C51" s="93">
        <v>0</v>
      </c>
      <c r="D51" s="94">
        <f t="shared" si="9"/>
        <v>0</v>
      </c>
      <c r="E51" s="26">
        <f>整車進口!G51</f>
        <v>0</v>
      </c>
      <c r="F51" s="93">
        <v>0</v>
      </c>
      <c r="G51" s="90">
        <f t="shared" si="7"/>
        <v>0</v>
      </c>
      <c r="H51" s="91">
        <f t="shared" si="1"/>
        <v>0</v>
      </c>
      <c r="I51" s="92">
        <f t="shared" si="2"/>
        <v>0</v>
      </c>
      <c r="J51" s="90">
        <f t="shared" si="3"/>
        <v>0</v>
      </c>
    </row>
    <row r="52" spans="1:10">
      <c r="A52" s="29" t="s">
        <v>47</v>
      </c>
      <c r="B52" s="26">
        <f>整車進口!E52</f>
        <v>0</v>
      </c>
      <c r="C52" s="93">
        <v>0</v>
      </c>
      <c r="D52" s="94">
        <f t="shared" si="9"/>
        <v>0</v>
      </c>
      <c r="E52" s="26">
        <f>整車進口!G52</f>
        <v>0</v>
      </c>
      <c r="F52" s="93">
        <v>0</v>
      </c>
      <c r="G52" s="90">
        <f t="shared" si="7"/>
        <v>0</v>
      </c>
      <c r="H52" s="91">
        <f t="shared" si="1"/>
        <v>0</v>
      </c>
      <c r="I52" s="92">
        <f t="shared" si="2"/>
        <v>0</v>
      </c>
      <c r="J52" s="90">
        <f t="shared" si="3"/>
        <v>0</v>
      </c>
    </row>
    <row r="53" spans="1:10">
      <c r="A53" s="24" t="s">
        <v>337</v>
      </c>
      <c r="B53" s="26">
        <f>整車進口!E53</f>
        <v>0</v>
      </c>
      <c r="C53" s="93">
        <v>0</v>
      </c>
      <c r="D53" s="94">
        <f t="shared" si="9"/>
        <v>0</v>
      </c>
      <c r="E53" s="26">
        <f>整車進口!G53</f>
        <v>0</v>
      </c>
      <c r="F53" s="93">
        <v>0</v>
      </c>
      <c r="G53" s="90">
        <f t="shared" si="7"/>
        <v>0</v>
      </c>
      <c r="H53" s="91">
        <f t="shared" si="1"/>
        <v>0</v>
      </c>
      <c r="I53" s="92">
        <f t="shared" si="2"/>
        <v>0</v>
      </c>
      <c r="J53" s="90">
        <f t="shared" si="3"/>
        <v>0</v>
      </c>
    </row>
    <row r="54" spans="1:10">
      <c r="A54" s="29" t="s">
        <v>49</v>
      </c>
      <c r="B54" s="26">
        <f>整車進口!E54</f>
        <v>0</v>
      </c>
      <c r="C54" s="93">
        <v>0</v>
      </c>
      <c r="D54" s="94">
        <f t="shared" si="9"/>
        <v>0</v>
      </c>
      <c r="E54" s="26">
        <f>整車進口!G54</f>
        <v>0</v>
      </c>
      <c r="F54" s="93">
        <v>0</v>
      </c>
      <c r="G54" s="90">
        <f t="shared" si="7"/>
        <v>0</v>
      </c>
      <c r="H54" s="91">
        <f t="shared" si="1"/>
        <v>0</v>
      </c>
      <c r="I54" s="92">
        <f t="shared" si="2"/>
        <v>0</v>
      </c>
      <c r="J54" s="90">
        <f t="shared" si="3"/>
        <v>0</v>
      </c>
    </row>
    <row r="55" spans="1:10">
      <c r="A55" s="29" t="s">
        <v>50</v>
      </c>
      <c r="B55" s="26">
        <f>整車進口!E55</f>
        <v>0</v>
      </c>
      <c r="C55" s="93">
        <v>0</v>
      </c>
      <c r="D55" s="94">
        <f t="shared" si="9"/>
        <v>0</v>
      </c>
      <c r="E55" s="26">
        <f>整車進口!G55</f>
        <v>0</v>
      </c>
      <c r="F55" s="93">
        <v>0</v>
      </c>
      <c r="G55" s="90">
        <f t="shared" si="7"/>
        <v>0</v>
      </c>
      <c r="H55" s="91">
        <f t="shared" si="1"/>
        <v>0</v>
      </c>
      <c r="I55" s="92">
        <f t="shared" si="2"/>
        <v>0</v>
      </c>
      <c r="J55" s="90">
        <f t="shared" si="3"/>
        <v>0</v>
      </c>
    </row>
    <row r="56" spans="1:10">
      <c r="A56" s="543" t="s">
        <v>101</v>
      </c>
      <c r="B56" s="26">
        <f>整車進口!E56</f>
        <v>0</v>
      </c>
      <c r="C56" s="93">
        <v>0</v>
      </c>
      <c r="D56" s="94">
        <f t="shared" si="9"/>
        <v>0</v>
      </c>
      <c r="E56" s="26">
        <f>整車進口!G56</f>
        <v>0</v>
      </c>
      <c r="F56" s="93">
        <v>0</v>
      </c>
      <c r="G56" s="90">
        <f t="shared" si="7"/>
        <v>0</v>
      </c>
      <c r="H56" s="91">
        <f t="shared" si="1"/>
        <v>0</v>
      </c>
      <c r="I56" s="92">
        <f t="shared" si="2"/>
        <v>0</v>
      </c>
      <c r="J56" s="90">
        <f t="shared" si="3"/>
        <v>0</v>
      </c>
    </row>
    <row r="57" spans="1:10">
      <c r="A57" s="544" t="s">
        <v>340</v>
      </c>
      <c r="B57" s="26">
        <f>整車進口!E57</f>
        <v>0</v>
      </c>
      <c r="C57" s="93">
        <f>VLOOKUP(A57,[9]進出口值表查詢結果!$B$10:$D$24,3,0)</f>
        <v>1</v>
      </c>
      <c r="D57" s="94">
        <f t="shared" si="9"/>
        <v>-1</v>
      </c>
      <c r="E57" s="26">
        <f>整車進口!G57</f>
        <v>0</v>
      </c>
      <c r="F57" s="93">
        <f>VLOOKUP(A57,[9]進出口值表查詢結果!$B$10:$D$24,2,0)</f>
        <v>92</v>
      </c>
      <c r="G57" s="90">
        <f t="shared" si="7"/>
        <v>-1</v>
      </c>
      <c r="H57" s="91">
        <f t="shared" si="1"/>
        <v>0</v>
      </c>
      <c r="I57" s="92">
        <f t="shared" si="2"/>
        <v>92</v>
      </c>
      <c r="J57" s="90">
        <f t="shared" si="3"/>
        <v>-1</v>
      </c>
    </row>
    <row r="58" spans="1:10">
      <c r="A58" s="543" t="s">
        <v>345</v>
      </c>
      <c r="B58" s="26">
        <f>整車進口!E58</f>
        <v>246</v>
      </c>
      <c r="C58" s="93">
        <f>VLOOKUP(A58,[9]進出口值表查詢結果!$B$10:$D$24,3,0)</f>
        <v>606</v>
      </c>
      <c r="D58" s="94">
        <f t="shared" si="9"/>
        <v>-0.59405940594059403</v>
      </c>
      <c r="E58" s="26">
        <f>整車進口!G58</f>
        <v>184948</v>
      </c>
      <c r="F58" s="93">
        <f>VLOOKUP(A58,[9]進出口值表查詢結果!$B$10:$D$24,2,0)</f>
        <v>474126</v>
      </c>
      <c r="G58" s="90">
        <f t="shared" si="7"/>
        <v>-0.60991803866482752</v>
      </c>
      <c r="H58" s="91">
        <f t="shared" si="1"/>
        <v>751.82113821138216</v>
      </c>
      <c r="I58" s="92">
        <f t="shared" si="2"/>
        <v>782.38613861386136</v>
      </c>
      <c r="J58" s="90">
        <f t="shared" si="3"/>
        <v>-3.906638793042861E-2</v>
      </c>
    </row>
    <row r="59" spans="1:10">
      <c r="A59" s="29" t="s">
        <v>94</v>
      </c>
      <c r="B59" s="26">
        <f>整車進口!E59</f>
        <v>29</v>
      </c>
      <c r="C59" s="93">
        <f>VLOOKUP(A59,[9]進出口值表查詢結果!$B$10:$D$24,3,0)</f>
        <v>474</v>
      </c>
      <c r="D59" s="94">
        <f t="shared" si="9"/>
        <v>-0.93881856540084385</v>
      </c>
      <c r="E59" s="26">
        <f>整車進口!G59</f>
        <v>28921</v>
      </c>
      <c r="F59" s="93">
        <f>VLOOKUP(A59,[9]進出口值表查詢結果!$B$10:$D$24,2,0)</f>
        <v>333801</v>
      </c>
      <c r="G59" s="90">
        <f t="shared" si="7"/>
        <v>-0.91335855794320564</v>
      </c>
      <c r="H59" s="91">
        <f t="shared" si="1"/>
        <v>997.27586206896547</v>
      </c>
      <c r="I59" s="92">
        <f t="shared" si="2"/>
        <v>704.22151898734182</v>
      </c>
      <c r="J59" s="90">
        <f t="shared" si="3"/>
        <v>0.41613943223863797</v>
      </c>
    </row>
    <row r="60" spans="1:10">
      <c r="A60" s="29" t="s">
        <v>56</v>
      </c>
      <c r="B60" s="26">
        <f>整車進口!E60</f>
        <v>0</v>
      </c>
      <c r="C60" s="93">
        <v>0</v>
      </c>
      <c r="D60" s="94">
        <f t="shared" si="9"/>
        <v>0</v>
      </c>
      <c r="E60" s="26">
        <f>整車進口!G60</f>
        <v>0</v>
      </c>
      <c r="F60" s="93">
        <v>0</v>
      </c>
      <c r="G60" s="90">
        <f t="shared" si="7"/>
        <v>0</v>
      </c>
      <c r="H60" s="91">
        <f t="shared" si="1"/>
        <v>0</v>
      </c>
      <c r="I60" s="92">
        <f t="shared" si="2"/>
        <v>0</v>
      </c>
      <c r="J60" s="90">
        <f t="shared" si="3"/>
        <v>0</v>
      </c>
    </row>
    <row r="61" spans="1:10">
      <c r="A61" s="29" t="s">
        <v>95</v>
      </c>
      <c r="B61" s="26">
        <f>整車進口!E61</f>
        <v>36297</v>
      </c>
      <c r="C61" s="93">
        <f>VLOOKUP(A61,[9]進出口值表查詢結果!$B$10:$D$24,3,0)</f>
        <v>30232</v>
      </c>
      <c r="D61" s="94">
        <f t="shared" si="9"/>
        <v>0.20061524212754697</v>
      </c>
      <c r="E61" s="26">
        <f>整車進口!G61</f>
        <v>4056849</v>
      </c>
      <c r="F61" s="93">
        <f>VLOOKUP(A61,[9]進出口值表查詢結果!$B$10:$D$24,2,0)</f>
        <v>4357645</v>
      </c>
      <c r="G61" s="90">
        <f t="shared" si="7"/>
        <v>-6.9027192439953228E-2</v>
      </c>
      <c r="H61" s="91">
        <f t="shared" si="1"/>
        <v>111.76816265807092</v>
      </c>
      <c r="I61" s="92">
        <f t="shared" si="2"/>
        <v>144.14014951045249</v>
      </c>
      <c r="J61" s="90">
        <f t="shared" si="3"/>
        <v>-0.22458688271330032</v>
      </c>
    </row>
    <row r="62" spans="1:10">
      <c r="A62" s="543" t="s">
        <v>107</v>
      </c>
      <c r="B62" s="26">
        <f>整車進口!E62</f>
        <v>0</v>
      </c>
      <c r="C62" s="93">
        <v>0</v>
      </c>
      <c r="D62" s="94">
        <f t="shared" si="9"/>
        <v>0</v>
      </c>
      <c r="E62" s="26">
        <f>整車進口!G62</f>
        <v>0</v>
      </c>
      <c r="F62" s="93">
        <v>0</v>
      </c>
      <c r="G62" s="90">
        <f t="shared" si="7"/>
        <v>0</v>
      </c>
      <c r="H62" s="91">
        <f t="shared" si="1"/>
        <v>0</v>
      </c>
      <c r="I62" s="92">
        <f t="shared" si="2"/>
        <v>0</v>
      </c>
      <c r="J62" s="90">
        <f t="shared" si="3"/>
        <v>0</v>
      </c>
    </row>
    <row r="63" spans="1:10">
      <c r="A63" s="543" t="s">
        <v>346</v>
      </c>
      <c r="B63" s="26">
        <f>整車進口!E63</f>
        <v>0</v>
      </c>
      <c r="C63" s="93">
        <v>0</v>
      </c>
      <c r="D63" s="94">
        <f t="shared" si="9"/>
        <v>0</v>
      </c>
      <c r="E63" s="26">
        <f>整車進口!G63</f>
        <v>0</v>
      </c>
      <c r="F63" s="93">
        <v>0</v>
      </c>
      <c r="G63" s="90">
        <f t="shared" si="7"/>
        <v>0</v>
      </c>
      <c r="H63" s="91">
        <f t="shared" si="1"/>
        <v>0</v>
      </c>
      <c r="I63" s="92">
        <f t="shared" si="2"/>
        <v>0</v>
      </c>
      <c r="J63" s="90">
        <f t="shared" si="3"/>
        <v>0</v>
      </c>
    </row>
    <row r="64" spans="1:10">
      <c r="A64" s="29" t="s">
        <v>57</v>
      </c>
      <c r="B64" s="25">
        <f>B65-B7-B12-B41-B47</f>
        <v>321</v>
      </c>
      <c r="C64" s="93">
        <f>C65-C7-C12-C41-C47</f>
        <v>60</v>
      </c>
      <c r="D64" s="94">
        <f t="shared" si="4"/>
        <v>4.3499999999999996</v>
      </c>
      <c r="E64" s="25">
        <f>E65-E47-E41-E12-E7</f>
        <v>1242279</v>
      </c>
      <c r="F64" s="95">
        <f>F65-F47-F41-F12-F7</f>
        <v>20230</v>
      </c>
      <c r="G64" s="90">
        <f t="shared" si="7"/>
        <v>60.407760751359369</v>
      </c>
      <c r="H64" s="91">
        <f t="shared" si="1"/>
        <v>3870.0280373831774</v>
      </c>
      <c r="I64" s="92">
        <f t="shared" si="2"/>
        <v>337.16666666666669</v>
      </c>
      <c r="J64" s="90">
        <f t="shared" si="3"/>
        <v>10.478086121749413</v>
      </c>
    </row>
    <row r="65" spans="1:10">
      <c r="A65" s="30" t="s">
        <v>399</v>
      </c>
      <c r="B65" s="26">
        <f>整車進口!E65</f>
        <v>36964</v>
      </c>
      <c r="C65" s="93">
        <f>VLOOKUP(A65,[9]進出口值表查詢結果!$B$10:$D$24,3,0)</f>
        <v>31610</v>
      </c>
      <c r="D65" s="94">
        <f t="shared" ref="D65" si="10">(B65-C65)/C65</f>
        <v>0.16937677950015817</v>
      </c>
      <c r="E65" s="26">
        <f>整車進口!G65</f>
        <v>5637645</v>
      </c>
      <c r="F65" s="93">
        <f>VLOOKUP(A65,[9]進出口值表查詢結果!$B$10:$D$24,2,0)</f>
        <v>5659378</v>
      </c>
      <c r="G65" s="90">
        <f t="shared" ref="G65" si="11">(E65-F65)/F65</f>
        <v>-3.8401746623038784E-3</v>
      </c>
      <c r="H65" s="91">
        <f t="shared" ref="H65:I65" si="12">E65/B65</f>
        <v>152.51717887674494</v>
      </c>
      <c r="I65" s="92">
        <f t="shared" si="12"/>
        <v>179.0375830433407</v>
      </c>
      <c r="J65" s="94">
        <f t="shared" ref="J65" si="13">(H65-I65)/I65</f>
        <v>-0.14812758145967495</v>
      </c>
    </row>
    <row r="66" spans="1:10">
      <c r="A66" s="34"/>
      <c r="B66" s="35"/>
      <c r="C66" s="103"/>
      <c r="D66" s="72"/>
      <c r="E66" s="35"/>
      <c r="F66" s="103"/>
      <c r="G66" s="104"/>
      <c r="H66" s="105"/>
      <c r="I66" s="106"/>
      <c r="J66" s="104"/>
    </row>
    <row r="67" spans="1:10">
      <c r="A67" s="38" t="s">
        <v>308</v>
      </c>
      <c r="B67" s="39"/>
      <c r="C67" s="107"/>
      <c r="D67" s="108"/>
      <c r="E67" s="39"/>
      <c r="F67" s="107"/>
      <c r="G67" s="109"/>
      <c r="H67" s="615"/>
      <c r="I67" s="110"/>
      <c r="J67" s="109"/>
    </row>
    <row r="68" spans="1:10">
      <c r="A68" s="75" t="s">
        <v>478</v>
      </c>
      <c r="B68" s="6" t="s">
        <v>448</v>
      </c>
      <c r="C68" s="76" t="s">
        <v>449</v>
      </c>
      <c r="D68" s="77" t="s">
        <v>61</v>
      </c>
      <c r="E68" s="6" t="s">
        <v>448</v>
      </c>
      <c r="F68" s="76" t="s">
        <v>449</v>
      </c>
      <c r="G68" s="78" t="s">
        <v>317</v>
      </c>
      <c r="H68" s="6" t="s">
        <v>448</v>
      </c>
      <c r="I68" s="76" t="s">
        <v>449</v>
      </c>
      <c r="J68" s="78" t="s">
        <v>317</v>
      </c>
    </row>
    <row r="69" spans="1:10">
      <c r="A69" s="48"/>
      <c r="B69" s="50" t="s">
        <v>62</v>
      </c>
      <c r="C69" s="112" t="s">
        <v>62</v>
      </c>
      <c r="D69" s="80" t="s">
        <v>2</v>
      </c>
      <c r="E69" s="50" t="s">
        <v>63</v>
      </c>
      <c r="F69" s="112" t="s">
        <v>63</v>
      </c>
      <c r="G69" s="541" t="s">
        <v>2</v>
      </c>
      <c r="H69" s="82" t="s">
        <v>64</v>
      </c>
      <c r="I69" s="83" t="s">
        <v>65</v>
      </c>
      <c r="J69" s="541" t="s">
        <v>2</v>
      </c>
    </row>
    <row r="70" spans="1:10">
      <c r="A70" s="30" t="s">
        <v>58</v>
      </c>
      <c r="B70" s="26">
        <f>整車進口!E70</f>
        <v>606</v>
      </c>
      <c r="C70" s="93">
        <v>371</v>
      </c>
      <c r="D70" s="94">
        <f>(B70-C70)/C70</f>
        <v>0.63342318059299196</v>
      </c>
      <c r="E70" s="25">
        <f>整車進口!G70</f>
        <v>49589</v>
      </c>
      <c r="F70" s="93">
        <v>83876</v>
      </c>
      <c r="G70" s="94">
        <f>(E70-F70)/F70</f>
        <v>-0.40878201154084604</v>
      </c>
      <c r="H70" s="91">
        <f>E70/B70</f>
        <v>81.830033003300329</v>
      </c>
      <c r="I70" s="92">
        <f>F70/C70</f>
        <v>226.08086253369271</v>
      </c>
      <c r="J70" s="94">
        <f>(H70-I70)/I70</f>
        <v>-0.63804971333606242</v>
      </c>
    </row>
    <row r="71" spans="1:10" ht="9.75" customHeight="1">
      <c r="A71" s="164"/>
      <c r="B71" s="35"/>
      <c r="C71" s="734"/>
      <c r="D71" s="735"/>
      <c r="E71" s="35"/>
      <c r="F71" s="734"/>
      <c r="G71" s="735"/>
      <c r="H71" s="73"/>
      <c r="I71" s="106"/>
      <c r="J71" s="735"/>
    </row>
    <row r="72" spans="1:10">
      <c r="A72" s="57" t="s">
        <v>452</v>
      </c>
      <c r="B72" s="3"/>
      <c r="C72" s="58"/>
      <c r="D72" s="3"/>
      <c r="E72" s="3"/>
      <c r="F72" s="3"/>
      <c r="G72" s="3"/>
      <c r="H72" s="3"/>
      <c r="I72" s="3"/>
      <c r="J72" s="3"/>
    </row>
    <row r="73" spans="1:10">
      <c r="A73" s="60" t="s">
        <v>60</v>
      </c>
      <c r="B73" s="61"/>
      <c r="C73" s="62"/>
      <c r="D73" s="64"/>
      <c r="E73" s="61"/>
      <c r="F73" s="62"/>
      <c r="G73" s="64"/>
      <c r="H73" s="60"/>
      <c r="I73" s="60"/>
      <c r="J73" s="60"/>
    </row>
  </sheetData>
  <mergeCells count="1">
    <mergeCell ref="A3:J3"/>
  </mergeCells>
  <phoneticPr fontId="3" type="noConversion"/>
  <conditionalFormatting sqref="D1:D1048576 G6:G68">
    <cfRule type="cellIs" dxfId="47" priority="1" operator="lessThan">
      <formula>0</formula>
    </cfRule>
  </conditionalFormatting>
  <conditionalFormatting sqref="G1:G3 G6:G67 G70:G1048576">
    <cfRule type="cellIs" dxfId="46" priority="12" operator="greaterThanOrEqual">
      <formula>0</formula>
    </cfRule>
  </conditionalFormatting>
  <conditionalFormatting sqref="G1:G4">
    <cfRule type="cellIs" dxfId="45" priority="2" operator="lessThan">
      <formula>0</formula>
    </cfRule>
  </conditionalFormatting>
  <conditionalFormatting sqref="G70:G1048576">
    <cfRule type="cellIs" dxfId="44" priority="13" operator="lessThan">
      <formula>0</formula>
    </cfRule>
  </conditionalFormatting>
  <conditionalFormatting sqref="J1:J4 J70:J1048576">
    <cfRule type="cellIs" dxfId="43" priority="10" operator="greaterThanOrEqual">
      <formula>0</formula>
    </cfRule>
    <cfRule type="cellIs" dxfId="42" priority="11" operator="lessThan">
      <formula>0</formula>
    </cfRule>
  </conditionalFormatting>
  <conditionalFormatting sqref="J6:J68">
    <cfRule type="cellIs" dxfId="41" priority="4" operator="greaterThanOrEqual">
      <formula>0</formula>
    </cfRule>
    <cfRule type="cellIs" dxfId="4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66"/>
  <sheetViews>
    <sheetView zoomScaleNormal="100" workbookViewId="0">
      <selection activeCell="D49" sqref="D49"/>
    </sheetView>
  </sheetViews>
  <sheetFormatPr defaultRowHeight="16.5"/>
  <cols>
    <col min="1" max="1" width="18.75" customWidth="1"/>
    <col min="2" max="2" width="13.75" customWidth="1"/>
    <col min="3" max="3" width="16.5" customWidth="1"/>
    <col min="4" max="4" width="14" customWidth="1"/>
    <col min="5" max="5" width="13.875" customWidth="1"/>
    <col min="6" max="6" width="11" customWidth="1"/>
    <col min="7" max="7" width="17" customWidth="1"/>
    <col min="8" max="8" width="10.5" customWidth="1"/>
    <col min="9" max="9" width="14" customWidth="1"/>
  </cols>
  <sheetData>
    <row r="1" spans="1:9" ht="23.25">
      <c r="A1" s="66" t="s">
        <v>481</v>
      </c>
      <c r="B1" s="66"/>
      <c r="C1" s="66"/>
      <c r="D1" s="347"/>
      <c r="E1" s="1"/>
      <c r="F1" s="1"/>
      <c r="G1" s="1"/>
      <c r="H1" s="1"/>
      <c r="I1" s="2"/>
    </row>
    <row r="2" spans="1:9" ht="9" customHeight="1">
      <c r="A2" s="66"/>
      <c r="B2" s="66"/>
      <c r="C2" s="66"/>
      <c r="D2" s="347"/>
      <c r="E2" s="1"/>
      <c r="F2" s="1"/>
      <c r="G2" s="1"/>
      <c r="H2" s="1"/>
      <c r="I2" s="2"/>
    </row>
    <row r="3" spans="1:9">
      <c r="A3" s="764" t="s">
        <v>196</v>
      </c>
      <c r="B3" s="765"/>
      <c r="C3" s="765"/>
      <c r="D3" s="765"/>
      <c r="E3" s="765"/>
      <c r="F3" s="765"/>
      <c r="G3" s="765"/>
      <c r="H3" s="765"/>
      <c r="I3" s="766"/>
    </row>
    <row r="4" spans="1:9">
      <c r="A4" s="767" t="s">
        <v>429</v>
      </c>
      <c r="B4" s="768"/>
      <c r="C4" s="768"/>
      <c r="D4" s="768"/>
      <c r="E4" s="768"/>
      <c r="F4" s="768"/>
      <c r="G4" s="768"/>
      <c r="H4" s="768"/>
      <c r="I4" s="769"/>
    </row>
    <row r="5" spans="1:9" ht="19.5">
      <c r="A5" s="6" t="s">
        <v>472</v>
      </c>
      <c r="B5" s="7" t="s">
        <v>473</v>
      </c>
      <c r="C5" s="7" t="s">
        <v>474</v>
      </c>
      <c r="D5" s="8" t="s">
        <v>1</v>
      </c>
      <c r="E5" s="9" t="s">
        <v>475</v>
      </c>
      <c r="F5" s="10" t="s">
        <v>2</v>
      </c>
      <c r="G5" s="9" t="s">
        <v>476</v>
      </c>
      <c r="H5" s="10" t="s">
        <v>2</v>
      </c>
      <c r="I5" s="618" t="s">
        <v>3</v>
      </c>
    </row>
    <row r="6" spans="1:9" ht="19.5">
      <c r="A6" s="351"/>
      <c r="B6" s="352" t="s">
        <v>6</v>
      </c>
      <c r="C6" s="353" t="s">
        <v>5</v>
      </c>
      <c r="D6" s="354" t="s">
        <v>5</v>
      </c>
      <c r="E6" s="350" t="s">
        <v>6</v>
      </c>
      <c r="F6" s="350" t="s">
        <v>6</v>
      </c>
      <c r="G6" s="348" t="s">
        <v>5</v>
      </c>
      <c r="H6" s="348" t="s">
        <v>5</v>
      </c>
      <c r="I6" s="349" t="s">
        <v>5</v>
      </c>
    </row>
    <row r="7" spans="1:9" ht="19.5">
      <c r="A7" s="355" t="s">
        <v>7</v>
      </c>
      <c r="B7" s="356"/>
      <c r="C7" s="357"/>
      <c r="D7" s="358"/>
      <c r="E7" s="359"/>
      <c r="F7" s="360"/>
      <c r="G7" s="360"/>
      <c r="H7" s="360"/>
      <c r="I7" s="361"/>
    </row>
    <row r="8" spans="1:9" ht="19.5">
      <c r="A8" s="362" t="s">
        <v>8</v>
      </c>
      <c r="B8" s="363">
        <f>SUM(B9:B11)</f>
        <v>6291</v>
      </c>
      <c r="C8" s="363">
        <f>SUM(C9:C11)</f>
        <v>15328094</v>
      </c>
      <c r="D8" s="364">
        <f>IF(B8,C8/B8,0)</f>
        <v>2436.5115243999362</v>
      </c>
      <c r="E8" s="363">
        <f>SUM(E9:E11)</f>
        <v>10029</v>
      </c>
      <c r="F8" s="365">
        <f>E8/$E$64</f>
        <v>0.21043686264635528</v>
      </c>
      <c r="G8" s="363">
        <f>SUM(G9:G11)</f>
        <v>24613028</v>
      </c>
      <c r="H8" s="366">
        <f>G8/$G$64</f>
        <v>0.27565907284444829</v>
      </c>
      <c r="I8" s="354">
        <f>IF(E8,G8/E8,0)</f>
        <v>2454.185661581414</v>
      </c>
    </row>
    <row r="9" spans="1:9" ht="19.5">
      <c r="A9" s="367" t="s">
        <v>348</v>
      </c>
      <c r="B9" s="368">
        <f>VLOOKUP(A9,[10]進出口值表查詢結果!$B$10:$D$44,3,0)</f>
        <v>5417</v>
      </c>
      <c r="C9" s="368">
        <f>VLOOKUP(A9,[10]進出口值表查詢結果!$B$10:$D$44,2,0)</f>
        <v>13172886</v>
      </c>
      <c r="D9" s="364">
        <f t="shared" ref="D9:D63" si="0">IF(B9,C9/B9,0)</f>
        <v>2431.7677681373452</v>
      </c>
      <c r="E9" s="368">
        <f>VLOOKUP(A9,[11]進出口值表查詢結果!$B$10:$D$47,3,0)</f>
        <v>8665</v>
      </c>
      <c r="F9" s="365">
        <f>E9/$E$64</f>
        <v>0.18181627428763272</v>
      </c>
      <c r="G9" s="368">
        <f>VLOOKUP(A9,[11]進出口值表查詢結果!$B$10:$D$47,2,0)</f>
        <v>21327787</v>
      </c>
      <c r="H9" s="366">
        <f>G9/$G$64</f>
        <v>0.23886528671904478</v>
      </c>
      <c r="I9" s="354">
        <f t="shared" ref="I9:I63" si="1">IF(E9,G9/E9,0)</f>
        <v>2461.3718407386036</v>
      </c>
    </row>
    <row r="10" spans="1:9" ht="19.5">
      <c r="A10" s="369" t="s">
        <v>9</v>
      </c>
      <c r="B10" s="368">
        <f>VLOOKUP(A10,[10]進出口值表查詢結果!$B$10:$D$44,3,0)</f>
        <v>843</v>
      </c>
      <c r="C10" s="368">
        <f>VLOOKUP(A10,[10]進出口值表查詢結果!$B$10:$D$44,2,0)</f>
        <v>2013935</v>
      </c>
      <c r="D10" s="364">
        <f t="shared" si="0"/>
        <v>2389.009489916963</v>
      </c>
      <c r="E10" s="368">
        <f>VLOOKUP(A10,[11]進出口值表查詢結果!$B$10:$D$47,3,0)</f>
        <v>1285</v>
      </c>
      <c r="F10" s="365">
        <f t="shared" ref="F10:F11" si="2">E10/$E$64</f>
        <v>2.696294431155315E-2</v>
      </c>
      <c r="G10" s="368">
        <f>VLOOKUP(A10,[11]進出口值表查詢結果!$B$10:$D$47,2,0)</f>
        <v>2950279</v>
      </c>
      <c r="H10" s="366">
        <f>G10/$G$64</f>
        <v>3.3042304822163533E-2</v>
      </c>
      <c r="I10" s="354">
        <f t="shared" si="1"/>
        <v>2295.9369649805449</v>
      </c>
    </row>
    <row r="11" spans="1:9" ht="19.5">
      <c r="A11" s="369" t="s">
        <v>10</v>
      </c>
      <c r="B11" s="368">
        <f>VLOOKUP(A11,[10]進出口值表查詢結果!$B$10:$D$44,3,0)</f>
        <v>31</v>
      </c>
      <c r="C11" s="368">
        <f>VLOOKUP(A11,[10]進出口值表查詢結果!$B$10:$D$44,2,0)</f>
        <v>141273</v>
      </c>
      <c r="D11" s="364">
        <f t="shared" si="0"/>
        <v>4557.1935483870966</v>
      </c>
      <c r="E11" s="368">
        <f>VLOOKUP(A11,[11]進出口值表查詢結果!$B$10:$D$47,3,0)</f>
        <v>79</v>
      </c>
      <c r="F11" s="365">
        <f t="shared" si="2"/>
        <v>1.6576440471694155E-3</v>
      </c>
      <c r="G11" s="368">
        <f>VLOOKUP(A11,[11]進出口值表查詢結果!$B$10:$D$47,2,0)</f>
        <v>334962</v>
      </c>
      <c r="H11" s="366">
        <f>G11/$G$64</f>
        <v>3.7514813032399788E-3</v>
      </c>
      <c r="I11" s="354">
        <f t="shared" si="1"/>
        <v>4240.0253164556962</v>
      </c>
    </row>
    <row r="12" spans="1:9" ht="19.5">
      <c r="A12" s="369"/>
      <c r="B12" s="168"/>
      <c r="C12" s="168"/>
      <c r="D12" s="364"/>
      <c r="E12" s="168"/>
      <c r="F12" s="365"/>
      <c r="G12" s="168"/>
      <c r="H12" s="365"/>
      <c r="I12" s="354"/>
    </row>
    <row r="13" spans="1:9" ht="19.5">
      <c r="A13" s="370" t="s">
        <v>11</v>
      </c>
      <c r="B13" s="371">
        <f>SUM(B14:B40)</f>
        <v>15684</v>
      </c>
      <c r="C13" s="371">
        <f>SUM(C14:C40)</f>
        <v>26652424</v>
      </c>
      <c r="D13" s="364">
        <f t="shared" si="0"/>
        <v>1699.3384340729406</v>
      </c>
      <c r="E13" s="371">
        <f>SUM(E14:E40)</f>
        <v>30407</v>
      </c>
      <c r="F13" s="365">
        <f t="shared" ref="F13:F14" si="3">E13/$E$64</f>
        <v>0.638025095471904</v>
      </c>
      <c r="G13" s="371">
        <f>SUM(G14:G40)</f>
        <v>49308374</v>
      </c>
      <c r="H13" s="366">
        <f t="shared" ref="H13:H40" si="4">G13/$G$64</f>
        <v>0.55224008441006533</v>
      </c>
      <c r="I13" s="354">
        <f t="shared" si="1"/>
        <v>1621.6125892064326</v>
      </c>
    </row>
    <row r="14" spans="1:9" ht="19.5">
      <c r="A14" s="367" t="s">
        <v>349</v>
      </c>
      <c r="B14" s="368">
        <f>VLOOKUP(A14,[10]進出口值表查詢結果!$B$10:$D$44,3,0)</f>
        <v>12055</v>
      </c>
      <c r="C14" s="368">
        <f>VLOOKUP(A14,[10]進出口值表查詢結果!$B$10:$D$44,2,0)</f>
        <v>19957304</v>
      </c>
      <c r="D14" s="364">
        <f t="shared" si="0"/>
        <v>1655.5208627125674</v>
      </c>
      <c r="E14" s="368">
        <f>VLOOKUP(A14,[11]進出口值表查詢結果!$B$10:$D$47,3,0)</f>
        <v>19784</v>
      </c>
      <c r="F14" s="365">
        <f t="shared" si="3"/>
        <v>0.41512442821771789</v>
      </c>
      <c r="G14" s="368">
        <f>VLOOKUP(A14,[11]進出口值表查詢結果!$B$10:$D$47,2,0)</f>
        <v>34112745</v>
      </c>
      <c r="H14" s="366">
        <f t="shared" si="4"/>
        <v>0.38205326296622621</v>
      </c>
      <c r="I14" s="354">
        <f t="shared" si="1"/>
        <v>1724.2592498989081</v>
      </c>
    </row>
    <row r="15" spans="1:9" ht="19.5">
      <c r="A15" s="367" t="s">
        <v>350</v>
      </c>
      <c r="B15" s="368">
        <f>VLOOKUP(A15,[10]進出口值表查詢結果!$B$10:$D$44,3,0)</f>
        <v>1241</v>
      </c>
      <c r="C15" s="368">
        <f>VLOOKUP(A15,[10]進出口值表查詢結果!$B$10:$D$44,2,0)</f>
        <v>2782862</v>
      </c>
      <c r="D15" s="364">
        <f t="shared" ref="D15:D40" si="5">IF(B15,C15/B15,0)</f>
        <v>2242.4351329572924</v>
      </c>
      <c r="E15" s="368">
        <f>VLOOKUP(A15,[11]進出口值表查詢結果!$B$10:$D$47,3,0)</f>
        <v>6685</v>
      </c>
      <c r="F15" s="365">
        <f t="shared" ref="F15:F40" si="6">E15/$E$64</f>
        <v>0.14027025892819672</v>
      </c>
      <c r="G15" s="368">
        <f>VLOOKUP(A15,[11]進出口值表查詢結果!$B$10:$D$47,2,0)</f>
        <v>8631769</v>
      </c>
      <c r="H15" s="366">
        <f t="shared" si="4"/>
        <v>9.6673413752564316E-2</v>
      </c>
      <c r="I15" s="354">
        <f t="shared" si="1"/>
        <v>1291.2145100972325</v>
      </c>
    </row>
    <row r="16" spans="1:9" ht="19.5">
      <c r="A16" s="369" t="s">
        <v>14</v>
      </c>
      <c r="B16" s="368">
        <f>VLOOKUP(A16,[10]進出口值表查詢結果!$B$10:$D$44,3,0)</f>
        <v>359</v>
      </c>
      <c r="C16" s="368">
        <f>VLOOKUP(A16,[10]進出口值表查詢結果!$B$10:$D$44,2,0)</f>
        <v>733925</v>
      </c>
      <c r="D16" s="364">
        <f t="shared" si="5"/>
        <v>2044.3593314763232</v>
      </c>
      <c r="E16" s="368">
        <f>VLOOKUP(A16,[11]進出口值表查詢結果!$B$10:$D$47,3,0)</f>
        <v>468</v>
      </c>
      <c r="F16" s="365">
        <f t="shared" si="6"/>
        <v>9.8199672667757774E-3</v>
      </c>
      <c r="G16" s="368">
        <f>VLOOKUP(A16,[11]進出口值表查詢結果!$B$10:$D$47,2,0)</f>
        <v>1021873</v>
      </c>
      <c r="H16" s="366">
        <f t="shared" si="4"/>
        <v>1.1444693588483908E-2</v>
      </c>
      <c r="I16" s="354">
        <f t="shared" si="1"/>
        <v>2183.4893162393164</v>
      </c>
    </row>
    <row r="17" spans="1:9" ht="19.5">
      <c r="A17" s="367" t="s">
        <v>352</v>
      </c>
      <c r="B17" s="368">
        <f>VLOOKUP(A17,[10]進出口值表查詢結果!$B$10:$D$44,3,0)</f>
        <v>309</v>
      </c>
      <c r="C17" s="368">
        <f>VLOOKUP(A17,[10]進出口值表查詢結果!$B$10:$D$44,2,0)</f>
        <v>913241</v>
      </c>
      <c r="D17" s="364">
        <f t="shared" si="5"/>
        <v>2955.4724919093851</v>
      </c>
      <c r="E17" s="368">
        <f>VLOOKUP(A17,[11]進出口值表查詢結果!$B$10:$D$47,3,0)</f>
        <v>405</v>
      </c>
      <c r="F17" s="365">
        <f t="shared" si="6"/>
        <v>8.4980485962482689E-3</v>
      </c>
      <c r="G17" s="368">
        <f>VLOOKUP(A17,[11]進出口值表查詢結果!$B$10:$D$47,2,0)</f>
        <v>1215683</v>
      </c>
      <c r="H17" s="366">
        <f t="shared" si="4"/>
        <v>1.3615311722424295E-2</v>
      </c>
      <c r="I17" s="354">
        <f t="shared" si="1"/>
        <v>3001.6864197530863</v>
      </c>
    </row>
    <row r="18" spans="1:9" ht="19.5">
      <c r="A18" s="369" t="s">
        <v>17</v>
      </c>
      <c r="B18" s="368">
        <f>VLOOKUP(A18,[10]進出口值表查詢結果!$B$10:$D$44,3,0)</f>
        <v>307</v>
      </c>
      <c r="C18" s="368">
        <f>VLOOKUP(A18,[10]進出口值表查詢結果!$B$10:$D$44,2,0)</f>
        <v>781343</v>
      </c>
      <c r="D18" s="364">
        <f t="shared" si="5"/>
        <v>2545.0912052117264</v>
      </c>
      <c r="E18" s="368">
        <f>VLOOKUP(A18,[11]進出口值表查詢結果!$B$10:$D$47,3,0)</f>
        <v>646</v>
      </c>
      <c r="F18" s="365">
        <f t="shared" si="6"/>
        <v>1.3554912081916991E-2</v>
      </c>
      <c r="G18" s="368">
        <f>VLOOKUP(A18,[11]進出口值表查詢結果!$B$10:$D$47,2,0)</f>
        <v>1634530</v>
      </c>
      <c r="H18" s="366">
        <f t="shared" si="4"/>
        <v>1.8306281711313051E-2</v>
      </c>
      <c r="I18" s="354">
        <f t="shared" si="1"/>
        <v>2530.2321981424147</v>
      </c>
    </row>
    <row r="19" spans="1:9" ht="19.5">
      <c r="A19" s="369" t="s">
        <v>18</v>
      </c>
      <c r="B19" s="368">
        <f>VLOOKUP(A19,[10]進出口值表查詢結果!$B$10:$D$44,3,0)</f>
        <v>37</v>
      </c>
      <c r="C19" s="368">
        <f>VLOOKUP(A19,[10]進出口值表查詢結果!$B$10:$D$44,2,0)</f>
        <v>128096</v>
      </c>
      <c r="D19" s="364">
        <f t="shared" si="5"/>
        <v>3462.0540540540542</v>
      </c>
      <c r="E19" s="368">
        <f>VLOOKUP(A19,[11]進出口值表查詢結果!$B$10:$D$47,3,0)</f>
        <v>37</v>
      </c>
      <c r="F19" s="365">
        <f t="shared" si="6"/>
        <v>7.7636493348440976E-4</v>
      </c>
      <c r="G19" s="368">
        <f>VLOOKUP(A19,[11]進出口值表查詢結果!$B$10:$D$47,2,0)</f>
        <v>128096</v>
      </c>
      <c r="H19" s="366">
        <f t="shared" si="4"/>
        <v>1.4346395979837365E-3</v>
      </c>
      <c r="I19" s="354">
        <f t="shared" si="1"/>
        <v>3462.0540540540542</v>
      </c>
    </row>
    <row r="20" spans="1:9" ht="19.5">
      <c r="A20" s="367" t="s">
        <v>353</v>
      </c>
      <c r="B20" s="368">
        <f>VLOOKUP(A20,[10]進出口值表查詢結果!$B$10:$D$44,3,0)</f>
        <v>165</v>
      </c>
      <c r="C20" s="368">
        <f>VLOOKUP(A20,[10]進出口值表查詢結果!$B$10:$D$44,2,0)</f>
        <v>338708</v>
      </c>
      <c r="D20" s="364">
        <f t="shared" si="5"/>
        <v>2052.7757575757578</v>
      </c>
      <c r="E20" s="368">
        <f>VLOOKUP(A20,[11]進出口值表查詢結果!$B$10:$D$47,3,0)</f>
        <v>709</v>
      </c>
      <c r="F20" s="365">
        <f t="shared" si="6"/>
        <v>1.48768307524445E-2</v>
      </c>
      <c r="G20" s="368">
        <f>VLOOKUP(A20,[11]進出口值表查詢結果!$B$10:$D$47,2,0)</f>
        <v>742768</v>
      </c>
      <c r="H20" s="366">
        <f t="shared" si="4"/>
        <v>8.3187951607792895E-3</v>
      </c>
      <c r="I20" s="354">
        <f t="shared" si="1"/>
        <v>1047.6276445698165</v>
      </c>
    </row>
    <row r="21" spans="1:9" ht="19.5">
      <c r="A21" s="369" t="s">
        <v>67</v>
      </c>
      <c r="B21" s="368">
        <v>0</v>
      </c>
      <c r="C21" s="368">
        <v>0</v>
      </c>
      <c r="D21" s="364">
        <f t="shared" si="5"/>
        <v>0</v>
      </c>
      <c r="E21" s="368">
        <v>0</v>
      </c>
      <c r="F21" s="365">
        <f t="shared" si="6"/>
        <v>0</v>
      </c>
      <c r="G21" s="368">
        <v>0</v>
      </c>
      <c r="H21" s="366">
        <f t="shared" si="4"/>
        <v>0</v>
      </c>
      <c r="I21" s="354">
        <f t="shared" si="1"/>
        <v>0</v>
      </c>
    </row>
    <row r="22" spans="1:9" ht="19.5">
      <c r="A22" s="367" t="s">
        <v>354</v>
      </c>
      <c r="B22" s="368">
        <v>0</v>
      </c>
      <c r="C22" s="368">
        <v>0</v>
      </c>
      <c r="D22" s="364">
        <f t="shared" si="5"/>
        <v>0</v>
      </c>
      <c r="E22" s="368">
        <v>0</v>
      </c>
      <c r="F22" s="365">
        <f t="shared" si="6"/>
        <v>0</v>
      </c>
      <c r="G22" s="368">
        <v>0</v>
      </c>
      <c r="H22" s="366">
        <f t="shared" si="4"/>
        <v>0</v>
      </c>
      <c r="I22" s="354">
        <f t="shared" si="1"/>
        <v>0</v>
      </c>
    </row>
    <row r="23" spans="1:9" ht="19.5">
      <c r="A23" s="369" t="s">
        <v>22</v>
      </c>
      <c r="B23" s="368">
        <v>0</v>
      </c>
      <c r="C23" s="368">
        <v>0</v>
      </c>
      <c r="D23" s="364">
        <f t="shared" si="5"/>
        <v>0</v>
      </c>
      <c r="E23" s="368">
        <v>0</v>
      </c>
      <c r="F23" s="365">
        <f t="shared" si="6"/>
        <v>0</v>
      </c>
      <c r="G23" s="368">
        <v>0</v>
      </c>
      <c r="H23" s="366">
        <f t="shared" si="4"/>
        <v>0</v>
      </c>
      <c r="I23" s="354">
        <f t="shared" si="1"/>
        <v>0</v>
      </c>
    </row>
    <row r="24" spans="1:9" ht="19.5">
      <c r="A24" s="369" t="s">
        <v>23</v>
      </c>
      <c r="B24" s="368">
        <v>0</v>
      </c>
      <c r="C24" s="368">
        <v>0</v>
      </c>
      <c r="D24" s="364">
        <f t="shared" si="5"/>
        <v>0</v>
      </c>
      <c r="E24" s="368">
        <v>0</v>
      </c>
      <c r="F24" s="365">
        <f t="shared" si="6"/>
        <v>0</v>
      </c>
      <c r="G24" s="368">
        <v>0</v>
      </c>
      <c r="H24" s="366">
        <f t="shared" si="4"/>
        <v>0</v>
      </c>
      <c r="I24" s="354">
        <f t="shared" si="1"/>
        <v>0</v>
      </c>
    </row>
    <row r="25" spans="1:9" ht="19.5">
      <c r="A25" s="369" t="s">
        <v>24</v>
      </c>
      <c r="B25" s="368">
        <v>0</v>
      </c>
      <c r="C25" s="368">
        <v>0</v>
      </c>
      <c r="D25" s="364">
        <f t="shared" si="5"/>
        <v>0</v>
      </c>
      <c r="E25" s="368">
        <v>0</v>
      </c>
      <c r="F25" s="365">
        <f t="shared" si="6"/>
        <v>0</v>
      </c>
      <c r="G25" s="368">
        <v>0</v>
      </c>
      <c r="H25" s="366">
        <f t="shared" si="4"/>
        <v>0</v>
      </c>
      <c r="I25" s="354">
        <f t="shared" si="1"/>
        <v>0</v>
      </c>
    </row>
    <row r="26" spans="1:9" ht="19.5">
      <c r="A26" s="367" t="s">
        <v>355</v>
      </c>
      <c r="B26" s="368">
        <f>VLOOKUP(A26,[10]進出口值表查詢結果!$B$10:$D$44,3,0)</f>
        <v>790</v>
      </c>
      <c r="C26" s="368">
        <f>VLOOKUP(A26,[10]進出口值表查詢結果!$B$10:$D$44,2,0)</f>
        <v>281818</v>
      </c>
      <c r="D26" s="364">
        <f t="shared" si="5"/>
        <v>356.73164556962024</v>
      </c>
      <c r="E26" s="368">
        <f>VLOOKUP(A26,[11]進出口值表查詢結果!$B$10:$D$47,3,0)</f>
        <v>790</v>
      </c>
      <c r="F26" s="365">
        <f t="shared" si="6"/>
        <v>1.6576440471694154E-2</v>
      </c>
      <c r="G26" s="368">
        <f>VLOOKUP(A26,[11]進出口值表查詢結果!$B$10:$D$47,2,0)</f>
        <v>281818</v>
      </c>
      <c r="H26" s="366">
        <f t="shared" si="4"/>
        <v>3.1562832736742805E-3</v>
      </c>
      <c r="I26" s="354">
        <f t="shared" si="1"/>
        <v>356.73164556962024</v>
      </c>
    </row>
    <row r="27" spans="1:9" ht="19.5">
      <c r="A27" s="367" t="s">
        <v>356</v>
      </c>
      <c r="B27" s="368">
        <v>0</v>
      </c>
      <c r="C27" s="368">
        <v>0</v>
      </c>
      <c r="D27" s="364">
        <f t="shared" si="5"/>
        <v>0</v>
      </c>
      <c r="E27" s="368">
        <v>0</v>
      </c>
      <c r="F27" s="365">
        <f t="shared" si="6"/>
        <v>0</v>
      </c>
      <c r="G27" s="368">
        <v>0</v>
      </c>
      <c r="H27" s="366">
        <f t="shared" si="4"/>
        <v>0</v>
      </c>
      <c r="I27" s="354">
        <f t="shared" si="1"/>
        <v>0</v>
      </c>
    </row>
    <row r="28" spans="1:9">
      <c r="A28" s="547" t="s">
        <v>330</v>
      </c>
      <c r="B28" s="368">
        <f>VLOOKUP(A28,[10]進出口值表查詢結果!$B$10:$D$44,3,0)</f>
        <v>419</v>
      </c>
      <c r="C28" s="368">
        <f>VLOOKUP(A28,[10]進出口值表查詢結果!$B$10:$D$44,2,0)</f>
        <v>733480</v>
      </c>
      <c r="D28" s="364">
        <f t="shared" si="5"/>
        <v>1750.5489260143197</v>
      </c>
      <c r="E28" s="368">
        <f>VLOOKUP(A28,[11]進出口值表查詢結果!$B$10:$D$47,3,0)</f>
        <v>803</v>
      </c>
      <c r="F28" s="365">
        <f t="shared" si="6"/>
        <v>1.6849217340215702E-2</v>
      </c>
      <c r="G28" s="368">
        <f>VLOOKUP(A28,[11]進出口值表查詢結果!$B$10:$D$47,2,0)</f>
        <v>1393677</v>
      </c>
      <c r="H28" s="366">
        <f t="shared" si="4"/>
        <v>1.5608795052141987E-2</v>
      </c>
      <c r="I28" s="354">
        <f t="shared" si="1"/>
        <v>1735.5877957658779</v>
      </c>
    </row>
    <row r="29" spans="1:9">
      <c r="A29" s="547" t="s">
        <v>331</v>
      </c>
      <c r="B29" s="368">
        <v>0</v>
      </c>
      <c r="C29" s="368">
        <v>0</v>
      </c>
      <c r="D29" s="364">
        <f t="shared" si="5"/>
        <v>0</v>
      </c>
      <c r="E29" s="368">
        <v>0</v>
      </c>
      <c r="F29" s="365">
        <f t="shared" si="6"/>
        <v>0</v>
      </c>
      <c r="G29" s="368">
        <v>0</v>
      </c>
      <c r="H29" s="366">
        <f t="shared" si="4"/>
        <v>0</v>
      </c>
      <c r="I29" s="354">
        <f t="shared" si="1"/>
        <v>0</v>
      </c>
    </row>
    <row r="30" spans="1:9" ht="19.5">
      <c r="A30" s="369" t="s">
        <v>27</v>
      </c>
      <c r="B30" s="368">
        <f>VLOOKUP(A30,[10]進出口值表查詢結果!$B$10:$D$44,3,0)</f>
        <v>2</v>
      </c>
      <c r="C30" s="368">
        <f>VLOOKUP(A30,[10]進出口值表查詢結果!$B$10:$D$44,2,0)</f>
        <v>1647</v>
      </c>
      <c r="D30" s="364">
        <f t="shared" si="5"/>
        <v>823.5</v>
      </c>
      <c r="E30" s="368">
        <f>VLOOKUP(A30,[11]進出口值表查詢結果!$B$10:$D$47,3,0)</f>
        <v>71</v>
      </c>
      <c r="F30" s="365">
        <f t="shared" si="6"/>
        <v>1.4897813588484619E-3</v>
      </c>
      <c r="G30" s="368">
        <f>VLOOKUP(A30,[11]進出口值表查詢結果!$B$10:$D$47,2,0)</f>
        <v>125529</v>
      </c>
      <c r="H30" s="366">
        <f t="shared" si="4"/>
        <v>1.4058899114359577E-3</v>
      </c>
      <c r="I30" s="354">
        <f t="shared" si="1"/>
        <v>1768.0140845070423</v>
      </c>
    </row>
    <row r="31" spans="1:9" ht="19.5">
      <c r="A31" s="369" t="s">
        <v>28</v>
      </c>
      <c r="B31" s="368">
        <v>0</v>
      </c>
      <c r="C31" s="368">
        <v>0</v>
      </c>
      <c r="D31" s="364">
        <f t="shared" si="5"/>
        <v>0</v>
      </c>
      <c r="E31" s="368">
        <v>0</v>
      </c>
      <c r="F31" s="365">
        <f t="shared" si="6"/>
        <v>0</v>
      </c>
      <c r="G31" s="368">
        <v>0</v>
      </c>
      <c r="H31" s="366">
        <f t="shared" si="4"/>
        <v>0</v>
      </c>
      <c r="I31" s="354">
        <f t="shared" si="1"/>
        <v>0</v>
      </c>
    </row>
    <row r="32" spans="1:9" ht="19.5">
      <c r="A32" s="369" t="s">
        <v>29</v>
      </c>
      <c r="B32" s="368">
        <v>0</v>
      </c>
      <c r="C32" s="368">
        <v>0</v>
      </c>
      <c r="D32" s="364">
        <f t="shared" si="5"/>
        <v>0</v>
      </c>
      <c r="E32" s="368">
        <v>0</v>
      </c>
      <c r="F32" s="365">
        <f t="shared" si="6"/>
        <v>0</v>
      </c>
      <c r="G32" s="368">
        <v>0</v>
      </c>
      <c r="H32" s="366">
        <f t="shared" si="4"/>
        <v>0</v>
      </c>
      <c r="I32" s="354">
        <f t="shared" si="1"/>
        <v>0</v>
      </c>
    </row>
    <row r="33" spans="1:9" ht="19.5">
      <c r="A33" s="369" t="s">
        <v>30</v>
      </c>
      <c r="B33" s="368">
        <v>0</v>
      </c>
      <c r="C33" s="368">
        <v>0</v>
      </c>
      <c r="D33" s="364">
        <f t="shared" si="5"/>
        <v>0</v>
      </c>
      <c r="E33" s="368">
        <v>0</v>
      </c>
      <c r="F33" s="365">
        <f t="shared" si="6"/>
        <v>0</v>
      </c>
      <c r="G33" s="368">
        <v>0</v>
      </c>
      <c r="H33" s="366">
        <f t="shared" si="4"/>
        <v>0</v>
      </c>
      <c r="I33" s="354">
        <f t="shared" si="1"/>
        <v>0</v>
      </c>
    </row>
    <row r="34" spans="1:9" ht="19.5">
      <c r="A34" s="369" t="s">
        <v>31</v>
      </c>
      <c r="B34" s="368">
        <v>0</v>
      </c>
      <c r="C34" s="368">
        <v>0</v>
      </c>
      <c r="D34" s="364">
        <f t="shared" si="5"/>
        <v>0</v>
      </c>
      <c r="E34" s="368">
        <v>0</v>
      </c>
      <c r="F34" s="365">
        <f t="shared" si="6"/>
        <v>0</v>
      </c>
      <c r="G34" s="368">
        <v>0</v>
      </c>
      <c r="H34" s="366">
        <f t="shared" si="4"/>
        <v>0</v>
      </c>
      <c r="I34" s="354">
        <f t="shared" si="1"/>
        <v>0</v>
      </c>
    </row>
    <row r="35" spans="1:9" ht="19.5">
      <c r="A35" s="369" t="s">
        <v>32</v>
      </c>
      <c r="B35" s="368">
        <v>0</v>
      </c>
      <c r="C35" s="368">
        <v>0</v>
      </c>
      <c r="D35" s="364">
        <f t="shared" si="5"/>
        <v>0</v>
      </c>
      <c r="E35" s="368">
        <v>0</v>
      </c>
      <c r="F35" s="365">
        <f t="shared" si="6"/>
        <v>0</v>
      </c>
      <c r="G35" s="368">
        <v>0</v>
      </c>
      <c r="H35" s="366">
        <f t="shared" si="4"/>
        <v>0</v>
      </c>
      <c r="I35" s="354">
        <f t="shared" si="1"/>
        <v>0</v>
      </c>
    </row>
    <row r="36" spans="1:9" ht="19.5">
      <c r="A36" s="369" t="s">
        <v>33</v>
      </c>
      <c r="B36" s="368">
        <v>0</v>
      </c>
      <c r="C36" s="368">
        <v>0</v>
      </c>
      <c r="D36" s="364">
        <f t="shared" si="5"/>
        <v>0</v>
      </c>
      <c r="E36" s="368">
        <f>VLOOKUP(A36,[11]進出口值表查詢結果!$B$10:$D$47,3,0)</f>
        <v>9</v>
      </c>
      <c r="F36" s="365">
        <f t="shared" si="6"/>
        <v>1.8884552436107264E-4</v>
      </c>
      <c r="G36" s="368">
        <f>VLOOKUP(A36,[11]進出口值表查詢結果!$B$10:$D$47,2,0)</f>
        <v>19886</v>
      </c>
      <c r="H36" s="366">
        <f t="shared" si="4"/>
        <v>2.2271767303822589E-4</v>
      </c>
      <c r="I36" s="354">
        <f t="shared" si="1"/>
        <v>2209.5555555555557</v>
      </c>
    </row>
    <row r="37" spans="1:9" ht="19.5">
      <c r="A37" s="369" t="s">
        <v>78</v>
      </c>
      <c r="B37" s="368">
        <v>0</v>
      </c>
      <c r="C37" s="368">
        <v>0</v>
      </c>
      <c r="D37" s="364">
        <f t="shared" si="5"/>
        <v>0</v>
      </c>
      <c r="E37" s="368">
        <v>0</v>
      </c>
      <c r="F37" s="365">
        <f t="shared" si="6"/>
        <v>0</v>
      </c>
      <c r="G37" s="368">
        <v>0</v>
      </c>
      <c r="H37" s="366">
        <f t="shared" si="4"/>
        <v>0</v>
      </c>
      <c r="I37" s="354">
        <f t="shared" si="1"/>
        <v>0</v>
      </c>
    </row>
    <row r="38" spans="1:9" ht="19.5">
      <c r="A38" s="369" t="s">
        <v>35</v>
      </c>
      <c r="B38" s="368">
        <v>0</v>
      </c>
      <c r="C38" s="368">
        <v>0</v>
      </c>
      <c r="D38" s="364">
        <f t="shared" si="5"/>
        <v>0</v>
      </c>
      <c r="E38" s="368">
        <v>0</v>
      </c>
      <c r="F38" s="365">
        <f t="shared" si="6"/>
        <v>0</v>
      </c>
      <c r="G38" s="368">
        <v>0</v>
      </c>
      <c r="H38" s="366">
        <f t="shared" si="4"/>
        <v>0</v>
      </c>
      <c r="I38" s="354">
        <f t="shared" si="1"/>
        <v>0</v>
      </c>
    </row>
    <row r="39" spans="1:9" ht="19.5">
      <c r="A39" s="369" t="s">
        <v>36</v>
      </c>
      <c r="B39" s="368">
        <v>0</v>
      </c>
      <c r="C39" s="368">
        <v>0</v>
      </c>
      <c r="D39" s="364">
        <f t="shared" si="5"/>
        <v>0</v>
      </c>
      <c r="E39" s="368">
        <v>0</v>
      </c>
      <c r="F39" s="365">
        <f t="shared" si="6"/>
        <v>0</v>
      </c>
      <c r="G39" s="368">
        <v>0</v>
      </c>
      <c r="H39" s="366">
        <f t="shared" si="4"/>
        <v>0</v>
      </c>
      <c r="I39" s="354">
        <f t="shared" si="1"/>
        <v>0</v>
      </c>
    </row>
    <row r="40" spans="1:9" ht="19.5">
      <c r="A40" s="369" t="s">
        <v>37</v>
      </c>
      <c r="B40" s="368">
        <v>0</v>
      </c>
      <c r="C40" s="368">
        <v>0</v>
      </c>
      <c r="D40" s="364">
        <f t="shared" si="5"/>
        <v>0</v>
      </c>
      <c r="E40" s="368">
        <v>0</v>
      </c>
      <c r="F40" s="365">
        <f t="shared" si="6"/>
        <v>0</v>
      </c>
      <c r="G40" s="368">
        <v>0</v>
      </c>
      <c r="H40" s="366">
        <f t="shared" si="4"/>
        <v>0</v>
      </c>
      <c r="I40" s="354">
        <f t="shared" si="1"/>
        <v>0</v>
      </c>
    </row>
    <row r="41" spans="1:9" ht="19.5">
      <c r="A41" s="369"/>
      <c r="B41" s="168"/>
      <c r="C41" s="169"/>
      <c r="D41" s="364"/>
      <c r="E41" s="168"/>
      <c r="F41" s="365"/>
      <c r="G41" s="169"/>
      <c r="H41" s="365"/>
      <c r="I41" s="354"/>
    </row>
    <row r="42" spans="1:9" ht="19.5">
      <c r="A42" s="372" t="s">
        <v>38</v>
      </c>
      <c r="B42" s="371">
        <f>SUM(B43:B46)</f>
        <v>522</v>
      </c>
      <c r="C42" s="371">
        <f>SUM(C43:C46)</f>
        <v>1432816</v>
      </c>
      <c r="D42" s="364">
        <f t="shared" si="0"/>
        <v>2744.8582375478927</v>
      </c>
      <c r="E42" s="371">
        <f>SUM(E43:E46)</f>
        <v>1130</v>
      </c>
      <c r="F42" s="365">
        <f>E42/$E$64</f>
        <v>2.3710604725334677E-2</v>
      </c>
      <c r="G42" s="371">
        <f>SUM(G43:G46)</f>
        <v>2578234</v>
      </c>
      <c r="H42" s="366">
        <f>G42/$G$64</f>
        <v>2.8875504225487139E-2</v>
      </c>
      <c r="I42" s="354">
        <f t="shared" si="1"/>
        <v>2281.6230088495577</v>
      </c>
    </row>
    <row r="43" spans="1:9" ht="19.5">
      <c r="A43" s="367" t="s">
        <v>359</v>
      </c>
      <c r="B43" s="368">
        <f>VLOOKUP(A43,[10]進出口值表查詢結果!$B$10:$D$44,3,0)</f>
        <v>522</v>
      </c>
      <c r="C43" s="368">
        <f>VLOOKUP(A43,[10]進出口值表查詢結果!$B$10:$D$44,2,0)</f>
        <v>1432816</v>
      </c>
      <c r="D43" s="364">
        <f t="shared" si="0"/>
        <v>2744.8582375478927</v>
      </c>
      <c r="E43" s="368">
        <f>VLOOKUP(A43,[11]進出口值表查詢結果!$B$10:$D$47,3,0)</f>
        <v>839</v>
      </c>
      <c r="F43" s="365">
        <f>E43/$E$64</f>
        <v>1.7604599437659994E-2</v>
      </c>
      <c r="G43" s="368">
        <f>VLOOKUP(A43,[11]進出口值表查詢結果!$B$10:$D$47,2,0)</f>
        <v>2092030</v>
      </c>
      <c r="H43" s="366">
        <f>G43/$G$64</f>
        <v>2.3430154557284505E-2</v>
      </c>
      <c r="I43" s="354">
        <f t="shared" si="1"/>
        <v>2493.4803337306316</v>
      </c>
    </row>
    <row r="44" spans="1:9" ht="19.5">
      <c r="A44" s="367" t="s">
        <v>360</v>
      </c>
      <c r="B44" s="368">
        <v>0</v>
      </c>
      <c r="C44" s="368">
        <v>0</v>
      </c>
      <c r="D44" s="364">
        <f t="shared" ref="D44:D46" si="7">IF(B44,C44/B44,0)</f>
        <v>0</v>
      </c>
      <c r="E44" s="368">
        <f>VLOOKUP(A44,[11]進出口值表查詢結果!$B$10:$D$47,3,0)</f>
        <v>291</v>
      </c>
      <c r="F44" s="365">
        <f t="shared" ref="F44:F46" si="8">E44/$E$64</f>
        <v>6.1060052876746821E-3</v>
      </c>
      <c r="G44" s="368">
        <f>VLOOKUP(A44,[11]進出口值表查詢結果!$B$10:$D$47,2,0)</f>
        <v>486204</v>
      </c>
      <c r="H44" s="366">
        <f>G44/$G$64</f>
        <v>5.4453496682026342E-3</v>
      </c>
      <c r="I44" s="354">
        <f t="shared" si="1"/>
        <v>1670.8041237113403</v>
      </c>
    </row>
    <row r="45" spans="1:9" ht="19.5">
      <c r="A45" s="367" t="s">
        <v>361</v>
      </c>
      <c r="B45" s="368">
        <v>0</v>
      </c>
      <c r="C45" s="368">
        <v>0</v>
      </c>
      <c r="D45" s="364">
        <f t="shared" si="7"/>
        <v>0</v>
      </c>
      <c r="E45" s="368">
        <v>0</v>
      </c>
      <c r="F45" s="365">
        <f t="shared" si="8"/>
        <v>0</v>
      </c>
      <c r="G45" s="368">
        <v>0</v>
      </c>
      <c r="H45" s="366">
        <f>G45/$G$64</f>
        <v>0</v>
      </c>
      <c r="I45" s="354">
        <f t="shared" si="1"/>
        <v>0</v>
      </c>
    </row>
    <row r="46" spans="1:9" ht="19.5">
      <c r="A46" s="369" t="s">
        <v>42</v>
      </c>
      <c r="B46" s="368">
        <v>0</v>
      </c>
      <c r="C46" s="368">
        <v>0</v>
      </c>
      <c r="D46" s="364">
        <f t="shared" si="7"/>
        <v>0</v>
      </c>
      <c r="E46" s="368">
        <v>0</v>
      </c>
      <c r="F46" s="365">
        <f t="shared" si="8"/>
        <v>0</v>
      </c>
      <c r="G46" s="368">
        <v>0</v>
      </c>
      <c r="H46" s="366">
        <f>G46/$G$64</f>
        <v>0</v>
      </c>
      <c r="I46" s="354">
        <f t="shared" si="1"/>
        <v>0</v>
      </c>
    </row>
    <row r="47" spans="1:9" ht="19.5">
      <c r="A47" s="369"/>
      <c r="B47" s="168"/>
      <c r="C47" s="169"/>
      <c r="D47" s="364"/>
      <c r="E47" s="168"/>
      <c r="F47" s="365"/>
      <c r="G47" s="169"/>
      <c r="H47" s="365"/>
      <c r="I47" s="354"/>
    </row>
    <row r="48" spans="1:9" ht="19.5">
      <c r="A48" s="372" t="s">
        <v>43</v>
      </c>
      <c r="B48" s="371">
        <f>SUM(B49:B62)</f>
        <v>2392</v>
      </c>
      <c r="C48" s="371">
        <f>SUM(C49:C62)</f>
        <v>4228383</v>
      </c>
      <c r="D48" s="364">
        <f t="shared" si="0"/>
        <v>1767.7186454849498</v>
      </c>
      <c r="E48" s="371">
        <f>SUM(E49:E62)</f>
        <v>5534</v>
      </c>
      <c r="F48" s="365">
        <f t="shared" ref="F48:F64" si="9">E48/$E$64</f>
        <v>0.11611901464601955</v>
      </c>
      <c r="G48" s="371">
        <f>SUM(G49:G62)</f>
        <v>10909925</v>
      </c>
      <c r="H48" s="366">
        <f t="shared" ref="H48:H64" si="10">G48/$G$64</f>
        <v>0.12218812777942102</v>
      </c>
      <c r="I48" s="354">
        <f t="shared" si="1"/>
        <v>1971.4356704011566</v>
      </c>
    </row>
    <row r="49" spans="1:9" ht="19.5">
      <c r="A49" s="367" t="s">
        <v>351</v>
      </c>
      <c r="B49" s="368">
        <f>VLOOKUP(A49,[10]進出口值表查詢結果!$B$10:$D$44,3,0)</f>
        <v>634</v>
      </c>
      <c r="C49" s="368">
        <f>VLOOKUP(A49,[10]進出口值表查詢結果!$B$10:$D$44,2,0)</f>
        <v>898005</v>
      </c>
      <c r="D49" s="364">
        <f t="shared" si="0"/>
        <v>1416.4116719242902</v>
      </c>
      <c r="E49" s="368">
        <f>VLOOKUP(A49,[11]進出口值表查詢結果!$B$10:$D$47,3,0)</f>
        <v>2104</v>
      </c>
      <c r="F49" s="365">
        <f t="shared" si="9"/>
        <v>4.4147887028410757E-2</v>
      </c>
      <c r="G49" s="368">
        <f>VLOOKUP(A49,[11]進出口值表查詢結果!$B$10:$D$47,2,0)</f>
        <v>4296452</v>
      </c>
      <c r="H49" s="366">
        <f t="shared" si="10"/>
        <v>4.8119068277201631E-2</v>
      </c>
      <c r="I49" s="354">
        <f t="shared" si="1"/>
        <v>2042.0399239543726</v>
      </c>
    </row>
    <row r="50" spans="1:9" ht="19.5">
      <c r="A50" s="367" t="s">
        <v>362</v>
      </c>
      <c r="B50" s="368">
        <f>VLOOKUP(A50,[10]進出口值表查詢結果!$B$10:$D$44,3,0)</f>
        <v>215</v>
      </c>
      <c r="C50" s="368">
        <f>VLOOKUP(A50,[10]進出口值表查詢結果!$B$10:$D$44,2,0)</f>
        <v>228129</v>
      </c>
      <c r="D50" s="364">
        <f t="shared" ref="D50:D62" si="11">IF(B50,C50/B50,0)</f>
        <v>1061.0651162790698</v>
      </c>
      <c r="E50" s="368">
        <f>VLOOKUP(A50,[11]進出口值表查詢結果!$B$10:$D$47,3,0)</f>
        <v>693</v>
      </c>
      <c r="F50" s="365">
        <f t="shared" ref="F50:F62" si="12">E50/$E$64</f>
        <v>1.4541105375802594E-2</v>
      </c>
      <c r="G50" s="368">
        <f>VLOOKUP(A50,[11]進出口值表查詢結果!$B$10:$D$47,2,0)</f>
        <v>657752</v>
      </c>
      <c r="H50" s="366">
        <f t="shared" si="10"/>
        <v>7.3666395894719473E-3</v>
      </c>
      <c r="I50" s="354">
        <f t="shared" si="1"/>
        <v>949.13708513708514</v>
      </c>
    </row>
    <row r="51" spans="1:9">
      <c r="A51" s="548" t="s">
        <v>341</v>
      </c>
      <c r="B51" s="368">
        <f>VLOOKUP(A51,[10]進出口值表查詢結果!$B$10:$D$44,3,0)</f>
        <v>169</v>
      </c>
      <c r="C51" s="368">
        <f>VLOOKUP(A51,[10]進出口值表查詢結果!$B$10:$D$44,2,0)</f>
        <v>250459</v>
      </c>
      <c r="D51" s="364">
        <f t="shared" si="11"/>
        <v>1482.0059171597634</v>
      </c>
      <c r="E51" s="368">
        <f>VLOOKUP(A51,[11]進出口值表查詢結果!$B$10:$D$47,3,0)</f>
        <v>172</v>
      </c>
      <c r="F51" s="365">
        <f t="shared" si="12"/>
        <v>3.6090477989004994E-3</v>
      </c>
      <c r="G51" s="368">
        <f>VLOOKUP(A51,[11]進出口值表查詢結果!$B$10:$D$47,2,0)</f>
        <v>253884</v>
      </c>
      <c r="H51" s="366">
        <f t="shared" si="10"/>
        <v>2.8434302374352278E-3</v>
      </c>
      <c r="I51" s="354">
        <f t="shared" si="1"/>
        <v>1476.0697674418604</v>
      </c>
    </row>
    <row r="52" spans="1:9" ht="19.5">
      <c r="A52" s="367" t="s">
        <v>363</v>
      </c>
      <c r="B52" s="368">
        <f>VLOOKUP(A52,[10]進出口值表查詢結果!$B$10:$D$44,3,0)</f>
        <v>43</v>
      </c>
      <c r="C52" s="368">
        <f>VLOOKUP(A52,[10]進出口值表查詢結果!$B$10:$D$44,2,0)</f>
        <v>131232</v>
      </c>
      <c r="D52" s="364">
        <f t="shared" si="11"/>
        <v>3051.9069767441861</v>
      </c>
      <c r="E52" s="368">
        <f>VLOOKUP(A52,[11]進出口值表查詢結果!$B$10:$D$47,3,0)</f>
        <v>43</v>
      </c>
      <c r="F52" s="365">
        <f t="shared" si="12"/>
        <v>9.0226194972512484E-4</v>
      </c>
      <c r="G52" s="368">
        <f>VLOOKUP(A52,[11]進出口值表查詢結果!$B$10:$D$47,2,0)</f>
        <v>131232</v>
      </c>
      <c r="H52" s="366">
        <f t="shared" si="10"/>
        <v>1.4697619263880348E-3</v>
      </c>
      <c r="I52" s="354">
        <f t="shared" si="1"/>
        <v>3051.9069767441861</v>
      </c>
    </row>
    <row r="53" spans="1:9" ht="19.5">
      <c r="A53" s="369" t="s">
        <v>47</v>
      </c>
      <c r="B53" s="368">
        <f>VLOOKUP(A53,[10]進出口值表查詢結果!$B$10:$D$44,3,0)</f>
        <v>13</v>
      </c>
      <c r="C53" s="368">
        <f>VLOOKUP(A53,[10]進出口值表查詢結果!$B$10:$D$44,2,0)</f>
        <v>35128</v>
      </c>
      <c r="D53" s="364">
        <f t="shared" si="11"/>
        <v>2702.1538461538462</v>
      </c>
      <c r="E53" s="368">
        <f>VLOOKUP(A53,[11]進出口值表查詢結果!$B$10:$D$47,3,0)</f>
        <v>25</v>
      </c>
      <c r="F53" s="365">
        <f t="shared" si="12"/>
        <v>5.2457090100297961E-4</v>
      </c>
      <c r="G53" s="368">
        <f>VLOOKUP(A53,[11]進出口值表查詢結果!$B$10:$D$47,2,0)</f>
        <v>76105</v>
      </c>
      <c r="H53" s="366">
        <f t="shared" si="10"/>
        <v>8.5235484796209295E-4</v>
      </c>
      <c r="I53" s="354">
        <f t="shared" si="1"/>
        <v>3044.2</v>
      </c>
    </row>
    <row r="54" spans="1:9" ht="19.5">
      <c r="A54" s="367" t="s">
        <v>364</v>
      </c>
      <c r="B54" s="368">
        <f>VLOOKUP(A54,[10]進出口值表查詢結果!$B$10:$D$44,3,0)</f>
        <v>105</v>
      </c>
      <c r="C54" s="368">
        <f>VLOOKUP(A54,[10]進出口值表查詢結果!$B$10:$D$44,2,0)</f>
        <v>368989</v>
      </c>
      <c r="D54" s="364">
        <f t="shared" si="11"/>
        <v>3514.1809523809525</v>
      </c>
      <c r="E54" s="368">
        <f>VLOOKUP(A54,[11]進出口值表查詢結果!$B$10:$D$47,3,0)</f>
        <v>227</v>
      </c>
      <c r="F54" s="365">
        <f t="shared" si="12"/>
        <v>4.7631037811070543E-3</v>
      </c>
      <c r="G54" s="368">
        <f>VLOOKUP(A54,[11]進出口值表查詢結果!$B$10:$D$47,2,0)</f>
        <v>724904</v>
      </c>
      <c r="H54" s="366">
        <f t="shared" si="10"/>
        <v>8.1187233257619482E-3</v>
      </c>
      <c r="I54" s="354">
        <f t="shared" si="1"/>
        <v>3193.4096916299559</v>
      </c>
    </row>
    <row r="55" spans="1:9" ht="19.5">
      <c r="A55" s="369" t="s">
        <v>49</v>
      </c>
      <c r="B55" s="368">
        <f>VLOOKUP(A55,[10]進出口值表查詢結果!$B$10:$D$44,3,0)</f>
        <v>833</v>
      </c>
      <c r="C55" s="368">
        <f>VLOOKUP(A55,[10]進出口值表查詢結果!$B$10:$D$44,2,0)</f>
        <v>1473995</v>
      </c>
      <c r="D55" s="364">
        <f t="shared" si="11"/>
        <v>1769.5018007202882</v>
      </c>
      <c r="E55" s="368">
        <f>VLOOKUP(A55,[11]進出口值表查詢結果!$B$10:$D$47,3,0)</f>
        <v>1359</v>
      </c>
      <c r="F55" s="365">
        <f t="shared" si="12"/>
        <v>2.8515674178521969E-2</v>
      </c>
      <c r="G55" s="368">
        <f>VLOOKUP(A55,[11]進出口值表查詢結果!$B$10:$D$47,2,0)</f>
        <v>2729180</v>
      </c>
      <c r="H55" s="366">
        <f t="shared" si="10"/>
        <v>3.0566057472717758E-2</v>
      </c>
      <c r="I55" s="354">
        <f t="shared" si="1"/>
        <v>2008.2266372332597</v>
      </c>
    </row>
    <row r="56" spans="1:9" ht="19.5">
      <c r="A56" s="369" t="s">
        <v>50</v>
      </c>
      <c r="B56" s="368">
        <f>VLOOKUP(A56,[10]進出口值表查詢結果!$B$10:$D$44,3,0)</f>
        <v>28</v>
      </c>
      <c r="C56" s="368">
        <f>VLOOKUP(A56,[10]進出口值表查詢結果!$B$10:$D$44,2,0)</f>
        <v>72189</v>
      </c>
      <c r="D56" s="364">
        <f t="shared" si="11"/>
        <v>2578.1785714285716</v>
      </c>
      <c r="E56" s="368">
        <f>VLOOKUP(A56,[11]進出口值表查詢結果!$B$10:$D$47,3,0)</f>
        <v>63</v>
      </c>
      <c r="F56" s="365">
        <f t="shared" si="12"/>
        <v>1.3219186705275086E-3</v>
      </c>
      <c r="G56" s="368">
        <f>VLOOKUP(A56,[11]進出口值表查詢結果!$B$10:$D$47,2,0)</f>
        <v>143676</v>
      </c>
      <c r="H56" s="366">
        <f t="shared" si="10"/>
        <v>1.6091312677984583E-3</v>
      </c>
      <c r="I56" s="354">
        <f t="shared" si="1"/>
        <v>2280.5714285714284</v>
      </c>
    </row>
    <row r="57" spans="1:9" ht="19.5">
      <c r="A57" s="369" t="s">
        <v>51</v>
      </c>
      <c r="B57" s="368">
        <f>VLOOKUP(A57,[10]進出口值表查詢結果!$B$10:$D$44,3,0)</f>
        <v>5</v>
      </c>
      <c r="C57" s="368">
        <f>VLOOKUP(A57,[10]進出口值表查詢結果!$B$10:$D$44,2,0)</f>
        <v>7380</v>
      </c>
      <c r="D57" s="364">
        <f t="shared" si="11"/>
        <v>1476</v>
      </c>
      <c r="E57" s="368">
        <f>VLOOKUP(A57,[11]進出口值表查詢結果!$B$10:$D$47,3,0)</f>
        <v>5</v>
      </c>
      <c r="F57" s="365">
        <f t="shared" si="12"/>
        <v>1.0491418020059592E-4</v>
      </c>
      <c r="G57" s="368">
        <f>VLOOKUP(A57,[11]進出口值表查詢結果!$B$10:$D$47,2,0)</f>
        <v>7380</v>
      </c>
      <c r="H57" s="366">
        <f t="shared" si="10"/>
        <v>8.2653948859605101E-5</v>
      </c>
      <c r="I57" s="354">
        <f t="shared" si="1"/>
        <v>1476</v>
      </c>
    </row>
    <row r="58" spans="1:9">
      <c r="A58" s="547" t="s">
        <v>340</v>
      </c>
      <c r="B58" s="368">
        <f>VLOOKUP(A58,[10]進出口值表查詢結果!$B$10:$D$44,3,0)</f>
        <v>8</v>
      </c>
      <c r="C58" s="368">
        <f>VLOOKUP(A58,[10]進出口值表查詢結果!$B$10:$D$44,2,0)</f>
        <v>16756</v>
      </c>
      <c r="D58" s="364">
        <f t="shared" si="11"/>
        <v>2094.5</v>
      </c>
      <c r="E58" s="368">
        <f>VLOOKUP(A58,[11]進出口值表查詢結果!$B$10:$D$47,3,0)</f>
        <v>29</v>
      </c>
      <c r="F58" s="365">
        <f t="shared" si="12"/>
        <v>6.0850224516345629E-4</v>
      </c>
      <c r="G58" s="368">
        <f>VLOOKUP(A58,[11]進出口值表查詢結果!$B$10:$D$47,2,0)</f>
        <v>60048</v>
      </c>
      <c r="H58" s="366">
        <f t="shared" si="10"/>
        <v>6.7252091072107952E-4</v>
      </c>
      <c r="I58" s="354">
        <f t="shared" si="1"/>
        <v>2070.6206896551726</v>
      </c>
    </row>
    <row r="59" spans="1:9" ht="19.5">
      <c r="A59" s="369" t="s">
        <v>52</v>
      </c>
      <c r="B59" s="368">
        <v>0</v>
      </c>
      <c r="C59" s="368">
        <v>0</v>
      </c>
      <c r="D59" s="364">
        <f t="shared" si="11"/>
        <v>0</v>
      </c>
      <c r="E59" s="368">
        <v>0</v>
      </c>
      <c r="F59" s="365">
        <f t="shared" si="12"/>
        <v>0</v>
      </c>
      <c r="G59" s="368">
        <v>0</v>
      </c>
      <c r="H59" s="366">
        <f t="shared" si="10"/>
        <v>0</v>
      </c>
      <c r="I59" s="354">
        <f t="shared" si="1"/>
        <v>0</v>
      </c>
    </row>
    <row r="60" spans="1:9" ht="19.5">
      <c r="A60" s="369" t="s">
        <v>53</v>
      </c>
      <c r="B60" s="368">
        <v>0</v>
      </c>
      <c r="C60" s="368">
        <v>0</v>
      </c>
      <c r="D60" s="364">
        <f t="shared" si="11"/>
        <v>0</v>
      </c>
      <c r="E60" s="368">
        <v>0</v>
      </c>
      <c r="F60" s="365">
        <f t="shared" si="12"/>
        <v>0</v>
      </c>
      <c r="G60" s="368">
        <v>0</v>
      </c>
      <c r="H60" s="366">
        <f t="shared" si="10"/>
        <v>0</v>
      </c>
      <c r="I60" s="354">
        <f t="shared" si="1"/>
        <v>0</v>
      </c>
    </row>
    <row r="61" spans="1:9" ht="19.5">
      <c r="A61" s="369" t="s">
        <v>54</v>
      </c>
      <c r="B61" s="368">
        <f>VLOOKUP(A61,[10]進出口值表查詢結果!$B$10:$D$44,3,0)</f>
        <v>199</v>
      </c>
      <c r="C61" s="368">
        <f>VLOOKUP(A61,[10]進出口值表查詢結果!$B$10:$D$44,2,0)</f>
        <v>407381</v>
      </c>
      <c r="D61" s="364">
        <f t="shared" si="11"/>
        <v>2047.140703517588</v>
      </c>
      <c r="E61" s="368">
        <f>VLOOKUP(A61,[11]進出口值表查詢結果!$B$10:$D$47,3,0)</f>
        <v>648</v>
      </c>
      <c r="F61" s="365">
        <f t="shared" si="12"/>
        <v>1.359687775399723E-2</v>
      </c>
      <c r="G61" s="368">
        <f>VLOOKUP(A61,[11]進出口值表查詢結果!$B$10:$D$47,2,0)</f>
        <v>1433198</v>
      </c>
      <c r="H61" s="366">
        <f t="shared" si="10"/>
        <v>1.6051419267979445E-2</v>
      </c>
      <c r="I61" s="354">
        <f t="shared" si="1"/>
        <v>2211.7253086419755</v>
      </c>
    </row>
    <row r="62" spans="1:9">
      <c r="A62" s="547" t="s">
        <v>338</v>
      </c>
      <c r="B62" s="368">
        <f>VLOOKUP(A62,[10]進出口值表查詢結果!$B$10:$D$44,3,0)</f>
        <v>140</v>
      </c>
      <c r="C62" s="368">
        <f>VLOOKUP(A62,[10]進出口值表查詢結果!$B$10:$D$44,2,0)</f>
        <v>338740</v>
      </c>
      <c r="D62" s="364">
        <f t="shared" si="11"/>
        <v>2419.5714285714284</v>
      </c>
      <c r="E62" s="368">
        <f>VLOOKUP(A62,[11]進出口值表查詢結果!$B$10:$D$47,3,0)</f>
        <v>166</v>
      </c>
      <c r="F62" s="365">
        <f t="shared" si="12"/>
        <v>3.4831507826597842E-3</v>
      </c>
      <c r="G62" s="368">
        <f>VLOOKUP(A62,[11]進出口值表查詢結果!$B$10:$D$47,2,0)</f>
        <v>396114</v>
      </c>
      <c r="H62" s="366">
        <f t="shared" si="10"/>
        <v>4.4363667071237959E-3</v>
      </c>
      <c r="I62" s="354">
        <f t="shared" si="1"/>
        <v>2386.2289156626507</v>
      </c>
    </row>
    <row r="63" spans="1:9" ht="19.5">
      <c r="A63" s="369" t="s">
        <v>57</v>
      </c>
      <c r="B63" s="368">
        <f>B64-B48-B42-B13-B8</f>
        <v>289</v>
      </c>
      <c r="C63" s="168">
        <f>C64-C48-C42-C13-C8</f>
        <v>1048683</v>
      </c>
      <c r="D63" s="364">
        <f t="shared" si="0"/>
        <v>3628.6608996539794</v>
      </c>
      <c r="E63" s="368">
        <f>E64-E48-E42-E13-E8</f>
        <v>558</v>
      </c>
      <c r="F63" s="365">
        <f t="shared" si="9"/>
        <v>1.1708422510386503E-2</v>
      </c>
      <c r="G63" s="168">
        <f>G64-G48-G42-G13-G8</f>
        <v>1878369</v>
      </c>
      <c r="H63" s="366">
        <f t="shared" si="10"/>
        <v>2.1037210740578263E-2</v>
      </c>
      <c r="I63" s="354">
        <f t="shared" si="1"/>
        <v>3366.2526881720432</v>
      </c>
    </row>
    <row r="64" spans="1:9" ht="19.5">
      <c r="A64" s="370" t="s">
        <v>400</v>
      </c>
      <c r="B64" s="368">
        <f>VLOOKUP(A64,[10]進出口值表查詢結果!$B$10:$D$44,3,0)</f>
        <v>25178</v>
      </c>
      <c r="C64" s="368">
        <f>VLOOKUP(A64,[10]進出口值表查詢結果!$B$10:$D$44,2,0)</f>
        <v>48690400</v>
      </c>
      <c r="D64" s="364">
        <f t="shared" ref="D64" si="13">C64/B64</f>
        <v>1933.847009293828</v>
      </c>
      <c r="E64" s="368">
        <f>VLOOKUP(A64,[11]進出口值表查詢結果!$B$10:$D$47,3,0)</f>
        <v>47658</v>
      </c>
      <c r="F64" s="365">
        <f t="shared" si="9"/>
        <v>1</v>
      </c>
      <c r="G64" s="368">
        <f>VLOOKUP(A64,[11]進出口值表查詢結果!$B$10:$D$47,2,0)</f>
        <v>89287930</v>
      </c>
      <c r="H64" s="366">
        <f t="shared" si="10"/>
        <v>1</v>
      </c>
      <c r="I64" s="354">
        <f t="shared" ref="I64" si="14">G64/E64</f>
        <v>1873.5139955516388</v>
      </c>
    </row>
    <row r="65" spans="1:9" ht="19.5">
      <c r="A65" s="373" t="s">
        <v>453</v>
      </c>
      <c r="B65" s="3"/>
      <c r="C65" s="58"/>
      <c r="D65" s="59"/>
      <c r="E65" s="3"/>
      <c r="F65" s="3"/>
      <c r="G65" s="3"/>
      <c r="H65" s="3"/>
      <c r="I65" s="59"/>
    </row>
    <row r="66" spans="1:9" ht="18">
      <c r="A66" s="374" t="s">
        <v>60</v>
      </c>
      <c r="B66" s="61"/>
      <c r="C66" s="62"/>
      <c r="D66" s="63"/>
      <c r="E66" s="61"/>
      <c r="F66" s="62"/>
      <c r="G66" s="64"/>
      <c r="H66" s="60"/>
      <c r="I66" s="65"/>
    </row>
  </sheetData>
  <mergeCells count="2">
    <mergeCell ref="A3:I3"/>
    <mergeCell ref="A4:I4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65"/>
  <sheetViews>
    <sheetView zoomScaleNormal="100" workbookViewId="0">
      <selection activeCell="A2" sqref="A2"/>
    </sheetView>
  </sheetViews>
  <sheetFormatPr defaultRowHeight="16.5"/>
  <cols>
    <col min="1" max="1" width="17" customWidth="1"/>
    <col min="2" max="2" width="12.875" customWidth="1"/>
    <col min="3" max="3" width="13.5" customWidth="1"/>
    <col min="4" max="4" width="13" customWidth="1"/>
    <col min="5" max="5" width="16.5" customWidth="1"/>
    <col min="6" max="6" width="16" customWidth="1"/>
    <col min="7" max="7" width="13.5" customWidth="1"/>
    <col min="8" max="8" width="14.125" customWidth="1"/>
    <col min="9" max="9" width="14.375" customWidth="1"/>
    <col min="10" max="10" width="11.5" customWidth="1"/>
  </cols>
  <sheetData>
    <row r="1" spans="1:10" ht="18.75">
      <c r="A1" s="770" t="s">
        <v>482</v>
      </c>
      <c r="B1" s="770"/>
      <c r="C1" s="770"/>
      <c r="D1" s="770"/>
      <c r="E1" s="770"/>
      <c r="F1" s="770"/>
      <c r="G1" s="770"/>
      <c r="H1" s="770"/>
      <c r="I1" s="770"/>
      <c r="J1" s="770"/>
    </row>
    <row r="2" spans="1:10" ht="5.25" customHeight="1">
      <c r="A2" s="3"/>
      <c r="B2" s="4"/>
      <c r="C2" s="384"/>
      <c r="D2" s="385"/>
      <c r="E2" s="4"/>
      <c r="F2" s="386"/>
      <c r="G2" s="387"/>
      <c r="H2" s="4"/>
      <c r="I2" s="4"/>
      <c r="J2" s="4"/>
    </row>
    <row r="3" spans="1:10">
      <c r="A3" s="771" t="s">
        <v>266</v>
      </c>
      <c r="B3" s="772"/>
      <c r="C3" s="772"/>
      <c r="D3" s="772"/>
      <c r="E3" s="772"/>
      <c r="F3" s="772"/>
      <c r="G3" s="772"/>
      <c r="H3" s="772"/>
      <c r="I3" s="772"/>
      <c r="J3" s="773"/>
    </row>
    <row r="4" spans="1:10">
      <c r="A4" s="774" t="s">
        <v>312</v>
      </c>
      <c r="B4" s="775"/>
      <c r="C4" s="775"/>
      <c r="D4" s="775"/>
      <c r="E4" s="775"/>
      <c r="F4" s="775"/>
      <c r="G4" s="775"/>
      <c r="H4" s="775"/>
      <c r="I4" s="775"/>
      <c r="J4" s="776"/>
    </row>
    <row r="5" spans="1:10">
      <c r="A5" s="75" t="s">
        <v>478</v>
      </c>
      <c r="B5" s="24" t="s">
        <v>450</v>
      </c>
      <c r="C5" s="616" t="s">
        <v>451</v>
      </c>
      <c r="D5" s="77" t="s">
        <v>61</v>
      </c>
      <c r="E5" s="24" t="s">
        <v>450</v>
      </c>
      <c r="F5" s="616" t="s">
        <v>451</v>
      </c>
      <c r="G5" s="78" t="s">
        <v>317</v>
      </c>
      <c r="H5" s="24" t="s">
        <v>450</v>
      </c>
      <c r="I5" s="616" t="s">
        <v>451</v>
      </c>
      <c r="J5" s="78" t="s">
        <v>317</v>
      </c>
    </row>
    <row r="6" spans="1:10">
      <c r="A6" s="12"/>
      <c r="B6" s="6" t="s">
        <v>62</v>
      </c>
      <c r="C6" s="388" t="s">
        <v>62</v>
      </c>
      <c r="D6" s="80" t="s">
        <v>2</v>
      </c>
      <c r="E6" s="81" t="s">
        <v>63</v>
      </c>
      <c r="F6" s="389" t="s">
        <v>63</v>
      </c>
      <c r="G6" s="80" t="s">
        <v>2</v>
      </c>
      <c r="H6" s="82" t="s">
        <v>64</v>
      </c>
      <c r="I6" s="83" t="s">
        <v>65</v>
      </c>
      <c r="J6" s="80" t="s">
        <v>2</v>
      </c>
    </row>
    <row r="7" spans="1:10">
      <c r="A7" s="84" t="s">
        <v>7</v>
      </c>
      <c r="B7" s="16"/>
      <c r="C7" s="390"/>
      <c r="D7" s="391"/>
      <c r="E7" s="16"/>
      <c r="F7" s="392"/>
      <c r="G7" s="393"/>
      <c r="H7" s="87"/>
      <c r="I7" s="88"/>
      <c r="J7" s="394"/>
    </row>
    <row r="8" spans="1:10">
      <c r="A8" s="84" t="s">
        <v>8</v>
      </c>
      <c r="B8" s="395">
        <f>SUM(B9:B11)</f>
        <v>10029</v>
      </c>
      <c r="C8" s="396">
        <f>SUM(C9:C11)</f>
        <v>17315</v>
      </c>
      <c r="D8" s="397">
        <f>IF(C8,(B8-C8)/C8,0)</f>
        <v>-0.42079122148426218</v>
      </c>
      <c r="E8" s="395">
        <f>SUM(E9:E11)</f>
        <v>24613028</v>
      </c>
      <c r="F8" s="93">
        <f>SUM(F9:F11)</f>
        <v>42426774</v>
      </c>
      <c r="G8" s="397">
        <f>IF(F8,(E8-F8)/F8,0)</f>
        <v>-0.41987038656297554</v>
      </c>
      <c r="H8" s="91">
        <f>IF(B8,E8/B8,0)</f>
        <v>2454.185661581414</v>
      </c>
      <c r="I8" s="92">
        <f>IF(C8,F8/C8,0)</f>
        <v>2450.2901530464915</v>
      </c>
      <c r="J8" s="90">
        <f t="shared" ref="J8:J11" si="0">IF(I8,(H8-I8)/I8,0)</f>
        <v>1.5898152021217558E-3</v>
      </c>
    </row>
    <row r="9" spans="1:10">
      <c r="A9" s="24" t="s">
        <v>342</v>
      </c>
      <c r="B9" s="398">
        <f>電動輔助自行車!E9</f>
        <v>8665</v>
      </c>
      <c r="C9" s="93">
        <f>VLOOKUP(A9,[12]進出口值表查詢結果!$B$10:$D$49,3,0)</f>
        <v>16571</v>
      </c>
      <c r="D9" s="397">
        <f t="shared" ref="D9:D63" si="1">IF(C9,(B9-C9)/C9,0)</f>
        <v>-0.47709854565204274</v>
      </c>
      <c r="E9" s="399">
        <f>電動輔助自行車!G9</f>
        <v>21327787</v>
      </c>
      <c r="F9" s="95">
        <f>VLOOKUP(A9,[12]進出口值表查詢結果!$B$10:$D$49,2,0)</f>
        <v>40271185</v>
      </c>
      <c r="G9" s="397">
        <f t="shared" ref="G9:G63" si="2">IF(F9,(E9-F9)/F9,0)</f>
        <v>-0.47039584258570988</v>
      </c>
      <c r="H9" s="91">
        <f t="shared" ref="H9:H11" si="3">IF(B9,E9/B9,0)</f>
        <v>2461.3718407386036</v>
      </c>
      <c r="I9" s="92">
        <f t="shared" ref="I9:I11" si="4">IF(C9,F9/C9,0)</f>
        <v>2430.2205660491218</v>
      </c>
      <c r="J9" s="90">
        <f t="shared" si="0"/>
        <v>1.2818291115083993E-2</v>
      </c>
    </row>
    <row r="10" spans="1:10">
      <c r="A10" s="29" t="s">
        <v>9</v>
      </c>
      <c r="B10" s="398">
        <f>電動輔助自行車!E10</f>
        <v>1285</v>
      </c>
      <c r="C10" s="93">
        <f>VLOOKUP(A10,[12]進出口值表查詢結果!$B$10:$D$49,3,0)</f>
        <v>561</v>
      </c>
      <c r="D10" s="397">
        <f t="shared" si="1"/>
        <v>1.2905525846702317</v>
      </c>
      <c r="E10" s="399">
        <f>電動輔助自行車!G10</f>
        <v>2950279</v>
      </c>
      <c r="F10" s="95">
        <f>VLOOKUP(A10,[12]進出口值表查詢結果!$B$10:$D$49,2,0)</f>
        <v>1392062</v>
      </c>
      <c r="G10" s="397">
        <f t="shared" si="2"/>
        <v>1.1193589078647359</v>
      </c>
      <c r="H10" s="91">
        <f t="shared" si="3"/>
        <v>2295.9369649805449</v>
      </c>
      <c r="I10" s="92">
        <f t="shared" si="4"/>
        <v>2481.3939393939395</v>
      </c>
      <c r="J10" s="90">
        <f t="shared" si="0"/>
        <v>-7.4739029329091933E-2</v>
      </c>
    </row>
    <row r="11" spans="1:10">
      <c r="A11" s="29" t="s">
        <v>10</v>
      </c>
      <c r="B11" s="398">
        <f>電動輔助自行車!E11</f>
        <v>79</v>
      </c>
      <c r="C11" s="93">
        <f>VLOOKUP(A11,[12]進出口值表查詢結果!$B$10:$D$49,3,0)</f>
        <v>183</v>
      </c>
      <c r="D11" s="397">
        <f t="shared" si="1"/>
        <v>-0.56830601092896171</v>
      </c>
      <c r="E11" s="399">
        <f>電動輔助自行車!G11</f>
        <v>334962</v>
      </c>
      <c r="F11" s="95">
        <f>VLOOKUP(A11,[12]進出口值表查詢結果!$B$10:$D$49,2,0)</f>
        <v>763527</v>
      </c>
      <c r="G11" s="397">
        <f t="shared" si="2"/>
        <v>-0.56129645709974896</v>
      </c>
      <c r="H11" s="91">
        <f t="shared" si="3"/>
        <v>4240.0253164556962</v>
      </c>
      <c r="I11" s="92">
        <f t="shared" si="4"/>
        <v>4172.2786885245905</v>
      </c>
      <c r="J11" s="90">
        <f t="shared" si="0"/>
        <v>1.6237320895518211E-2</v>
      </c>
    </row>
    <row r="12" spans="1:10">
      <c r="A12" s="29"/>
      <c r="B12" s="398"/>
      <c r="C12" s="400"/>
      <c r="D12" s="397"/>
      <c r="E12" s="399"/>
      <c r="F12" s="95"/>
      <c r="G12" s="397"/>
      <c r="H12" s="91"/>
      <c r="I12" s="92"/>
      <c r="J12" s="90"/>
    </row>
    <row r="13" spans="1:10">
      <c r="A13" s="30" t="s">
        <v>11</v>
      </c>
      <c r="B13" s="401">
        <f>SUM(B14:B40)</f>
        <v>30407</v>
      </c>
      <c r="C13" s="400">
        <f>SUM(C14:C40)</f>
        <v>28981</v>
      </c>
      <c r="D13" s="397">
        <f t="shared" si="1"/>
        <v>4.9204651323280772E-2</v>
      </c>
      <c r="E13" s="401">
        <f>SUM(E14:E40)</f>
        <v>49308374</v>
      </c>
      <c r="F13" s="95">
        <f>SUM(F14:F40)</f>
        <v>53192290</v>
      </c>
      <c r="G13" s="397">
        <f t="shared" si="2"/>
        <v>-7.3016521755314534E-2</v>
      </c>
      <c r="H13" s="91">
        <f t="shared" ref="H13:H63" si="5">IF(B13,E13/B13,0)</f>
        <v>1621.6125892064326</v>
      </c>
      <c r="I13" s="92">
        <f t="shared" ref="I13:I63" si="6">IF(C13,F13/C13,0)</f>
        <v>1835.4194127186777</v>
      </c>
      <c r="J13" s="90">
        <f>IF(I13,(H13-I13)/I13,0)</f>
        <v>-0.11648935498374621</v>
      </c>
    </row>
    <row r="14" spans="1:10">
      <c r="A14" s="24" t="s">
        <v>367</v>
      </c>
      <c r="B14" s="398">
        <f>電動輔助自行車!E14</f>
        <v>19784</v>
      </c>
      <c r="C14" s="93">
        <f>VLOOKUP(A14,[12]進出口值表查詢結果!$B$10:$D$49,3,0)</f>
        <v>16570</v>
      </c>
      <c r="D14" s="397">
        <f t="shared" si="1"/>
        <v>0.1939649969824985</v>
      </c>
      <c r="E14" s="399">
        <f>電動輔助自行車!G14</f>
        <v>34112745</v>
      </c>
      <c r="F14" s="95">
        <f>VLOOKUP(A14,[12]進出口值表查詢結果!$B$10:$D$49,2,0)</f>
        <v>33779255</v>
      </c>
      <c r="G14" s="397">
        <f t="shared" si="2"/>
        <v>9.8726274454543177E-3</v>
      </c>
      <c r="H14" s="91">
        <f t="shared" si="5"/>
        <v>1724.2592498989081</v>
      </c>
      <c r="I14" s="92">
        <f t="shared" si="6"/>
        <v>2038.5790585395293</v>
      </c>
      <c r="J14" s="90">
        <f t="shared" ref="J14:J63" si="7">IF(I14,(H14-I14)/I14,0)</f>
        <v>-0.15418573408960895</v>
      </c>
    </row>
    <row r="15" spans="1:10">
      <c r="A15" s="24" t="s">
        <v>368</v>
      </c>
      <c r="B15" s="398">
        <f>電動輔助自行車!E15</f>
        <v>6685</v>
      </c>
      <c r="C15" s="93">
        <f>VLOOKUP(A15,[12]進出口值表查詢結果!$B$10:$D$49,3,0)</f>
        <v>7938</v>
      </c>
      <c r="D15" s="397">
        <f t="shared" ref="D15:D40" si="8">IF(C15,(B15-C15)/C15,0)</f>
        <v>-0.15784832451499117</v>
      </c>
      <c r="E15" s="399">
        <f>電動輔助自行車!G15</f>
        <v>8631769</v>
      </c>
      <c r="F15" s="95">
        <f>VLOOKUP(A15,[12]進出口值表查詢結果!$B$10:$D$49,2,0)</f>
        <v>10608538</v>
      </c>
      <c r="G15" s="397">
        <f t="shared" si="2"/>
        <v>-0.18633755188509482</v>
      </c>
      <c r="H15" s="91">
        <f t="shared" si="5"/>
        <v>1291.2145100972325</v>
      </c>
      <c r="I15" s="92">
        <f t="shared" si="6"/>
        <v>1336.424540186445</v>
      </c>
      <c r="J15" s="90">
        <f t="shared" si="7"/>
        <v>-3.3829093023767173E-2</v>
      </c>
    </row>
    <row r="16" spans="1:10">
      <c r="A16" s="29" t="s">
        <v>14</v>
      </c>
      <c r="B16" s="398">
        <f>電動輔助自行車!E16</f>
        <v>468</v>
      </c>
      <c r="C16" s="93">
        <f>VLOOKUP(A16,[12]進出口值表查詢結果!$B$10:$D$49,3,0)</f>
        <v>932</v>
      </c>
      <c r="D16" s="397">
        <f t="shared" si="8"/>
        <v>-0.4978540772532189</v>
      </c>
      <c r="E16" s="399">
        <f>電動輔助自行車!G16</f>
        <v>1021873</v>
      </c>
      <c r="F16" s="95">
        <f>VLOOKUP(A16,[12]進出口值表查詢結果!$B$10:$D$49,2,0)</f>
        <v>2538351</v>
      </c>
      <c r="G16" s="397">
        <f t="shared" si="2"/>
        <v>-0.59742643944828744</v>
      </c>
      <c r="H16" s="91">
        <f t="shared" si="5"/>
        <v>2183.4893162393164</v>
      </c>
      <c r="I16" s="92">
        <f t="shared" si="6"/>
        <v>2723.552575107296</v>
      </c>
      <c r="J16" s="90">
        <f t="shared" si="7"/>
        <v>-0.19829367855941002</v>
      </c>
    </row>
    <row r="17" spans="1:10">
      <c r="A17" s="24" t="s">
        <v>370</v>
      </c>
      <c r="B17" s="398">
        <f>電動輔助自行車!E17</f>
        <v>405</v>
      </c>
      <c r="C17" s="93">
        <f>VLOOKUP(A17,[12]進出口值表查詢結果!$B$10:$D$49,3,0)</f>
        <v>691</v>
      </c>
      <c r="D17" s="397">
        <f t="shared" si="8"/>
        <v>-0.41389290882778584</v>
      </c>
      <c r="E17" s="399">
        <f>電動輔助自行車!G17</f>
        <v>1215683</v>
      </c>
      <c r="F17" s="95">
        <f>VLOOKUP(A17,[12]進出口值表查詢結果!$B$10:$D$49,2,0)</f>
        <v>909886</v>
      </c>
      <c r="G17" s="397">
        <f t="shared" si="2"/>
        <v>0.33608276201634052</v>
      </c>
      <c r="H17" s="91">
        <f t="shared" si="5"/>
        <v>3001.6864197530863</v>
      </c>
      <c r="I17" s="92">
        <f t="shared" si="6"/>
        <v>1316.7670043415339</v>
      </c>
      <c r="J17" s="90">
        <f t="shared" si="7"/>
        <v>1.2795881198846699</v>
      </c>
    </row>
    <row r="18" spans="1:10">
      <c r="A18" s="29" t="s">
        <v>17</v>
      </c>
      <c r="B18" s="398">
        <f>電動輔助自行車!E18</f>
        <v>646</v>
      </c>
      <c r="C18" s="93">
        <f>VLOOKUP(A18,[12]進出口值表查詢結果!$B$10:$D$49,3,0)</f>
        <v>1462</v>
      </c>
      <c r="D18" s="397">
        <f t="shared" si="8"/>
        <v>-0.55813953488372092</v>
      </c>
      <c r="E18" s="399">
        <f>電動輔助自行車!G18</f>
        <v>1634530</v>
      </c>
      <c r="F18" s="95">
        <f>VLOOKUP(A18,[12]進出口值表查詢結果!$B$10:$D$49,2,0)</f>
        <v>4287755</v>
      </c>
      <c r="G18" s="397">
        <f t="shared" si="2"/>
        <v>-0.61879118559712487</v>
      </c>
      <c r="H18" s="91">
        <f t="shared" si="5"/>
        <v>2530.2321981424147</v>
      </c>
      <c r="I18" s="92">
        <f t="shared" si="6"/>
        <v>2932.8009575923393</v>
      </c>
      <c r="J18" s="90">
        <f t="shared" si="7"/>
        <v>-0.13726426214086151</v>
      </c>
    </row>
    <row r="19" spans="1:10">
      <c r="A19" s="29" t="s">
        <v>18</v>
      </c>
      <c r="B19" s="398">
        <f>電動輔助自行車!E19</f>
        <v>37</v>
      </c>
      <c r="C19" s="93">
        <f>VLOOKUP(A19,[12]進出口值表查詢結果!$B$10:$D$49,3,0)</f>
        <v>1</v>
      </c>
      <c r="D19" s="397">
        <f t="shared" si="8"/>
        <v>36</v>
      </c>
      <c r="E19" s="399">
        <f>電動輔助自行車!G19</f>
        <v>128096</v>
      </c>
      <c r="F19" s="95">
        <f>VLOOKUP(A19,[12]進出口值表查詢結果!$B$10:$D$49,2,0)</f>
        <v>2075</v>
      </c>
      <c r="G19" s="397">
        <f t="shared" si="2"/>
        <v>60.733012048192769</v>
      </c>
      <c r="H19" s="91">
        <f t="shared" si="5"/>
        <v>3462.0540540540542</v>
      </c>
      <c r="I19" s="92">
        <f t="shared" si="6"/>
        <v>2075</v>
      </c>
      <c r="J19" s="90">
        <f t="shared" si="7"/>
        <v>0.66845978508629122</v>
      </c>
    </row>
    <row r="20" spans="1:10">
      <c r="A20" s="24" t="s">
        <v>371</v>
      </c>
      <c r="B20" s="398">
        <f>電動輔助自行車!E20</f>
        <v>709</v>
      </c>
      <c r="C20" s="93">
        <f>VLOOKUP(A20,[12]進出口值表查詢結果!$B$10:$D$49,3,0)</f>
        <v>134</v>
      </c>
      <c r="D20" s="397">
        <f t="shared" si="8"/>
        <v>4.2910447761194028</v>
      </c>
      <c r="E20" s="399">
        <f>電動輔助自行車!G20</f>
        <v>742768</v>
      </c>
      <c r="F20" s="95">
        <f>VLOOKUP(A20,[12]進出口值表查詢結果!$B$10:$D$49,2,0)</f>
        <v>226744</v>
      </c>
      <c r="G20" s="397">
        <f t="shared" si="2"/>
        <v>2.275800021169248</v>
      </c>
      <c r="H20" s="91">
        <f t="shared" si="5"/>
        <v>1047.6276445698165</v>
      </c>
      <c r="I20" s="92">
        <f t="shared" si="6"/>
        <v>1692.1194029850747</v>
      </c>
      <c r="J20" s="90">
        <f t="shared" si="7"/>
        <v>-0.38087841630933822</v>
      </c>
    </row>
    <row r="21" spans="1:10">
      <c r="A21" s="29" t="s">
        <v>67</v>
      </c>
      <c r="B21" s="398">
        <f>電動輔助自行車!E21</f>
        <v>0</v>
      </c>
      <c r="C21" s="93">
        <v>0</v>
      </c>
      <c r="D21" s="397">
        <f t="shared" si="8"/>
        <v>0</v>
      </c>
      <c r="E21" s="399">
        <f>電動輔助自行車!G21</f>
        <v>0</v>
      </c>
      <c r="F21" s="95">
        <v>0</v>
      </c>
      <c r="G21" s="397">
        <f t="shared" si="2"/>
        <v>0</v>
      </c>
      <c r="H21" s="91">
        <f t="shared" si="5"/>
        <v>0</v>
      </c>
      <c r="I21" s="92">
        <f t="shared" si="6"/>
        <v>0</v>
      </c>
      <c r="J21" s="90">
        <f t="shared" si="7"/>
        <v>0</v>
      </c>
    </row>
    <row r="22" spans="1:10">
      <c r="A22" s="24" t="s">
        <v>372</v>
      </c>
      <c r="B22" s="398">
        <f>電動輔助自行車!E22</f>
        <v>0</v>
      </c>
      <c r="C22" s="93">
        <v>0</v>
      </c>
      <c r="D22" s="397">
        <f t="shared" si="8"/>
        <v>0</v>
      </c>
      <c r="E22" s="399">
        <f>電動輔助自行車!G22</f>
        <v>0</v>
      </c>
      <c r="F22" s="95">
        <v>0</v>
      </c>
      <c r="G22" s="397">
        <f t="shared" si="2"/>
        <v>0</v>
      </c>
      <c r="H22" s="91">
        <f t="shared" si="5"/>
        <v>0</v>
      </c>
      <c r="I22" s="92">
        <f t="shared" si="6"/>
        <v>0</v>
      </c>
      <c r="J22" s="90">
        <f t="shared" si="7"/>
        <v>0</v>
      </c>
    </row>
    <row r="23" spans="1:10">
      <c r="A23" s="29" t="s">
        <v>22</v>
      </c>
      <c r="B23" s="398">
        <f>電動輔助自行車!E23</f>
        <v>0</v>
      </c>
      <c r="C23" s="93">
        <v>0</v>
      </c>
      <c r="D23" s="397">
        <f t="shared" si="8"/>
        <v>0</v>
      </c>
      <c r="E23" s="399">
        <f>電動輔助自行車!G23</f>
        <v>0</v>
      </c>
      <c r="F23" s="95">
        <v>0</v>
      </c>
      <c r="G23" s="397">
        <f t="shared" si="2"/>
        <v>0</v>
      </c>
      <c r="H23" s="91">
        <f t="shared" si="5"/>
        <v>0</v>
      </c>
      <c r="I23" s="92">
        <f t="shared" si="6"/>
        <v>0</v>
      </c>
      <c r="J23" s="90">
        <f t="shared" si="7"/>
        <v>0</v>
      </c>
    </row>
    <row r="24" spans="1:10">
      <c r="A24" s="29" t="s">
        <v>23</v>
      </c>
      <c r="B24" s="398">
        <f>電動輔助自行車!E24</f>
        <v>0</v>
      </c>
      <c r="C24" s="93">
        <v>0</v>
      </c>
      <c r="D24" s="397">
        <f t="shared" si="8"/>
        <v>0</v>
      </c>
      <c r="E24" s="399">
        <f>電動輔助自行車!G24</f>
        <v>0</v>
      </c>
      <c r="F24" s="95">
        <v>0</v>
      </c>
      <c r="G24" s="397">
        <f t="shared" si="2"/>
        <v>0</v>
      </c>
      <c r="H24" s="91">
        <f t="shared" si="5"/>
        <v>0</v>
      </c>
      <c r="I24" s="92">
        <f t="shared" si="6"/>
        <v>0</v>
      </c>
      <c r="J24" s="90">
        <f t="shared" si="7"/>
        <v>0</v>
      </c>
    </row>
    <row r="25" spans="1:10">
      <c r="A25" s="29" t="s">
        <v>24</v>
      </c>
      <c r="B25" s="398">
        <f>電動輔助自行車!E25</f>
        <v>0</v>
      </c>
      <c r="C25" s="93">
        <f>VLOOKUP(A25,[12]進出口值表查詢結果!$B$10:$D$49,3,0)</f>
        <v>2</v>
      </c>
      <c r="D25" s="397">
        <f t="shared" si="8"/>
        <v>-1</v>
      </c>
      <c r="E25" s="399">
        <f>電動輔助自行車!G25</f>
        <v>0</v>
      </c>
      <c r="F25" s="95">
        <f>VLOOKUP(A25,[12]進出口值表查詢結果!$B$10:$D$49,2,0)</f>
        <v>9395</v>
      </c>
      <c r="G25" s="397">
        <f t="shared" si="2"/>
        <v>-1</v>
      </c>
      <c r="H25" s="91">
        <f t="shared" si="5"/>
        <v>0</v>
      </c>
      <c r="I25" s="92">
        <f t="shared" si="6"/>
        <v>4697.5</v>
      </c>
      <c r="J25" s="90">
        <f t="shared" si="7"/>
        <v>-1</v>
      </c>
    </row>
    <row r="26" spans="1:10">
      <c r="A26" s="24" t="s">
        <v>373</v>
      </c>
      <c r="B26" s="398">
        <f>電動輔助自行車!E26</f>
        <v>790</v>
      </c>
      <c r="C26" s="93">
        <f>VLOOKUP(A26,[12]進出口值表查詢結果!$B$10:$D$49,3,0)</f>
        <v>1031</v>
      </c>
      <c r="D26" s="397">
        <f t="shared" si="8"/>
        <v>-0.23375363724539283</v>
      </c>
      <c r="E26" s="399">
        <f>電動輔助自行車!G26</f>
        <v>281818</v>
      </c>
      <c r="F26" s="95">
        <f>VLOOKUP(A26,[12]進出口值表查詢結果!$B$10:$D$49,2,0)</f>
        <v>382595</v>
      </c>
      <c r="G26" s="397">
        <f t="shared" si="2"/>
        <v>-0.2634038604790967</v>
      </c>
      <c r="H26" s="91">
        <f t="shared" si="5"/>
        <v>356.73164556962024</v>
      </c>
      <c r="I26" s="92">
        <f t="shared" si="6"/>
        <v>371.09117361784678</v>
      </c>
      <c r="J26" s="90">
        <f t="shared" si="7"/>
        <v>-3.8695417916390855E-2</v>
      </c>
    </row>
    <row r="27" spans="1:10">
      <c r="A27" s="24" t="s">
        <v>374</v>
      </c>
      <c r="B27" s="398">
        <f>電動輔助自行車!E27</f>
        <v>0</v>
      </c>
      <c r="C27" s="93">
        <v>0</v>
      </c>
      <c r="D27" s="397">
        <f t="shared" si="8"/>
        <v>0</v>
      </c>
      <c r="E27" s="399">
        <f>電動輔助自行車!G27</f>
        <v>0</v>
      </c>
      <c r="F27" s="95">
        <v>0</v>
      </c>
      <c r="G27" s="397">
        <f t="shared" si="2"/>
        <v>0</v>
      </c>
      <c r="H27" s="91">
        <f t="shared" si="5"/>
        <v>0</v>
      </c>
      <c r="I27" s="92">
        <f t="shared" si="6"/>
        <v>0</v>
      </c>
      <c r="J27" s="90">
        <f t="shared" si="7"/>
        <v>0</v>
      </c>
    </row>
    <row r="28" spans="1:10">
      <c r="A28" s="29" t="s">
        <v>357</v>
      </c>
      <c r="B28" s="398">
        <f>電動輔助自行車!E28</f>
        <v>803</v>
      </c>
      <c r="C28" s="93">
        <f>VLOOKUP(A28,[12]進出口值表查詢結果!$B$10:$D$49,3,0)</f>
        <v>115</v>
      </c>
      <c r="D28" s="397">
        <f t="shared" si="8"/>
        <v>5.982608695652174</v>
      </c>
      <c r="E28" s="399">
        <f>電動輔助自行車!G28</f>
        <v>1393677</v>
      </c>
      <c r="F28" s="95">
        <f>VLOOKUP(A28,[12]進出口值表查詢結果!$B$10:$D$49,2,0)</f>
        <v>247727</v>
      </c>
      <c r="G28" s="397">
        <f t="shared" si="2"/>
        <v>4.625858303697215</v>
      </c>
      <c r="H28" s="91">
        <f t="shared" si="5"/>
        <v>1735.5877957658779</v>
      </c>
      <c r="I28" s="92">
        <f t="shared" si="6"/>
        <v>2154.1478260869567</v>
      </c>
      <c r="J28" s="90">
        <f t="shared" si="7"/>
        <v>-0.19430422798856828</v>
      </c>
    </row>
    <row r="29" spans="1:10">
      <c r="A29" s="402" t="s">
        <v>358</v>
      </c>
      <c r="B29" s="398">
        <f>電動輔助自行車!E29</f>
        <v>0</v>
      </c>
      <c r="C29" s="93">
        <f>VLOOKUP(A29,[12]進出口值表查詢結果!$B$10:$D$49,3,0)</f>
        <v>10</v>
      </c>
      <c r="D29" s="397">
        <f t="shared" si="8"/>
        <v>-1</v>
      </c>
      <c r="E29" s="399">
        <f>電動輔助自行車!G29</f>
        <v>0</v>
      </c>
      <c r="F29" s="95">
        <f>VLOOKUP(A29,[12]進出口值表查詢結果!$B$10:$D$49,2,0)</f>
        <v>37778</v>
      </c>
      <c r="G29" s="397">
        <f t="shared" si="2"/>
        <v>-1</v>
      </c>
      <c r="H29" s="91">
        <f t="shared" si="5"/>
        <v>0</v>
      </c>
      <c r="I29" s="92">
        <f t="shared" si="6"/>
        <v>3777.8</v>
      </c>
      <c r="J29" s="90">
        <f t="shared" si="7"/>
        <v>-1</v>
      </c>
    </row>
    <row r="30" spans="1:10">
      <c r="A30" s="402" t="s">
        <v>375</v>
      </c>
      <c r="B30" s="398">
        <f>電動輔助自行車!E30</f>
        <v>71</v>
      </c>
      <c r="C30" s="93">
        <f>VLOOKUP(A30,[12]進出口值表查詢結果!$B$10:$D$49,3,0)</f>
        <v>95</v>
      </c>
      <c r="D30" s="397">
        <f t="shared" si="8"/>
        <v>-0.25263157894736843</v>
      </c>
      <c r="E30" s="399">
        <f>電動輔助自行車!G30</f>
        <v>125529</v>
      </c>
      <c r="F30" s="95">
        <f>VLOOKUP(A30,[12]進出口值表查詢結果!$B$10:$D$49,2,0)</f>
        <v>162191</v>
      </c>
      <c r="G30" s="397">
        <f t="shared" si="2"/>
        <v>-0.22604213550690236</v>
      </c>
      <c r="H30" s="91">
        <f t="shared" si="5"/>
        <v>1768.0140845070423</v>
      </c>
      <c r="I30" s="92">
        <f t="shared" si="6"/>
        <v>1707.2736842105264</v>
      </c>
      <c r="J30" s="90">
        <f t="shared" si="7"/>
        <v>3.5577424321750331E-2</v>
      </c>
    </row>
    <row r="31" spans="1:10">
      <c r="A31" s="402" t="s">
        <v>376</v>
      </c>
      <c r="B31" s="398">
        <f>電動輔助自行車!E31</f>
        <v>0</v>
      </c>
      <c r="C31" s="93">
        <v>0</v>
      </c>
      <c r="D31" s="397">
        <f t="shared" si="8"/>
        <v>0</v>
      </c>
      <c r="E31" s="399">
        <f>電動輔助自行車!G31</f>
        <v>0</v>
      </c>
      <c r="F31" s="95">
        <v>0</v>
      </c>
      <c r="G31" s="397">
        <f t="shared" si="2"/>
        <v>0</v>
      </c>
      <c r="H31" s="91">
        <f t="shared" si="5"/>
        <v>0</v>
      </c>
      <c r="I31" s="92">
        <f t="shared" si="6"/>
        <v>0</v>
      </c>
      <c r="J31" s="90">
        <f t="shared" si="7"/>
        <v>0</v>
      </c>
    </row>
    <row r="32" spans="1:10">
      <c r="A32" s="402" t="s">
        <v>377</v>
      </c>
      <c r="B32" s="398">
        <f>電動輔助自行車!E32</f>
        <v>0</v>
      </c>
      <c r="C32" s="93">
        <v>0</v>
      </c>
      <c r="D32" s="397">
        <f t="shared" si="8"/>
        <v>0</v>
      </c>
      <c r="E32" s="399">
        <f>電動輔助自行車!G32</f>
        <v>0</v>
      </c>
      <c r="F32" s="95">
        <v>0</v>
      </c>
      <c r="G32" s="397">
        <f t="shared" si="2"/>
        <v>0</v>
      </c>
      <c r="H32" s="91">
        <f t="shared" si="5"/>
        <v>0</v>
      </c>
      <c r="I32" s="92">
        <f t="shared" si="6"/>
        <v>0</v>
      </c>
      <c r="J32" s="90">
        <f t="shared" si="7"/>
        <v>0</v>
      </c>
    </row>
    <row r="33" spans="1:10">
      <c r="A33" s="402" t="s">
        <v>378</v>
      </c>
      <c r="B33" s="398">
        <f>電動輔助自行車!E33</f>
        <v>0</v>
      </c>
      <c r="C33" s="93">
        <v>0</v>
      </c>
      <c r="D33" s="397">
        <f t="shared" si="8"/>
        <v>0</v>
      </c>
      <c r="E33" s="399">
        <f>電動輔助自行車!G33</f>
        <v>0</v>
      </c>
      <c r="F33" s="95">
        <v>0</v>
      </c>
      <c r="G33" s="397">
        <f t="shared" si="2"/>
        <v>0</v>
      </c>
      <c r="H33" s="91">
        <f t="shared" si="5"/>
        <v>0</v>
      </c>
      <c r="I33" s="92">
        <f t="shared" si="6"/>
        <v>0</v>
      </c>
      <c r="J33" s="90">
        <f t="shared" si="7"/>
        <v>0</v>
      </c>
    </row>
    <row r="34" spans="1:10">
      <c r="A34" s="402" t="s">
        <v>379</v>
      </c>
      <c r="B34" s="398">
        <f>電動輔助自行車!E34</f>
        <v>0</v>
      </c>
      <c r="C34" s="93">
        <v>0</v>
      </c>
      <c r="D34" s="397">
        <f t="shared" si="8"/>
        <v>0</v>
      </c>
      <c r="E34" s="399">
        <f>電動輔助自行車!G34</f>
        <v>0</v>
      </c>
      <c r="F34" s="95">
        <v>0</v>
      </c>
      <c r="G34" s="397">
        <f t="shared" si="2"/>
        <v>0</v>
      </c>
      <c r="H34" s="91">
        <f t="shared" si="5"/>
        <v>0</v>
      </c>
      <c r="I34" s="92">
        <f t="shared" si="6"/>
        <v>0</v>
      </c>
      <c r="J34" s="90">
        <f t="shared" si="7"/>
        <v>0</v>
      </c>
    </row>
    <row r="35" spans="1:10">
      <c r="A35" s="403" t="s">
        <v>380</v>
      </c>
      <c r="B35" s="398">
        <f>電動輔助自行車!E35</f>
        <v>0</v>
      </c>
      <c r="C35" s="93">
        <v>0</v>
      </c>
      <c r="D35" s="397">
        <f t="shared" si="8"/>
        <v>0</v>
      </c>
      <c r="E35" s="399">
        <f>電動輔助自行車!G35</f>
        <v>0</v>
      </c>
      <c r="F35" s="95">
        <v>0</v>
      </c>
      <c r="G35" s="397">
        <f t="shared" si="2"/>
        <v>0</v>
      </c>
      <c r="H35" s="91">
        <f t="shared" si="5"/>
        <v>0</v>
      </c>
      <c r="I35" s="92">
        <f t="shared" si="6"/>
        <v>0</v>
      </c>
      <c r="J35" s="90">
        <f t="shared" si="7"/>
        <v>0</v>
      </c>
    </row>
    <row r="36" spans="1:10">
      <c r="A36" s="402" t="s">
        <v>381</v>
      </c>
      <c r="B36" s="398">
        <f>電動輔助自行車!E36</f>
        <v>9</v>
      </c>
      <c r="C36" s="93">
        <v>0</v>
      </c>
      <c r="D36" s="397">
        <f t="shared" si="8"/>
        <v>0</v>
      </c>
      <c r="E36" s="399">
        <f>電動輔助自行車!G36</f>
        <v>19886</v>
      </c>
      <c r="F36" s="95">
        <v>0</v>
      </c>
      <c r="G36" s="397">
        <f t="shared" si="2"/>
        <v>0</v>
      </c>
      <c r="H36" s="91">
        <f t="shared" si="5"/>
        <v>2209.5555555555557</v>
      </c>
      <c r="I36" s="92">
        <f t="shared" si="6"/>
        <v>0</v>
      </c>
      <c r="J36" s="90">
        <f t="shared" si="7"/>
        <v>0</v>
      </c>
    </row>
    <row r="37" spans="1:10">
      <c r="A37" s="402" t="s">
        <v>382</v>
      </c>
      <c r="B37" s="398">
        <f>電動輔助自行車!E37</f>
        <v>0</v>
      </c>
      <c r="C37" s="93">
        <v>0</v>
      </c>
      <c r="D37" s="397">
        <f t="shared" si="8"/>
        <v>0</v>
      </c>
      <c r="E37" s="399">
        <f>電動輔助自行車!G37</f>
        <v>0</v>
      </c>
      <c r="F37" s="95">
        <v>0</v>
      </c>
      <c r="G37" s="397">
        <f t="shared" si="2"/>
        <v>0</v>
      </c>
      <c r="H37" s="91">
        <f t="shared" si="5"/>
        <v>0</v>
      </c>
      <c r="I37" s="92">
        <f t="shared" si="6"/>
        <v>0</v>
      </c>
      <c r="J37" s="90">
        <f t="shared" si="7"/>
        <v>0</v>
      </c>
    </row>
    <row r="38" spans="1:10">
      <c r="A38" s="402" t="s">
        <v>383</v>
      </c>
      <c r="B38" s="398">
        <f>電動輔助自行車!E38</f>
        <v>0</v>
      </c>
      <c r="C38" s="93">
        <v>0</v>
      </c>
      <c r="D38" s="397">
        <f t="shared" si="8"/>
        <v>0</v>
      </c>
      <c r="E38" s="399">
        <f>電動輔助自行車!G38</f>
        <v>0</v>
      </c>
      <c r="F38" s="95">
        <v>0</v>
      </c>
      <c r="G38" s="397">
        <f t="shared" si="2"/>
        <v>0</v>
      </c>
      <c r="H38" s="91">
        <f t="shared" si="5"/>
        <v>0</v>
      </c>
      <c r="I38" s="92">
        <f t="shared" si="6"/>
        <v>0</v>
      </c>
      <c r="J38" s="90">
        <f t="shared" si="7"/>
        <v>0</v>
      </c>
    </row>
    <row r="39" spans="1:10">
      <c r="A39" s="402" t="s">
        <v>384</v>
      </c>
      <c r="B39" s="398">
        <f>電動輔助自行車!E39</f>
        <v>0</v>
      </c>
      <c r="C39" s="93">
        <v>0</v>
      </c>
      <c r="D39" s="397">
        <f t="shared" si="8"/>
        <v>0</v>
      </c>
      <c r="E39" s="399">
        <f>電動輔助自行車!G39</f>
        <v>0</v>
      </c>
      <c r="F39" s="95">
        <v>0</v>
      </c>
      <c r="G39" s="397">
        <f t="shared" si="2"/>
        <v>0</v>
      </c>
      <c r="H39" s="91">
        <f t="shared" si="5"/>
        <v>0</v>
      </c>
      <c r="I39" s="92">
        <f t="shared" si="6"/>
        <v>0</v>
      </c>
      <c r="J39" s="90">
        <f t="shared" si="7"/>
        <v>0</v>
      </c>
    </row>
    <row r="40" spans="1:10">
      <c r="A40" s="29" t="s">
        <v>385</v>
      </c>
      <c r="B40" s="398">
        <f>電動輔助自行車!E40</f>
        <v>0</v>
      </c>
      <c r="C40" s="93">
        <v>0</v>
      </c>
      <c r="D40" s="397">
        <f t="shared" si="8"/>
        <v>0</v>
      </c>
      <c r="E40" s="399">
        <f>電動輔助自行車!G40</f>
        <v>0</v>
      </c>
      <c r="F40" s="95">
        <v>0</v>
      </c>
      <c r="G40" s="397">
        <f t="shared" si="2"/>
        <v>0</v>
      </c>
      <c r="H40" s="91">
        <f t="shared" si="5"/>
        <v>0</v>
      </c>
      <c r="I40" s="92">
        <f t="shared" si="6"/>
        <v>0</v>
      </c>
      <c r="J40" s="90">
        <f t="shared" si="7"/>
        <v>0</v>
      </c>
    </row>
    <row r="41" spans="1:10" ht="16.899999999999999" customHeight="1">
      <c r="A41" s="29"/>
      <c r="B41" s="399"/>
      <c r="C41" s="400"/>
      <c r="D41" s="397"/>
      <c r="E41" s="399"/>
      <c r="F41" s="95"/>
      <c r="G41" s="397"/>
      <c r="H41" s="91"/>
      <c r="I41" s="92"/>
      <c r="J41" s="90"/>
    </row>
    <row r="42" spans="1:10">
      <c r="A42" s="32" t="s">
        <v>38</v>
      </c>
      <c r="B42" s="401">
        <f>SUM(B43:B46)</f>
        <v>1130</v>
      </c>
      <c r="C42" s="400">
        <f>SUM(C43:C46)</f>
        <v>844</v>
      </c>
      <c r="D42" s="397">
        <f t="shared" si="1"/>
        <v>0.33886255924170616</v>
      </c>
      <c r="E42" s="401">
        <f>SUM(E43:E46)</f>
        <v>2578234</v>
      </c>
      <c r="F42" s="95">
        <f>SUM(F43:F46)</f>
        <v>1779396</v>
      </c>
      <c r="G42" s="397">
        <f t="shared" si="2"/>
        <v>0.44893772943178473</v>
      </c>
      <c r="H42" s="91">
        <f t="shared" si="5"/>
        <v>2281.6230088495577</v>
      </c>
      <c r="I42" s="92">
        <f t="shared" si="6"/>
        <v>2108.2890995260664</v>
      </c>
      <c r="J42" s="90">
        <f t="shared" si="7"/>
        <v>8.2215436849934834E-2</v>
      </c>
    </row>
    <row r="43" spans="1:10">
      <c r="A43" s="24" t="s">
        <v>386</v>
      </c>
      <c r="B43" s="398">
        <f>電動輔助自行車!E43</f>
        <v>839</v>
      </c>
      <c r="C43" s="93">
        <f>VLOOKUP(A43,[12]進出口值表查詢結果!$B$10:$D$49,3,0)</f>
        <v>524</v>
      </c>
      <c r="D43" s="397">
        <f t="shared" si="1"/>
        <v>0.60114503816793896</v>
      </c>
      <c r="E43" s="399">
        <f>電動輔助自行車!G43</f>
        <v>2092030</v>
      </c>
      <c r="F43" s="95">
        <f>VLOOKUP(A43,[12]進出口值表查詢結果!$B$10:$D$49,2,0)</f>
        <v>1205241</v>
      </c>
      <c r="G43" s="397">
        <f t="shared" si="2"/>
        <v>0.73577732586262834</v>
      </c>
      <c r="H43" s="91">
        <f t="shared" si="5"/>
        <v>2493.4803337306316</v>
      </c>
      <c r="I43" s="92">
        <f t="shared" si="6"/>
        <v>2300.0782442748091</v>
      </c>
      <c r="J43" s="90">
        <f t="shared" si="7"/>
        <v>8.4085004472011005E-2</v>
      </c>
    </row>
    <row r="44" spans="1:10">
      <c r="A44" s="24" t="s">
        <v>387</v>
      </c>
      <c r="B44" s="398">
        <f>電動輔助自行車!E44</f>
        <v>291</v>
      </c>
      <c r="C44" s="93">
        <f>VLOOKUP(A44,[12]進出口值表查詢結果!$B$10:$D$49,3,0)</f>
        <v>320</v>
      </c>
      <c r="D44" s="397">
        <f t="shared" ref="D44:D46" si="9">IF(C44,(B44-C44)/C44,0)</f>
        <v>-9.0624999999999997E-2</v>
      </c>
      <c r="E44" s="399">
        <f>電動輔助自行車!G44</f>
        <v>486204</v>
      </c>
      <c r="F44" s="95">
        <f>VLOOKUP(A44,[12]進出口值表查詢結果!$B$10:$D$49,2,0)</f>
        <v>574155</v>
      </c>
      <c r="G44" s="397">
        <f t="shared" si="2"/>
        <v>-0.15318337382762495</v>
      </c>
      <c r="H44" s="91">
        <f t="shared" si="5"/>
        <v>1670.8041237113403</v>
      </c>
      <c r="I44" s="92">
        <f t="shared" si="6"/>
        <v>1794.234375</v>
      </c>
      <c r="J44" s="90">
        <f t="shared" si="7"/>
        <v>-6.8792713487422594E-2</v>
      </c>
    </row>
    <row r="45" spans="1:10">
      <c r="A45" s="24" t="s">
        <v>388</v>
      </c>
      <c r="B45" s="398">
        <f>電動輔助自行車!E45</f>
        <v>0</v>
      </c>
      <c r="C45" s="93">
        <v>0</v>
      </c>
      <c r="D45" s="397">
        <f t="shared" si="9"/>
        <v>0</v>
      </c>
      <c r="E45" s="399">
        <f>電動輔助自行車!G45</f>
        <v>0</v>
      </c>
      <c r="F45" s="95">
        <v>0</v>
      </c>
      <c r="G45" s="397">
        <f t="shared" si="2"/>
        <v>0</v>
      </c>
      <c r="H45" s="91">
        <f t="shared" si="5"/>
        <v>0</v>
      </c>
      <c r="I45" s="92">
        <f t="shared" si="6"/>
        <v>0</v>
      </c>
      <c r="J45" s="90">
        <f t="shared" si="7"/>
        <v>0</v>
      </c>
    </row>
    <row r="46" spans="1:10">
      <c r="A46" s="29" t="s">
        <v>42</v>
      </c>
      <c r="B46" s="398">
        <f>電動輔助自行車!E46</f>
        <v>0</v>
      </c>
      <c r="C46" s="93">
        <v>0</v>
      </c>
      <c r="D46" s="397">
        <f t="shared" si="9"/>
        <v>0</v>
      </c>
      <c r="E46" s="399">
        <f>電動輔助自行車!G46</f>
        <v>0</v>
      </c>
      <c r="F46" s="95">
        <v>0</v>
      </c>
      <c r="G46" s="397">
        <f t="shared" si="2"/>
        <v>0</v>
      </c>
      <c r="H46" s="91">
        <f t="shared" si="5"/>
        <v>0</v>
      </c>
      <c r="I46" s="92">
        <f t="shared" si="6"/>
        <v>0</v>
      </c>
      <c r="J46" s="90">
        <f t="shared" si="7"/>
        <v>0</v>
      </c>
    </row>
    <row r="47" spans="1:10">
      <c r="A47" s="29"/>
      <c r="B47" s="399"/>
      <c r="C47" s="400"/>
      <c r="D47" s="397"/>
      <c r="E47" s="399"/>
      <c r="F47" s="95"/>
      <c r="G47" s="397"/>
      <c r="H47" s="91"/>
      <c r="I47" s="92"/>
      <c r="J47" s="90"/>
    </row>
    <row r="48" spans="1:10">
      <c r="A48" s="32" t="s">
        <v>43</v>
      </c>
      <c r="B48" s="401">
        <f>SUM(B49:B62)</f>
        <v>5534</v>
      </c>
      <c r="C48" s="400">
        <f>SUM(C49:C62)</f>
        <v>5905</v>
      </c>
      <c r="D48" s="397">
        <f t="shared" si="1"/>
        <v>-6.2828111769686709E-2</v>
      </c>
      <c r="E48" s="401">
        <f>SUM(E49:E62)</f>
        <v>10909925</v>
      </c>
      <c r="F48" s="95">
        <f>SUM(F49:F62)</f>
        <v>13879082</v>
      </c>
      <c r="G48" s="397">
        <f t="shared" si="2"/>
        <v>-0.21393035937103044</v>
      </c>
      <c r="H48" s="91">
        <f t="shared" si="5"/>
        <v>1971.4356704011566</v>
      </c>
      <c r="I48" s="92">
        <f t="shared" si="6"/>
        <v>2350.3949195596952</v>
      </c>
      <c r="J48" s="90">
        <f t="shared" si="7"/>
        <v>-0.16123215975531885</v>
      </c>
    </row>
    <row r="49" spans="1:10">
      <c r="A49" s="24" t="s">
        <v>369</v>
      </c>
      <c r="B49" s="398">
        <f>電動輔助自行車!E49</f>
        <v>2104</v>
      </c>
      <c r="C49" s="93">
        <f>VLOOKUP(A49,[12]進出口值表查詢結果!$B$10:$D$49,3,0)</f>
        <v>2325</v>
      </c>
      <c r="D49" s="397">
        <f t="shared" si="1"/>
        <v>-9.5053763440860209E-2</v>
      </c>
      <c r="E49" s="399">
        <f>電動輔助自行車!G49</f>
        <v>4296452</v>
      </c>
      <c r="F49" s="95">
        <f>VLOOKUP(A49,[12]進出口值表查詢結果!$B$10:$D$49,2,0)</f>
        <v>5526016</v>
      </c>
      <c r="G49" s="397">
        <f t="shared" si="2"/>
        <v>-0.22250460367831001</v>
      </c>
      <c r="H49" s="91">
        <f t="shared" si="5"/>
        <v>2042.0399239543726</v>
      </c>
      <c r="I49" s="92">
        <f t="shared" si="6"/>
        <v>2376.7810752688174</v>
      </c>
      <c r="J49" s="90">
        <f t="shared" si="7"/>
        <v>-0.14083802450193486</v>
      </c>
    </row>
    <row r="50" spans="1:10">
      <c r="A50" s="24" t="s">
        <v>389</v>
      </c>
      <c r="B50" s="398">
        <f>電動輔助自行車!E50</f>
        <v>693</v>
      </c>
      <c r="C50" s="93">
        <f>VLOOKUP(A50,[12]進出口值表查詢結果!$B$10:$D$49,3,0)</f>
        <v>638</v>
      </c>
      <c r="D50" s="397">
        <f t="shared" ref="D50:D62" si="10">IF(C50,(B50-C50)/C50,0)</f>
        <v>8.6206896551724144E-2</v>
      </c>
      <c r="E50" s="399">
        <f>電動輔助自行車!G50</f>
        <v>657752</v>
      </c>
      <c r="F50" s="95">
        <f>VLOOKUP(A50,[12]進出口值表查詢結果!$B$10:$D$49,2,0)</f>
        <v>528610</v>
      </c>
      <c r="G50" s="397">
        <f t="shared" si="2"/>
        <v>0.24430487504965853</v>
      </c>
      <c r="H50" s="91">
        <f t="shared" si="5"/>
        <v>949.13708513708514</v>
      </c>
      <c r="I50" s="92">
        <f t="shared" si="6"/>
        <v>828.54231974921629</v>
      </c>
      <c r="J50" s="90">
        <f t="shared" si="7"/>
        <v>0.14555051988698725</v>
      </c>
    </row>
    <row r="51" spans="1:10">
      <c r="A51" s="24" t="s">
        <v>397</v>
      </c>
      <c r="B51" s="398">
        <f>電動輔助自行車!E51</f>
        <v>172</v>
      </c>
      <c r="C51" s="93">
        <f>VLOOKUP(A51,[12]進出口值表查詢結果!$B$10:$D$49,3,0)</f>
        <v>10</v>
      </c>
      <c r="D51" s="397">
        <f t="shared" si="10"/>
        <v>16.2</v>
      </c>
      <c r="E51" s="399">
        <f>電動輔助自行車!G51</f>
        <v>253884</v>
      </c>
      <c r="F51" s="95">
        <f>VLOOKUP(A51,[12]進出口值表查詢結果!$B$10:$D$49,2,0)</f>
        <v>38326</v>
      </c>
      <c r="G51" s="397">
        <f t="shared" si="2"/>
        <v>5.62432813233836</v>
      </c>
      <c r="H51" s="91">
        <f t="shared" si="5"/>
        <v>1476.0697674418604</v>
      </c>
      <c r="I51" s="92">
        <f t="shared" si="6"/>
        <v>3832.6</v>
      </c>
      <c r="J51" s="90">
        <f t="shared" si="7"/>
        <v>-0.61486464346870007</v>
      </c>
    </row>
    <row r="52" spans="1:10">
      <c r="A52" s="24" t="s">
        <v>390</v>
      </c>
      <c r="B52" s="398">
        <f>電動輔助自行車!E52</f>
        <v>43</v>
      </c>
      <c r="C52" s="93">
        <f>VLOOKUP(A52,[12]進出口值表查詢結果!$B$10:$D$49,3,0)</f>
        <v>24</v>
      </c>
      <c r="D52" s="397">
        <f t="shared" si="10"/>
        <v>0.79166666666666663</v>
      </c>
      <c r="E52" s="399">
        <f>電動輔助自行車!G52</f>
        <v>131232</v>
      </c>
      <c r="F52" s="95">
        <f>VLOOKUP(A52,[12]進出口值表查詢結果!$B$10:$D$49,2,0)</f>
        <v>70538</v>
      </c>
      <c r="G52" s="397">
        <f t="shared" si="2"/>
        <v>0.86044401599138054</v>
      </c>
      <c r="H52" s="91">
        <f t="shared" si="5"/>
        <v>3051.9069767441861</v>
      </c>
      <c r="I52" s="92">
        <f t="shared" si="6"/>
        <v>2939.0833333333335</v>
      </c>
      <c r="J52" s="90">
        <f t="shared" si="7"/>
        <v>3.8387357762630948E-2</v>
      </c>
    </row>
    <row r="53" spans="1:10">
      <c r="A53" s="29" t="s">
        <v>47</v>
      </c>
      <c r="B53" s="398">
        <f>電動輔助自行車!E53</f>
        <v>25</v>
      </c>
      <c r="C53" s="93">
        <f>VLOOKUP(A53,[12]進出口值表查詢結果!$B$10:$D$49,3,0)</f>
        <v>62</v>
      </c>
      <c r="D53" s="397">
        <f t="shared" si="10"/>
        <v>-0.59677419354838712</v>
      </c>
      <c r="E53" s="399">
        <f>電動輔助自行車!G53</f>
        <v>76105</v>
      </c>
      <c r="F53" s="95">
        <f>VLOOKUP(A53,[12]進出口值表查詢結果!$B$10:$D$49,2,0)</f>
        <v>182704</v>
      </c>
      <c r="G53" s="397">
        <f t="shared" si="2"/>
        <v>-0.58345192223487174</v>
      </c>
      <c r="H53" s="91">
        <f t="shared" si="5"/>
        <v>3044.2</v>
      </c>
      <c r="I53" s="92">
        <f t="shared" si="6"/>
        <v>2946.8387096774195</v>
      </c>
      <c r="J53" s="90">
        <f t="shared" si="7"/>
        <v>3.3039232857518058E-2</v>
      </c>
    </row>
    <row r="54" spans="1:10">
      <c r="A54" s="24" t="s">
        <v>391</v>
      </c>
      <c r="B54" s="398">
        <f>電動輔助自行車!E54</f>
        <v>227</v>
      </c>
      <c r="C54" s="93">
        <f>VLOOKUP(A54,[12]進出口值表查詢結果!$B$10:$D$49,3,0)</f>
        <v>137</v>
      </c>
      <c r="D54" s="397">
        <f t="shared" si="10"/>
        <v>0.65693430656934304</v>
      </c>
      <c r="E54" s="399">
        <f>電動輔助自行車!G54</f>
        <v>724904</v>
      </c>
      <c r="F54" s="95">
        <f>VLOOKUP(A54,[12]進出口值表查詢結果!$B$10:$D$49,2,0)</f>
        <v>564869</v>
      </c>
      <c r="G54" s="397">
        <f t="shared" si="2"/>
        <v>0.28331347622192049</v>
      </c>
      <c r="H54" s="91">
        <f t="shared" si="5"/>
        <v>3193.4096916299559</v>
      </c>
      <c r="I54" s="92">
        <f t="shared" si="6"/>
        <v>4123.1313868613142</v>
      </c>
      <c r="J54" s="90">
        <f t="shared" si="7"/>
        <v>-0.22548922360174853</v>
      </c>
    </row>
    <row r="55" spans="1:10">
      <c r="A55" s="29" t="s">
        <v>392</v>
      </c>
      <c r="B55" s="398">
        <f>電動輔助自行車!E55</f>
        <v>1359</v>
      </c>
      <c r="C55" s="93">
        <f>VLOOKUP(A55,[12]進出口值表查詢結果!$B$10:$D$49,3,0)</f>
        <v>1320</v>
      </c>
      <c r="D55" s="397">
        <f t="shared" si="10"/>
        <v>2.9545454545454545E-2</v>
      </c>
      <c r="E55" s="399">
        <f>電動輔助自行車!G55</f>
        <v>2729180</v>
      </c>
      <c r="F55" s="95">
        <f>VLOOKUP(A55,[12]進出口值表查詢結果!$B$10:$D$49,2,0)</f>
        <v>3121227</v>
      </c>
      <c r="G55" s="397">
        <f t="shared" si="2"/>
        <v>-0.12560669249625228</v>
      </c>
      <c r="H55" s="91">
        <f t="shared" si="5"/>
        <v>2008.2266372332597</v>
      </c>
      <c r="I55" s="92">
        <f t="shared" si="6"/>
        <v>2364.5659090909089</v>
      </c>
      <c r="J55" s="90">
        <f t="shared" si="7"/>
        <v>-0.15069965717075273</v>
      </c>
    </row>
    <row r="56" spans="1:10">
      <c r="A56" s="29" t="s">
        <v>50</v>
      </c>
      <c r="B56" s="398">
        <f>電動輔助自行車!E56</f>
        <v>63</v>
      </c>
      <c r="C56" s="93">
        <f>VLOOKUP(A56,[12]進出口值表查詢結果!$B$10:$D$49,3,0)</f>
        <v>72</v>
      </c>
      <c r="D56" s="397">
        <f t="shared" si="10"/>
        <v>-0.125</v>
      </c>
      <c r="E56" s="399">
        <f>電動輔助自行車!G56</f>
        <v>143676</v>
      </c>
      <c r="F56" s="95">
        <f>VLOOKUP(A56,[12]進出口值表查詢結果!$B$10:$D$49,2,0)</f>
        <v>76699</v>
      </c>
      <c r="G56" s="397">
        <f t="shared" si="2"/>
        <v>0.87324476199168177</v>
      </c>
      <c r="H56" s="91">
        <f t="shared" si="5"/>
        <v>2280.5714285714284</v>
      </c>
      <c r="I56" s="92">
        <f t="shared" si="6"/>
        <v>1065.2638888888889</v>
      </c>
      <c r="J56" s="90">
        <f t="shared" si="7"/>
        <v>1.1408511565619219</v>
      </c>
    </row>
    <row r="57" spans="1:10">
      <c r="A57" s="29" t="s">
        <v>393</v>
      </c>
      <c r="B57" s="398">
        <f>電動輔助自行車!E57</f>
        <v>5</v>
      </c>
      <c r="C57" s="93">
        <f>VLOOKUP(A57,[12]進出口值表查詢結果!$B$10:$D$49,3,0)</f>
        <v>99</v>
      </c>
      <c r="D57" s="397">
        <f t="shared" si="10"/>
        <v>-0.9494949494949495</v>
      </c>
      <c r="E57" s="399">
        <f>電動輔助自行車!G57</f>
        <v>7380</v>
      </c>
      <c r="F57" s="95">
        <f>VLOOKUP(A57,[12]進出口值表查詢結果!$B$10:$D$49,2,0)</f>
        <v>327830</v>
      </c>
      <c r="G57" s="397">
        <f t="shared" si="2"/>
        <v>-0.97748833236738553</v>
      </c>
      <c r="H57" s="91">
        <f t="shared" si="5"/>
        <v>1476</v>
      </c>
      <c r="I57" s="92">
        <f t="shared" si="6"/>
        <v>3311.4141414141413</v>
      </c>
      <c r="J57" s="90">
        <f t="shared" si="7"/>
        <v>-0.5542689808742336</v>
      </c>
    </row>
    <row r="58" spans="1:10">
      <c r="A58" s="29" t="s">
        <v>366</v>
      </c>
      <c r="B58" s="398">
        <f>電動輔助自行車!E58</f>
        <v>29</v>
      </c>
      <c r="C58" s="93">
        <f>VLOOKUP(A58,[12]進出口值表查詢結果!$B$10:$D$49,3,0)</f>
        <v>50</v>
      </c>
      <c r="D58" s="397">
        <f t="shared" si="10"/>
        <v>-0.42</v>
      </c>
      <c r="E58" s="399">
        <f>電動輔助自行車!G58</f>
        <v>60048</v>
      </c>
      <c r="F58" s="95">
        <f>VLOOKUP(A58,[12]進出口值表查詢結果!$B$10:$D$49,2,0)</f>
        <v>182240</v>
      </c>
      <c r="G58" s="397">
        <f t="shared" si="2"/>
        <v>-0.67050043898156275</v>
      </c>
      <c r="H58" s="91">
        <f t="shared" si="5"/>
        <v>2070.6206896551726</v>
      </c>
      <c r="I58" s="92">
        <f t="shared" si="6"/>
        <v>3644.8</v>
      </c>
      <c r="J58" s="90">
        <f t="shared" si="7"/>
        <v>-0.43189730858890135</v>
      </c>
    </row>
    <row r="59" spans="1:10">
      <c r="A59" s="29" t="s">
        <v>394</v>
      </c>
      <c r="B59" s="398">
        <f>電動輔助自行車!E59</f>
        <v>0</v>
      </c>
      <c r="C59" s="93">
        <v>0</v>
      </c>
      <c r="D59" s="397">
        <f t="shared" si="10"/>
        <v>0</v>
      </c>
      <c r="E59" s="399">
        <f>電動輔助自行車!G59</f>
        <v>0</v>
      </c>
      <c r="F59" s="95">
        <v>0</v>
      </c>
      <c r="G59" s="397">
        <f t="shared" si="2"/>
        <v>0</v>
      </c>
      <c r="H59" s="91">
        <f t="shared" si="5"/>
        <v>0</v>
      </c>
      <c r="I59" s="92">
        <f t="shared" si="6"/>
        <v>0</v>
      </c>
      <c r="J59" s="90">
        <f t="shared" si="7"/>
        <v>0</v>
      </c>
    </row>
    <row r="60" spans="1:10">
      <c r="A60" s="29" t="s">
        <v>395</v>
      </c>
      <c r="B60" s="398">
        <f>電動輔助自行車!E60</f>
        <v>0</v>
      </c>
      <c r="C60" s="93">
        <v>0</v>
      </c>
      <c r="D60" s="397">
        <f t="shared" si="10"/>
        <v>0</v>
      </c>
      <c r="E60" s="399">
        <f>電動輔助自行車!G60</f>
        <v>0</v>
      </c>
      <c r="F60" s="95">
        <v>0</v>
      </c>
      <c r="G60" s="397">
        <f t="shared" si="2"/>
        <v>0</v>
      </c>
      <c r="H60" s="91">
        <f t="shared" si="5"/>
        <v>0</v>
      </c>
      <c r="I60" s="92">
        <f t="shared" si="6"/>
        <v>0</v>
      </c>
      <c r="J60" s="90">
        <f t="shared" si="7"/>
        <v>0</v>
      </c>
    </row>
    <row r="61" spans="1:10">
      <c r="A61" s="29" t="s">
        <v>396</v>
      </c>
      <c r="B61" s="398">
        <f>電動輔助自行車!E61</f>
        <v>648</v>
      </c>
      <c r="C61" s="93">
        <f>VLOOKUP(A61,[12]進出口值表查詢結果!$B$10:$D$49,3,0)</f>
        <v>712</v>
      </c>
      <c r="D61" s="397">
        <f t="shared" si="10"/>
        <v>-8.98876404494382E-2</v>
      </c>
      <c r="E61" s="399">
        <f>電動輔助自行車!G61</f>
        <v>1433198</v>
      </c>
      <c r="F61" s="95">
        <f>VLOOKUP(A61,[12]進出口值表查詢結果!$B$10:$D$49,2,0)</f>
        <v>1795797</v>
      </c>
      <c r="G61" s="397">
        <f t="shared" si="2"/>
        <v>-0.20191536125742499</v>
      </c>
      <c r="H61" s="91">
        <f t="shared" si="5"/>
        <v>2211.7253086419755</v>
      </c>
      <c r="I61" s="92">
        <f t="shared" si="6"/>
        <v>2522.1867977528091</v>
      </c>
      <c r="J61" s="90">
        <f t="shared" si="7"/>
        <v>-0.12309218706062738</v>
      </c>
    </row>
    <row r="62" spans="1:10">
      <c r="A62" s="29" t="s">
        <v>365</v>
      </c>
      <c r="B62" s="398">
        <f>電動輔助自行車!E62</f>
        <v>166</v>
      </c>
      <c r="C62" s="93">
        <f>VLOOKUP(A62,[12]進出口值表查詢結果!$B$10:$D$49,3,0)</f>
        <v>456</v>
      </c>
      <c r="D62" s="397">
        <f t="shared" si="10"/>
        <v>-0.63596491228070173</v>
      </c>
      <c r="E62" s="399">
        <f>電動輔助自行車!G62</f>
        <v>396114</v>
      </c>
      <c r="F62" s="95">
        <f>VLOOKUP(A62,[12]進出口值表查詢結果!$B$10:$D$49,2,0)</f>
        <v>1464226</v>
      </c>
      <c r="G62" s="397">
        <f t="shared" si="2"/>
        <v>-0.72947208969107225</v>
      </c>
      <c r="H62" s="91">
        <f t="shared" si="5"/>
        <v>2386.2289156626507</v>
      </c>
      <c r="I62" s="92">
        <f t="shared" si="6"/>
        <v>3211.0219298245615</v>
      </c>
      <c r="J62" s="90">
        <f t="shared" si="7"/>
        <v>-0.25686308975378891</v>
      </c>
    </row>
    <row r="63" spans="1:10">
      <c r="A63" s="29" t="s">
        <v>57</v>
      </c>
      <c r="B63" s="399">
        <f>B64-B48-B42-B13-B8</f>
        <v>558</v>
      </c>
      <c r="C63" s="95">
        <f>C64-C48-C42-C13-C8</f>
        <v>412</v>
      </c>
      <c r="D63" s="397">
        <f t="shared" si="1"/>
        <v>0.35436893203883496</v>
      </c>
      <c r="E63" s="399">
        <f>E64-E48-E42-E13-E8</f>
        <v>1878369</v>
      </c>
      <c r="F63" s="95">
        <f>F64-F48-F42-F13-F8</f>
        <v>1440826</v>
      </c>
      <c r="G63" s="397">
        <f t="shared" si="2"/>
        <v>0.30367511413591924</v>
      </c>
      <c r="H63" s="91">
        <f t="shared" si="5"/>
        <v>3366.2526881720432</v>
      </c>
      <c r="I63" s="92">
        <f t="shared" si="6"/>
        <v>3497.1504854368932</v>
      </c>
      <c r="J63" s="90">
        <f t="shared" si="7"/>
        <v>-3.7429844043012951E-2</v>
      </c>
    </row>
    <row r="64" spans="1:10">
      <c r="A64" s="30" t="s">
        <v>398</v>
      </c>
      <c r="B64" s="398">
        <f>電動輔助自行車!E64</f>
        <v>47658</v>
      </c>
      <c r="C64" s="93">
        <f>VLOOKUP(A64,[12]進出口值表查詢結果!$B$10:$D$49,3,0)</f>
        <v>53457</v>
      </c>
      <c r="D64" s="404">
        <f>(B64-C64)/C64</f>
        <v>-0.10847971266625513</v>
      </c>
      <c r="E64" s="399">
        <f>電動輔助自行車!G64</f>
        <v>89287930</v>
      </c>
      <c r="F64" s="95">
        <f>VLOOKUP(A64,[12]進出口值表查詢結果!$B$10:$D$49,2,0)</f>
        <v>112718368</v>
      </c>
      <c r="G64" s="397">
        <f>(E64-F64)/F64</f>
        <v>-0.20786707983564845</v>
      </c>
      <c r="H64" s="91">
        <f t="shared" ref="H64" si="11">E64/B64</f>
        <v>1873.5139955516388</v>
      </c>
      <c r="I64" s="92">
        <f t="shared" ref="I64" si="12">F64/C64</f>
        <v>2108.5801298239708</v>
      </c>
      <c r="J64" s="90">
        <f t="shared" ref="J64" si="13">(H64-I64)/I64</f>
        <v>-0.11148076895325569</v>
      </c>
    </row>
    <row r="65" spans="1:10">
      <c r="A65" s="57" t="s">
        <v>452</v>
      </c>
      <c r="B65" s="3"/>
      <c r="C65" s="405"/>
      <c r="D65" s="3"/>
      <c r="E65" s="3"/>
      <c r="F65" s="406"/>
      <c r="G65" s="3"/>
      <c r="H65" s="3"/>
      <c r="I65" s="3"/>
      <c r="J65" s="3"/>
    </row>
  </sheetData>
  <mergeCells count="3">
    <mergeCell ref="A1:J1"/>
    <mergeCell ref="A3:J3"/>
    <mergeCell ref="A4:J4"/>
  </mergeCells>
  <phoneticPr fontId="3" type="noConversion"/>
  <conditionalFormatting sqref="D1:D4 D6:D1048576">
    <cfRule type="cellIs" dxfId="39" priority="11" operator="greaterThanOrEqual">
      <formula>0</formula>
    </cfRule>
  </conditionalFormatting>
  <conditionalFormatting sqref="D1:D1048576">
    <cfRule type="cellIs" dxfId="38" priority="5" operator="lessThan">
      <formula>0</formula>
    </cfRule>
  </conditionalFormatting>
  <conditionalFormatting sqref="G1:G1048576">
    <cfRule type="cellIs" dxfId="37" priority="3" operator="greaterThanOrEqual">
      <formula>0</formula>
    </cfRule>
    <cfRule type="cellIs" dxfId="36" priority="4" operator="lessThan">
      <formula>0</formula>
    </cfRule>
  </conditionalFormatting>
  <conditionalFormatting sqref="J1:J1048576">
    <cfRule type="cellIs" dxfId="35" priority="1" operator="greaterThanOrEqual">
      <formula>0</formula>
    </cfRule>
    <cfRule type="cellIs" dxfId="34" priority="2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70"/>
  <sheetViews>
    <sheetView zoomScaleNormal="100" workbookViewId="0">
      <selection activeCell="A2" sqref="A2"/>
    </sheetView>
  </sheetViews>
  <sheetFormatPr defaultRowHeight="16.5"/>
  <cols>
    <col min="1" max="1" width="17" customWidth="1"/>
    <col min="2" max="2" width="11.5" customWidth="1"/>
    <col min="3" max="3" width="12.5" customWidth="1"/>
    <col min="4" max="4" width="11.875" customWidth="1"/>
    <col min="5" max="5" width="14" customWidth="1"/>
    <col min="6" max="6" width="10.5" customWidth="1"/>
    <col min="7" max="7" width="16.125" customWidth="1"/>
    <col min="8" max="8" width="10.375" customWidth="1"/>
    <col min="9" max="9" width="13.5" customWidth="1"/>
  </cols>
  <sheetData>
    <row r="1" spans="1:9" ht="23.25">
      <c r="A1" s="763" t="s">
        <v>483</v>
      </c>
      <c r="B1" s="763"/>
      <c r="C1" s="763"/>
      <c r="D1" s="763"/>
      <c r="E1" s="763"/>
      <c r="F1" s="763"/>
      <c r="G1" s="763"/>
      <c r="H1" s="763"/>
      <c r="I1" s="763"/>
    </row>
    <row r="2" spans="1:9" ht="9" customHeight="1">
      <c r="A2" s="3"/>
      <c r="B2" s="141"/>
      <c r="C2" s="4"/>
      <c r="D2" s="141"/>
      <c r="E2" s="4"/>
      <c r="F2" s="141"/>
      <c r="G2" s="141"/>
      <c r="H2" s="4"/>
      <c r="I2" s="141"/>
    </row>
    <row r="3" spans="1:9">
      <c r="A3" s="757" t="s">
        <v>314</v>
      </c>
      <c r="B3" s="758"/>
      <c r="C3" s="758"/>
      <c r="D3" s="758"/>
      <c r="E3" s="758"/>
      <c r="F3" s="758"/>
      <c r="G3" s="758"/>
      <c r="H3" s="758"/>
      <c r="I3" s="759"/>
    </row>
    <row r="4" spans="1:9" ht="19.5">
      <c r="A4" s="6" t="s">
        <v>472</v>
      </c>
      <c r="B4" s="7" t="s">
        <v>473</v>
      </c>
      <c r="C4" s="7" t="s">
        <v>474</v>
      </c>
      <c r="D4" s="8" t="s">
        <v>1</v>
      </c>
      <c r="E4" s="9" t="s">
        <v>475</v>
      </c>
      <c r="F4" s="10" t="s">
        <v>2</v>
      </c>
      <c r="G4" s="9" t="s">
        <v>476</v>
      </c>
      <c r="H4" s="10" t="s">
        <v>2</v>
      </c>
      <c r="I4" s="157" t="s">
        <v>90</v>
      </c>
    </row>
    <row r="5" spans="1:9">
      <c r="A5" s="12"/>
      <c r="B5" s="12" t="s">
        <v>6</v>
      </c>
      <c r="C5" s="6" t="s">
        <v>5</v>
      </c>
      <c r="D5" s="10" t="s">
        <v>5</v>
      </c>
      <c r="E5" s="10" t="s">
        <v>6</v>
      </c>
      <c r="F5" s="10" t="s">
        <v>6</v>
      </c>
      <c r="G5" s="6" t="s">
        <v>5</v>
      </c>
      <c r="H5" s="6" t="s">
        <v>5</v>
      </c>
      <c r="I5" s="122" t="s">
        <v>5</v>
      </c>
    </row>
    <row r="6" spans="1:9">
      <c r="A6" s="158" t="s">
        <v>7</v>
      </c>
      <c r="B6" s="170"/>
      <c r="C6" s="16"/>
      <c r="D6" s="171"/>
      <c r="E6" s="16"/>
      <c r="F6" s="171"/>
      <c r="G6" s="171"/>
      <c r="H6" s="16"/>
      <c r="I6" s="172"/>
    </row>
    <row r="7" spans="1:9">
      <c r="A7" s="19" t="s">
        <v>8</v>
      </c>
      <c r="B7" s="173">
        <f>SUM(B8:B10)</f>
        <v>2</v>
      </c>
      <c r="C7" s="21">
        <f>SUM(C8:C10)</f>
        <v>95</v>
      </c>
      <c r="D7" s="174">
        <f>IF(B7,C7/B7,0)</f>
        <v>47.5</v>
      </c>
      <c r="E7" s="173">
        <f>SUM(E8:E10)</f>
        <v>2</v>
      </c>
      <c r="F7" s="175">
        <f>E7/$E$68</f>
        <v>5.0251256281407036E-3</v>
      </c>
      <c r="G7" s="181">
        <f>SUM(G8:G10)</f>
        <v>95</v>
      </c>
      <c r="H7" s="22">
        <f>G7/$G$68</f>
        <v>2.883042550673266E-4</v>
      </c>
      <c r="I7" s="176">
        <f>IF(E7,G7/E7,0)</f>
        <v>47.5</v>
      </c>
    </row>
    <row r="8" spans="1:9">
      <c r="A8" s="24" t="s">
        <v>342</v>
      </c>
      <c r="B8" s="177">
        <v>2</v>
      </c>
      <c r="C8" s="26">
        <v>95</v>
      </c>
      <c r="D8" s="174">
        <f t="shared" ref="D8:D10" si="0">IF(B8,C8/B8,0)</f>
        <v>47.5</v>
      </c>
      <c r="E8" s="177">
        <f>VLOOKUP(A8,[13]進出口值表查詢結果!$B$10:$D$19,3,0)</f>
        <v>2</v>
      </c>
      <c r="F8" s="175">
        <f>E8/$E$68</f>
        <v>5.0251256281407036E-3</v>
      </c>
      <c r="G8" s="25">
        <f>VLOOKUP(A8,[13]進出口值表查詢結果!$B$10:$D$19,2,0)</f>
        <v>95</v>
      </c>
      <c r="H8" s="22">
        <f>G8/$G$68</f>
        <v>2.883042550673266E-4</v>
      </c>
      <c r="I8" s="176">
        <f t="shared" ref="I8:I67" si="1">IF(E8,G8/E8,0)</f>
        <v>47.5</v>
      </c>
    </row>
    <row r="9" spans="1:9">
      <c r="A9" s="29" t="s">
        <v>9</v>
      </c>
      <c r="B9" s="177">
        <v>0</v>
      </c>
      <c r="C9" s="26">
        <v>0</v>
      </c>
      <c r="D9" s="174">
        <f t="shared" si="0"/>
        <v>0</v>
      </c>
      <c r="E9" s="177">
        <v>0</v>
      </c>
      <c r="F9" s="175">
        <f>E9/$E$68</f>
        <v>0</v>
      </c>
      <c r="G9" s="25">
        <v>0</v>
      </c>
      <c r="H9" s="22">
        <f>G9/$G$68</f>
        <v>0</v>
      </c>
      <c r="I9" s="176">
        <f t="shared" si="1"/>
        <v>0</v>
      </c>
    </row>
    <row r="10" spans="1:9">
      <c r="A10" s="29" t="s">
        <v>10</v>
      </c>
      <c r="B10" s="177">
        <v>0</v>
      </c>
      <c r="C10" s="26">
        <v>0</v>
      </c>
      <c r="D10" s="174">
        <f t="shared" si="0"/>
        <v>0</v>
      </c>
      <c r="E10" s="177">
        <v>0</v>
      </c>
      <c r="F10" s="175">
        <f>E10/$E$68</f>
        <v>0</v>
      </c>
      <c r="G10" s="26">
        <v>0</v>
      </c>
      <c r="H10" s="22">
        <f>G10/$G$68</f>
        <v>0</v>
      </c>
      <c r="I10" s="176">
        <f t="shared" si="1"/>
        <v>0</v>
      </c>
    </row>
    <row r="11" spans="1:9">
      <c r="A11" s="29"/>
      <c r="B11" s="177"/>
      <c r="C11" s="25"/>
      <c r="D11" s="174"/>
      <c r="E11" s="177"/>
      <c r="F11" s="178"/>
      <c r="G11" s="25"/>
      <c r="H11" s="28"/>
      <c r="I11" s="176"/>
    </row>
    <row r="12" spans="1:9">
      <c r="A12" s="30" t="s">
        <v>11</v>
      </c>
      <c r="B12" s="181">
        <f>SUM(B13:B39)</f>
        <v>115</v>
      </c>
      <c r="C12" s="31">
        <f>SUM(C13:C39)</f>
        <v>61387</v>
      </c>
      <c r="D12" s="174">
        <f>IF(B12,C12/B12,0)</f>
        <v>533.79999999999995</v>
      </c>
      <c r="E12" s="181">
        <f>SUM(E13:E39)</f>
        <v>115</v>
      </c>
      <c r="F12" s="175">
        <f t="shared" ref="F12:F13" si="2">E12/$E$68</f>
        <v>0.28894472361809043</v>
      </c>
      <c r="G12" s="181">
        <f>SUM(G13:G39)</f>
        <v>61387</v>
      </c>
      <c r="H12" s="22">
        <f t="shared" ref="H12:H39" si="3">G12/$G$68</f>
        <v>0.1862961400612419</v>
      </c>
      <c r="I12" s="176">
        <f t="shared" si="1"/>
        <v>533.79999999999995</v>
      </c>
    </row>
    <row r="13" spans="1:9">
      <c r="A13" s="24" t="s">
        <v>322</v>
      </c>
      <c r="B13" s="177">
        <v>115</v>
      </c>
      <c r="C13" s="25">
        <v>61387</v>
      </c>
      <c r="D13" s="174">
        <f t="shared" ref="D13:D67" si="4">IF(B13,C13/B13,0)</f>
        <v>533.79999999999995</v>
      </c>
      <c r="E13" s="177">
        <f>VLOOKUP(A13,[13]進出口值表查詢結果!$B$10:$D$19,3,0)</f>
        <v>115</v>
      </c>
      <c r="F13" s="175">
        <f t="shared" si="2"/>
        <v>0.28894472361809043</v>
      </c>
      <c r="G13" s="25">
        <f>VLOOKUP(A13,[13]進出口值表查詢結果!$B$10:$D$19,2,0)</f>
        <v>61387</v>
      </c>
      <c r="H13" s="22">
        <f t="shared" si="3"/>
        <v>0.1862961400612419</v>
      </c>
      <c r="I13" s="176">
        <f t="shared" si="1"/>
        <v>533.79999999999995</v>
      </c>
    </row>
    <row r="14" spans="1:9">
      <c r="A14" s="24" t="s">
        <v>323</v>
      </c>
      <c r="B14" s="177">
        <v>0</v>
      </c>
      <c r="C14" s="25">
        <f>_xlfn.IFNA(VLOOKUP(A14,[14]進出口值表查詢結果!$C$11:$G$185,3,0),-[5]整車!$B$22)</f>
        <v>0</v>
      </c>
      <c r="D14" s="174">
        <f t="shared" ref="D14:D39" si="5">IF(B14,C14/B14,0)</f>
        <v>0</v>
      </c>
      <c r="E14" s="177">
        <v>0</v>
      </c>
      <c r="F14" s="175">
        <f t="shared" ref="F14:F39" si="6">E14/$E$68</f>
        <v>0</v>
      </c>
      <c r="G14" s="25">
        <v>0</v>
      </c>
      <c r="H14" s="22">
        <f t="shared" si="3"/>
        <v>0</v>
      </c>
      <c r="I14" s="176">
        <f t="shared" si="1"/>
        <v>0</v>
      </c>
    </row>
    <row r="15" spans="1:9">
      <c r="A15" s="29" t="s">
        <v>14</v>
      </c>
      <c r="B15" s="177">
        <v>0</v>
      </c>
      <c r="C15" s="25">
        <v>0</v>
      </c>
      <c r="D15" s="174">
        <f t="shared" si="5"/>
        <v>0</v>
      </c>
      <c r="E15" s="177">
        <v>0</v>
      </c>
      <c r="F15" s="175">
        <f t="shared" si="6"/>
        <v>0</v>
      </c>
      <c r="G15" s="25">
        <v>0</v>
      </c>
      <c r="H15" s="22">
        <f t="shared" si="3"/>
        <v>0</v>
      </c>
      <c r="I15" s="176">
        <f t="shared" si="1"/>
        <v>0</v>
      </c>
    </row>
    <row r="16" spans="1:9">
      <c r="A16" s="24" t="s">
        <v>325</v>
      </c>
      <c r="B16" s="177">
        <v>0</v>
      </c>
      <c r="C16" s="25">
        <f>_xlfn.IFNA(VLOOKUP(A16,[14]進出口值表查詢結果!$C$11:$G$185,3,0),-[5]整車!$B$22)</f>
        <v>0</v>
      </c>
      <c r="D16" s="174">
        <f t="shared" si="5"/>
        <v>0</v>
      </c>
      <c r="E16" s="177">
        <v>0</v>
      </c>
      <c r="F16" s="175">
        <f t="shared" si="6"/>
        <v>0</v>
      </c>
      <c r="G16" s="25">
        <v>0</v>
      </c>
      <c r="H16" s="22">
        <f t="shared" si="3"/>
        <v>0</v>
      </c>
      <c r="I16" s="176">
        <f t="shared" si="1"/>
        <v>0</v>
      </c>
    </row>
    <row r="17" spans="1:9">
      <c r="A17" s="29" t="s">
        <v>17</v>
      </c>
      <c r="B17" s="177">
        <v>0</v>
      </c>
      <c r="C17" s="25">
        <f>_xlfn.IFNA(VLOOKUP(A17,[14]進出口值表查詢結果!$C$11:$G$185,3,0),-[5]整車!$B$22)</f>
        <v>0</v>
      </c>
      <c r="D17" s="174">
        <f t="shared" si="5"/>
        <v>0</v>
      </c>
      <c r="E17" s="177">
        <v>0</v>
      </c>
      <c r="F17" s="175">
        <f t="shared" si="6"/>
        <v>0</v>
      </c>
      <c r="G17" s="25">
        <v>0</v>
      </c>
      <c r="H17" s="22">
        <f t="shared" si="3"/>
        <v>0</v>
      </c>
      <c r="I17" s="176">
        <f t="shared" si="1"/>
        <v>0</v>
      </c>
    </row>
    <row r="18" spans="1:9">
      <c r="A18" s="29" t="s">
        <v>18</v>
      </c>
      <c r="B18" s="177">
        <v>0</v>
      </c>
      <c r="C18" s="25">
        <f>_xlfn.IFNA(VLOOKUP(A18,[14]進出口值表查詢結果!$C$11:$G$185,3,0),-[5]整車!$B$22)</f>
        <v>0</v>
      </c>
      <c r="D18" s="174">
        <f t="shared" si="5"/>
        <v>0</v>
      </c>
      <c r="E18" s="177">
        <v>0</v>
      </c>
      <c r="F18" s="175">
        <f t="shared" si="6"/>
        <v>0</v>
      </c>
      <c r="G18" s="25">
        <v>0</v>
      </c>
      <c r="H18" s="22">
        <f t="shared" si="3"/>
        <v>0</v>
      </c>
      <c r="I18" s="176">
        <f t="shared" si="1"/>
        <v>0</v>
      </c>
    </row>
    <row r="19" spans="1:9">
      <c r="A19" s="24" t="s">
        <v>326</v>
      </c>
      <c r="B19" s="177">
        <v>0</v>
      </c>
      <c r="C19" s="25">
        <f>_xlfn.IFNA(VLOOKUP(A19,[14]進出口值表查詢結果!$C$11:$G$185,3,0),-[5]整車!$B$22)</f>
        <v>0</v>
      </c>
      <c r="D19" s="174">
        <f t="shared" si="5"/>
        <v>0</v>
      </c>
      <c r="E19" s="177">
        <v>0</v>
      </c>
      <c r="F19" s="175">
        <f t="shared" si="6"/>
        <v>0</v>
      </c>
      <c r="G19" s="25">
        <v>0</v>
      </c>
      <c r="H19" s="22">
        <f t="shared" si="3"/>
        <v>0</v>
      </c>
      <c r="I19" s="176">
        <f t="shared" si="1"/>
        <v>0</v>
      </c>
    </row>
    <row r="20" spans="1:9">
      <c r="A20" s="29" t="s">
        <v>67</v>
      </c>
      <c r="B20" s="177">
        <v>0</v>
      </c>
      <c r="C20" s="25">
        <f>_xlfn.IFNA(VLOOKUP(A20,[14]進出口值表查詢結果!$C$11:$G$185,3,0),-[5]整車!$B$22)</f>
        <v>0</v>
      </c>
      <c r="D20" s="174">
        <f t="shared" si="5"/>
        <v>0</v>
      </c>
      <c r="E20" s="177">
        <v>0</v>
      </c>
      <c r="F20" s="175">
        <f t="shared" si="6"/>
        <v>0</v>
      </c>
      <c r="G20" s="25">
        <v>0</v>
      </c>
      <c r="H20" s="22">
        <f t="shared" si="3"/>
        <v>0</v>
      </c>
      <c r="I20" s="176">
        <f t="shared" si="1"/>
        <v>0</v>
      </c>
    </row>
    <row r="21" spans="1:9">
      <c r="A21" s="24" t="s">
        <v>327</v>
      </c>
      <c r="B21" s="177">
        <v>0</v>
      </c>
      <c r="C21" s="25">
        <f>_xlfn.IFNA(VLOOKUP(A21,[14]進出口值表查詢結果!$C$11:$G$185,3,0),-[5]整車!$B$22)</f>
        <v>0</v>
      </c>
      <c r="D21" s="174">
        <f t="shared" si="5"/>
        <v>0</v>
      </c>
      <c r="E21" s="177">
        <v>0</v>
      </c>
      <c r="F21" s="175">
        <f t="shared" si="6"/>
        <v>0</v>
      </c>
      <c r="G21" s="25">
        <v>0</v>
      </c>
      <c r="H21" s="22">
        <f t="shared" si="3"/>
        <v>0</v>
      </c>
      <c r="I21" s="176">
        <f t="shared" si="1"/>
        <v>0</v>
      </c>
    </row>
    <row r="22" spans="1:9">
      <c r="A22" s="29" t="s">
        <v>22</v>
      </c>
      <c r="B22" s="177">
        <v>0</v>
      </c>
      <c r="C22" s="25">
        <f>_xlfn.IFNA(VLOOKUP(A22,[14]進出口值表查詢結果!$C$11:$G$185,3,0),-[5]整車!$B$22)</f>
        <v>0</v>
      </c>
      <c r="D22" s="174">
        <f t="shared" si="5"/>
        <v>0</v>
      </c>
      <c r="E22" s="177">
        <v>0</v>
      </c>
      <c r="F22" s="175">
        <f t="shared" si="6"/>
        <v>0</v>
      </c>
      <c r="G22" s="25">
        <v>0</v>
      </c>
      <c r="H22" s="22">
        <f t="shared" si="3"/>
        <v>0</v>
      </c>
      <c r="I22" s="176">
        <f t="shared" si="1"/>
        <v>0</v>
      </c>
    </row>
    <row r="23" spans="1:9">
      <c r="A23" s="29" t="s">
        <v>23</v>
      </c>
      <c r="B23" s="177">
        <v>0</v>
      </c>
      <c r="C23" s="25">
        <f>_xlfn.IFNA(VLOOKUP(A23,[14]進出口值表查詢結果!$C$11:$G$185,3,0),-[5]整車!$B$22)</f>
        <v>0</v>
      </c>
      <c r="D23" s="174">
        <f t="shared" si="5"/>
        <v>0</v>
      </c>
      <c r="E23" s="177">
        <v>0</v>
      </c>
      <c r="F23" s="175">
        <f t="shared" si="6"/>
        <v>0</v>
      </c>
      <c r="G23" s="25">
        <v>0</v>
      </c>
      <c r="H23" s="22">
        <f t="shared" si="3"/>
        <v>0</v>
      </c>
      <c r="I23" s="176">
        <f t="shared" si="1"/>
        <v>0</v>
      </c>
    </row>
    <row r="24" spans="1:9">
      <c r="A24" s="29" t="s">
        <v>24</v>
      </c>
      <c r="B24" s="177">
        <v>0</v>
      </c>
      <c r="C24" s="25">
        <f>_xlfn.IFNA(VLOOKUP(A24,[14]進出口值表查詢結果!$C$11:$G$185,3,0),-[5]整車!$B$22)</f>
        <v>0</v>
      </c>
      <c r="D24" s="174">
        <f t="shared" si="5"/>
        <v>0</v>
      </c>
      <c r="E24" s="177">
        <v>0</v>
      </c>
      <c r="F24" s="175">
        <f t="shared" si="6"/>
        <v>0</v>
      </c>
      <c r="G24" s="25">
        <v>0</v>
      </c>
      <c r="H24" s="22">
        <f t="shared" si="3"/>
        <v>0</v>
      </c>
      <c r="I24" s="176">
        <f t="shared" si="1"/>
        <v>0</v>
      </c>
    </row>
    <row r="25" spans="1:9">
      <c r="A25" s="24" t="s">
        <v>328</v>
      </c>
      <c r="B25" s="177">
        <v>0</v>
      </c>
      <c r="C25" s="25">
        <f>_xlfn.IFNA(VLOOKUP(A25,[14]進出口值表查詢結果!$C$11:$G$185,3,0),-[5]整車!$B$22)</f>
        <v>0</v>
      </c>
      <c r="D25" s="174">
        <f t="shared" si="5"/>
        <v>0</v>
      </c>
      <c r="E25" s="177">
        <v>0</v>
      </c>
      <c r="F25" s="175">
        <f t="shared" si="6"/>
        <v>0</v>
      </c>
      <c r="G25" s="25">
        <v>0</v>
      </c>
      <c r="H25" s="22">
        <f t="shared" si="3"/>
        <v>0</v>
      </c>
      <c r="I25" s="176">
        <f t="shared" si="1"/>
        <v>0</v>
      </c>
    </row>
    <row r="26" spans="1:9">
      <c r="A26" s="24" t="s">
        <v>329</v>
      </c>
      <c r="B26" s="177">
        <v>0</v>
      </c>
      <c r="C26" s="25">
        <f>_xlfn.IFNA(VLOOKUP(A26,[14]進出口值表查詢結果!$C$11:$G$185,3,0),-[5]整車!$B$22)</f>
        <v>0</v>
      </c>
      <c r="D26" s="174">
        <f t="shared" si="5"/>
        <v>0</v>
      </c>
      <c r="E26" s="177">
        <v>0</v>
      </c>
      <c r="F26" s="175">
        <f t="shared" si="6"/>
        <v>0</v>
      </c>
      <c r="G26" s="25">
        <v>0</v>
      </c>
      <c r="H26" s="22">
        <f t="shared" si="3"/>
        <v>0</v>
      </c>
      <c r="I26" s="176">
        <f t="shared" si="1"/>
        <v>0</v>
      </c>
    </row>
    <row r="27" spans="1:9">
      <c r="A27" s="543" t="s">
        <v>330</v>
      </c>
      <c r="B27" s="177">
        <v>0</v>
      </c>
      <c r="C27" s="25">
        <f>_xlfn.IFNA(VLOOKUP(A27,[14]進出口值表查詢結果!$C$11:$G$185,3,0),-[5]整車!$B$22)</f>
        <v>0</v>
      </c>
      <c r="D27" s="174">
        <f t="shared" si="5"/>
        <v>0</v>
      </c>
      <c r="E27" s="177">
        <v>0</v>
      </c>
      <c r="F27" s="175">
        <f t="shared" si="6"/>
        <v>0</v>
      </c>
      <c r="G27" s="25">
        <v>0</v>
      </c>
      <c r="H27" s="22">
        <f t="shared" si="3"/>
        <v>0</v>
      </c>
      <c r="I27" s="176">
        <f t="shared" si="1"/>
        <v>0</v>
      </c>
    </row>
    <row r="28" spans="1:9">
      <c r="A28" s="543" t="s">
        <v>331</v>
      </c>
      <c r="B28" s="177">
        <v>0</v>
      </c>
      <c r="C28" s="25">
        <f>_xlfn.IFNA(VLOOKUP(A28,[14]進出口值表查詢結果!$C$11:$G$185,3,0),-[5]整車!$B$22)</f>
        <v>0</v>
      </c>
      <c r="D28" s="174">
        <f t="shared" si="5"/>
        <v>0</v>
      </c>
      <c r="E28" s="177">
        <v>0</v>
      </c>
      <c r="F28" s="175">
        <f t="shared" si="6"/>
        <v>0</v>
      </c>
      <c r="G28" s="25">
        <v>0</v>
      </c>
      <c r="H28" s="22">
        <f t="shared" si="3"/>
        <v>0</v>
      </c>
      <c r="I28" s="176">
        <f t="shared" si="1"/>
        <v>0</v>
      </c>
    </row>
    <row r="29" spans="1:9">
      <c r="A29" s="29" t="s">
        <v>27</v>
      </c>
      <c r="B29" s="177">
        <v>0</v>
      </c>
      <c r="C29" s="25">
        <f>_xlfn.IFNA(VLOOKUP(A29,[14]進出口值表查詢結果!$C$11:$G$185,3,0),-[5]整車!$B$22)</f>
        <v>0</v>
      </c>
      <c r="D29" s="174">
        <f t="shared" si="5"/>
        <v>0</v>
      </c>
      <c r="E29" s="177">
        <v>0</v>
      </c>
      <c r="F29" s="175">
        <f t="shared" si="6"/>
        <v>0</v>
      </c>
      <c r="G29" s="25">
        <v>0</v>
      </c>
      <c r="H29" s="22">
        <f t="shared" si="3"/>
        <v>0</v>
      </c>
      <c r="I29" s="176">
        <f t="shared" si="1"/>
        <v>0</v>
      </c>
    </row>
    <row r="30" spans="1:9">
      <c r="A30" s="29" t="s">
        <v>28</v>
      </c>
      <c r="B30" s="177">
        <v>0</v>
      </c>
      <c r="C30" s="25">
        <f>_xlfn.IFNA(VLOOKUP(A30,[14]進出口值表查詢結果!$C$11:$G$185,3,0),-[5]整車!$B$22)</f>
        <v>0</v>
      </c>
      <c r="D30" s="174">
        <f t="shared" si="5"/>
        <v>0</v>
      </c>
      <c r="E30" s="177">
        <v>0</v>
      </c>
      <c r="F30" s="175">
        <f t="shared" si="6"/>
        <v>0</v>
      </c>
      <c r="G30" s="25">
        <v>0</v>
      </c>
      <c r="H30" s="22">
        <f t="shared" si="3"/>
        <v>0</v>
      </c>
      <c r="I30" s="176">
        <f t="shared" si="1"/>
        <v>0</v>
      </c>
    </row>
    <row r="31" spans="1:9">
      <c r="A31" s="29" t="s">
        <v>29</v>
      </c>
      <c r="B31" s="177">
        <v>0</v>
      </c>
      <c r="C31" s="25">
        <f>_xlfn.IFNA(VLOOKUP(A31,[14]進出口值表查詢結果!$C$11:$G$185,3,0),-[5]整車!$B$22)</f>
        <v>0</v>
      </c>
      <c r="D31" s="174">
        <f t="shared" si="5"/>
        <v>0</v>
      </c>
      <c r="E31" s="177">
        <v>0</v>
      </c>
      <c r="F31" s="175">
        <f t="shared" si="6"/>
        <v>0</v>
      </c>
      <c r="G31" s="25">
        <v>0</v>
      </c>
      <c r="H31" s="22">
        <f t="shared" si="3"/>
        <v>0</v>
      </c>
      <c r="I31" s="176">
        <f t="shared" si="1"/>
        <v>0</v>
      </c>
    </row>
    <row r="32" spans="1:9">
      <c r="A32" s="29" t="s">
        <v>30</v>
      </c>
      <c r="B32" s="177">
        <v>0</v>
      </c>
      <c r="C32" s="25">
        <f>_xlfn.IFNA(VLOOKUP(A32,[14]進出口值表查詢結果!$C$11:$G$185,3,0),-[5]整車!$B$22)</f>
        <v>0</v>
      </c>
      <c r="D32" s="174">
        <f t="shared" si="5"/>
        <v>0</v>
      </c>
      <c r="E32" s="177">
        <v>0</v>
      </c>
      <c r="F32" s="175">
        <f t="shared" si="6"/>
        <v>0</v>
      </c>
      <c r="G32" s="25">
        <v>0</v>
      </c>
      <c r="H32" s="22">
        <f t="shared" si="3"/>
        <v>0</v>
      </c>
      <c r="I32" s="176">
        <f t="shared" si="1"/>
        <v>0</v>
      </c>
    </row>
    <row r="33" spans="1:9">
      <c r="A33" s="29" t="s">
        <v>31</v>
      </c>
      <c r="B33" s="177">
        <v>0</v>
      </c>
      <c r="C33" s="25">
        <f>_xlfn.IFNA(VLOOKUP(A33,[14]進出口值表查詢結果!$C$11:$G$185,3,0),-[5]整車!$B$22)</f>
        <v>0</v>
      </c>
      <c r="D33" s="174">
        <f t="shared" si="5"/>
        <v>0</v>
      </c>
      <c r="E33" s="177">
        <v>0</v>
      </c>
      <c r="F33" s="175">
        <f t="shared" si="6"/>
        <v>0</v>
      </c>
      <c r="G33" s="25">
        <v>0</v>
      </c>
      <c r="H33" s="22">
        <f t="shared" si="3"/>
        <v>0</v>
      </c>
      <c r="I33" s="176">
        <f t="shared" si="1"/>
        <v>0</v>
      </c>
    </row>
    <row r="34" spans="1:9">
      <c r="A34" s="29" t="s">
        <v>32</v>
      </c>
      <c r="B34" s="177">
        <v>0</v>
      </c>
      <c r="C34" s="25">
        <f>_xlfn.IFNA(VLOOKUP(A34,[14]進出口值表查詢結果!$C$11:$G$185,3,0),-[5]整車!$B$22)</f>
        <v>0</v>
      </c>
      <c r="D34" s="174">
        <f t="shared" si="5"/>
        <v>0</v>
      </c>
      <c r="E34" s="177">
        <v>0</v>
      </c>
      <c r="F34" s="175">
        <f t="shared" si="6"/>
        <v>0</v>
      </c>
      <c r="G34" s="25">
        <v>0</v>
      </c>
      <c r="H34" s="22">
        <f t="shared" si="3"/>
        <v>0</v>
      </c>
      <c r="I34" s="176">
        <f t="shared" si="1"/>
        <v>0</v>
      </c>
    </row>
    <row r="35" spans="1:9">
      <c r="A35" s="29" t="s">
        <v>33</v>
      </c>
      <c r="B35" s="177">
        <v>0</v>
      </c>
      <c r="C35" s="25">
        <f>_xlfn.IFNA(VLOOKUP(A35,[14]進出口值表查詢結果!$C$11:$G$185,3,0),-[5]整車!$B$22)</f>
        <v>0</v>
      </c>
      <c r="D35" s="174">
        <f t="shared" si="5"/>
        <v>0</v>
      </c>
      <c r="E35" s="177">
        <v>0</v>
      </c>
      <c r="F35" s="175">
        <f t="shared" si="6"/>
        <v>0</v>
      </c>
      <c r="G35" s="25">
        <v>0</v>
      </c>
      <c r="H35" s="22">
        <f t="shared" si="3"/>
        <v>0</v>
      </c>
      <c r="I35" s="176">
        <f t="shared" si="1"/>
        <v>0</v>
      </c>
    </row>
    <row r="36" spans="1:9">
      <c r="A36" s="29" t="s">
        <v>78</v>
      </c>
      <c r="B36" s="177">
        <v>0</v>
      </c>
      <c r="C36" s="25">
        <f>_xlfn.IFNA(VLOOKUP(A36,[14]進出口值表查詢結果!$C$11:$G$185,3,0),-[5]整車!$B$22)</f>
        <v>0</v>
      </c>
      <c r="D36" s="174">
        <f t="shared" si="5"/>
        <v>0</v>
      </c>
      <c r="E36" s="177">
        <v>0</v>
      </c>
      <c r="F36" s="175">
        <f t="shared" si="6"/>
        <v>0</v>
      </c>
      <c r="G36" s="25">
        <v>0</v>
      </c>
      <c r="H36" s="22">
        <f t="shared" si="3"/>
        <v>0</v>
      </c>
      <c r="I36" s="176">
        <f t="shared" si="1"/>
        <v>0</v>
      </c>
    </row>
    <row r="37" spans="1:9">
      <c r="A37" s="29" t="s">
        <v>35</v>
      </c>
      <c r="B37" s="177">
        <v>0</v>
      </c>
      <c r="C37" s="25">
        <f>_xlfn.IFNA(VLOOKUP(A37,[14]進出口值表查詢結果!$C$11:$G$185,3,0),-[5]整車!$B$22)</f>
        <v>0</v>
      </c>
      <c r="D37" s="174">
        <f t="shared" si="5"/>
        <v>0</v>
      </c>
      <c r="E37" s="177">
        <v>0</v>
      </c>
      <c r="F37" s="175">
        <f t="shared" si="6"/>
        <v>0</v>
      </c>
      <c r="G37" s="25">
        <v>0</v>
      </c>
      <c r="H37" s="22">
        <f t="shared" si="3"/>
        <v>0</v>
      </c>
      <c r="I37" s="176">
        <f t="shared" si="1"/>
        <v>0</v>
      </c>
    </row>
    <row r="38" spans="1:9">
      <c r="A38" s="29" t="s">
        <v>36</v>
      </c>
      <c r="B38" s="177">
        <v>0</v>
      </c>
      <c r="C38" s="25">
        <f>_xlfn.IFNA(VLOOKUP(A38,[14]進出口值表查詢結果!$C$11:$G$185,3,0),-[5]整車!$B$22)</f>
        <v>0</v>
      </c>
      <c r="D38" s="174">
        <f t="shared" si="5"/>
        <v>0</v>
      </c>
      <c r="E38" s="177">
        <v>0</v>
      </c>
      <c r="F38" s="175">
        <f t="shared" si="6"/>
        <v>0</v>
      </c>
      <c r="G38" s="25">
        <v>0</v>
      </c>
      <c r="H38" s="22">
        <f t="shared" si="3"/>
        <v>0</v>
      </c>
      <c r="I38" s="176">
        <f t="shared" si="1"/>
        <v>0</v>
      </c>
    </row>
    <row r="39" spans="1:9">
      <c r="A39" s="29" t="s">
        <v>37</v>
      </c>
      <c r="B39" s="177">
        <v>0</v>
      </c>
      <c r="C39" s="25">
        <f>_xlfn.IFNA(VLOOKUP(A39,[14]進出口值表查詢結果!$C$11:$G$185,3,0),-[5]整車!$B$22)</f>
        <v>0</v>
      </c>
      <c r="D39" s="174">
        <f t="shared" si="5"/>
        <v>0</v>
      </c>
      <c r="E39" s="177">
        <v>0</v>
      </c>
      <c r="F39" s="175">
        <f t="shared" si="6"/>
        <v>0</v>
      </c>
      <c r="G39" s="25">
        <v>0</v>
      </c>
      <c r="H39" s="22">
        <f t="shared" si="3"/>
        <v>0</v>
      </c>
      <c r="I39" s="176">
        <f t="shared" si="1"/>
        <v>0</v>
      </c>
    </row>
    <row r="40" spans="1:9">
      <c r="A40" s="29"/>
      <c r="B40" s="177"/>
      <c r="C40" s="25"/>
      <c r="D40" s="174"/>
      <c r="E40" s="177"/>
      <c r="F40" s="178"/>
      <c r="G40" s="25"/>
      <c r="H40" s="28"/>
      <c r="I40" s="176"/>
    </row>
    <row r="41" spans="1:9">
      <c r="A41" s="32" t="s">
        <v>38</v>
      </c>
      <c r="B41" s="181">
        <f>SUM(B42:B45)</f>
        <v>0</v>
      </c>
      <c r="C41" s="31">
        <f>SUM(C42:C45)</f>
        <v>0</v>
      </c>
      <c r="D41" s="174">
        <f t="shared" si="4"/>
        <v>0</v>
      </c>
      <c r="E41" s="181">
        <v>0</v>
      </c>
      <c r="F41" s="175">
        <f>E41/$E$68</f>
        <v>0</v>
      </c>
      <c r="G41" s="31">
        <v>0</v>
      </c>
      <c r="H41" s="28">
        <f>G41/$G$68</f>
        <v>0</v>
      </c>
      <c r="I41" s="176">
        <f t="shared" si="1"/>
        <v>0</v>
      </c>
    </row>
    <row r="42" spans="1:9">
      <c r="A42" s="24" t="s">
        <v>332</v>
      </c>
      <c r="B42" s="177">
        <v>0</v>
      </c>
      <c r="C42" s="25">
        <v>0</v>
      </c>
      <c r="D42" s="174">
        <f t="shared" si="4"/>
        <v>0</v>
      </c>
      <c r="E42" s="177">
        <v>0</v>
      </c>
      <c r="F42" s="175">
        <f>E42/$E$68</f>
        <v>0</v>
      </c>
      <c r="G42" s="25">
        <v>0</v>
      </c>
      <c r="H42" s="28">
        <f>G42/$G$68</f>
        <v>0</v>
      </c>
      <c r="I42" s="176">
        <f t="shared" si="1"/>
        <v>0</v>
      </c>
    </row>
    <row r="43" spans="1:9">
      <c r="A43" s="24" t="s">
        <v>333</v>
      </c>
      <c r="B43" s="177">
        <v>0</v>
      </c>
      <c r="C43" s="25">
        <v>0</v>
      </c>
      <c r="D43" s="174">
        <f t="shared" si="4"/>
        <v>0</v>
      </c>
      <c r="E43" s="177">
        <v>0</v>
      </c>
      <c r="F43" s="175">
        <f>E43/$E$68</f>
        <v>0</v>
      </c>
      <c r="G43" s="25">
        <v>0</v>
      </c>
      <c r="H43" s="28">
        <f>G43/$G$68</f>
        <v>0</v>
      </c>
      <c r="I43" s="176">
        <f t="shared" si="1"/>
        <v>0</v>
      </c>
    </row>
    <row r="44" spans="1:9">
      <c r="A44" s="24" t="s">
        <v>334</v>
      </c>
      <c r="B44" s="177">
        <v>0</v>
      </c>
      <c r="C44" s="25">
        <v>0</v>
      </c>
      <c r="D44" s="174">
        <f t="shared" si="4"/>
        <v>0</v>
      </c>
      <c r="E44" s="177">
        <v>0</v>
      </c>
      <c r="F44" s="175">
        <f>E44/$E$68</f>
        <v>0</v>
      </c>
      <c r="G44" s="25">
        <v>0</v>
      </c>
      <c r="H44" s="28">
        <f>G44/$G$68</f>
        <v>0</v>
      </c>
      <c r="I44" s="176">
        <f t="shared" si="1"/>
        <v>0</v>
      </c>
    </row>
    <row r="45" spans="1:9">
      <c r="A45" s="29" t="s">
        <v>42</v>
      </c>
      <c r="B45" s="177">
        <v>0</v>
      </c>
      <c r="C45" s="25">
        <v>0</v>
      </c>
      <c r="D45" s="174">
        <f t="shared" si="4"/>
        <v>0</v>
      </c>
      <c r="E45" s="177">
        <v>0</v>
      </c>
      <c r="F45" s="175">
        <f>E45/$E$68</f>
        <v>0</v>
      </c>
      <c r="G45" s="25">
        <v>0</v>
      </c>
      <c r="H45" s="28">
        <f>G45/$G$68</f>
        <v>0</v>
      </c>
      <c r="I45" s="176">
        <f t="shared" si="1"/>
        <v>0</v>
      </c>
    </row>
    <row r="46" spans="1:9">
      <c r="A46" s="29"/>
      <c r="B46" s="177"/>
      <c r="C46" s="25"/>
      <c r="D46" s="174"/>
      <c r="E46" s="177"/>
      <c r="F46" s="178"/>
      <c r="G46" s="25"/>
      <c r="H46" s="28"/>
      <c r="I46" s="176"/>
    </row>
    <row r="47" spans="1:9">
      <c r="A47" s="32" t="s">
        <v>105</v>
      </c>
      <c r="B47" s="181">
        <f>SUM(B48:B66)</f>
        <v>85</v>
      </c>
      <c r="C47" s="31">
        <f>SUM(C48:C66)</f>
        <v>50618</v>
      </c>
      <c r="D47" s="174">
        <f t="shared" si="4"/>
        <v>595.50588235294117</v>
      </c>
      <c r="E47" s="181">
        <f>SUM(E48:E66)</f>
        <v>264</v>
      </c>
      <c r="F47" s="175">
        <f t="shared" ref="F47:F68" si="7">E47/$E$68</f>
        <v>0.66331658291457285</v>
      </c>
      <c r="G47" s="181">
        <f>SUM(G48:G66)</f>
        <v>247479</v>
      </c>
      <c r="H47" s="22">
        <f t="shared" ref="H47:H68" si="8">G47/$G$68</f>
        <v>0.75104472357691499</v>
      </c>
      <c r="I47" s="176">
        <f t="shared" si="1"/>
        <v>937.4204545454545</v>
      </c>
    </row>
    <row r="48" spans="1:9">
      <c r="A48" s="24" t="s">
        <v>324</v>
      </c>
      <c r="B48" s="177">
        <v>0</v>
      </c>
      <c r="C48" s="25">
        <f>_xlfn.IFNA(VLOOKUP(A48,[14]進出口值表查詢結果!$C$11:$G$185,3,0),-[5]整車!$B$22)</f>
        <v>0</v>
      </c>
      <c r="D48" s="174">
        <f t="shared" si="4"/>
        <v>0</v>
      </c>
      <c r="E48" s="177">
        <v>0</v>
      </c>
      <c r="F48" s="175">
        <f t="shared" si="7"/>
        <v>0</v>
      </c>
      <c r="G48" s="25">
        <v>0</v>
      </c>
      <c r="H48" s="22">
        <f t="shared" si="8"/>
        <v>0</v>
      </c>
      <c r="I48" s="176">
        <f t="shared" si="1"/>
        <v>0</v>
      </c>
    </row>
    <row r="49" spans="1:9">
      <c r="A49" s="24" t="s">
        <v>335</v>
      </c>
      <c r="B49" s="177">
        <v>55</v>
      </c>
      <c r="C49" s="25">
        <v>19544</v>
      </c>
      <c r="D49" s="174">
        <f t="shared" ref="D49:D66" si="9">IF(B49,C49/B49,0)</f>
        <v>355.34545454545457</v>
      </c>
      <c r="E49" s="177">
        <f>VLOOKUP(A49,[13]進出口值表查詢結果!$B$10:$D$19,3,0)</f>
        <v>55</v>
      </c>
      <c r="F49" s="175">
        <f t="shared" ref="F49:F66" si="10">E49/$E$68</f>
        <v>0.13819095477386933</v>
      </c>
      <c r="G49" s="25">
        <f>VLOOKUP(A49,[13]進出口值表查詢結果!$B$10:$D$19,2,0)</f>
        <v>19544</v>
      </c>
      <c r="H49" s="22">
        <f t="shared" si="8"/>
        <v>5.9311772221429804E-2</v>
      </c>
      <c r="I49" s="176">
        <f t="shared" si="1"/>
        <v>355.34545454545457</v>
      </c>
    </row>
    <row r="50" spans="1:9">
      <c r="A50" s="545" t="s">
        <v>341</v>
      </c>
      <c r="B50" s="177">
        <v>0</v>
      </c>
      <c r="C50" s="25">
        <f>_xlfn.IFNA(VLOOKUP(A50,[14]進出口值表查詢結果!$C$11:$G$185,3,0),-[5]整車!$B$22)</f>
        <v>0</v>
      </c>
      <c r="D50" s="174">
        <f t="shared" si="9"/>
        <v>0</v>
      </c>
      <c r="E50" s="25">
        <v>0</v>
      </c>
      <c r="F50" s="175">
        <f t="shared" si="10"/>
        <v>0</v>
      </c>
      <c r="G50" s="25">
        <v>0</v>
      </c>
      <c r="H50" s="22">
        <f t="shared" si="8"/>
        <v>0</v>
      </c>
      <c r="I50" s="176">
        <f t="shared" si="1"/>
        <v>0</v>
      </c>
    </row>
    <row r="51" spans="1:9">
      <c r="A51" s="24" t="s">
        <v>336</v>
      </c>
      <c r="B51" s="177">
        <v>0</v>
      </c>
      <c r="C51" s="25">
        <f>_xlfn.IFNA(VLOOKUP(A51,[14]進出口值表查詢結果!$C$11:$G$185,3,0),-[5]整車!$B$22)</f>
        <v>0</v>
      </c>
      <c r="D51" s="174">
        <f t="shared" si="9"/>
        <v>0</v>
      </c>
      <c r="E51" s="25">
        <v>0</v>
      </c>
      <c r="F51" s="175">
        <f t="shared" si="10"/>
        <v>0</v>
      </c>
      <c r="G51" s="25">
        <v>0</v>
      </c>
      <c r="H51" s="22">
        <f t="shared" si="8"/>
        <v>0</v>
      </c>
      <c r="I51" s="176">
        <f t="shared" si="1"/>
        <v>0</v>
      </c>
    </row>
    <row r="52" spans="1:9">
      <c r="A52" s="29" t="s">
        <v>47</v>
      </c>
      <c r="B52" s="177">
        <v>0</v>
      </c>
      <c r="C52" s="25">
        <f>_xlfn.IFNA(VLOOKUP(A52,[14]進出口值表查詢結果!$C$11:$G$185,3,0),-[5]整車!$B$22)</f>
        <v>0</v>
      </c>
      <c r="D52" s="174">
        <f t="shared" si="9"/>
        <v>0</v>
      </c>
      <c r="E52" s="25">
        <v>0</v>
      </c>
      <c r="F52" s="175">
        <f t="shared" si="10"/>
        <v>0</v>
      </c>
      <c r="G52" s="25">
        <v>0</v>
      </c>
      <c r="H52" s="22">
        <f t="shared" si="8"/>
        <v>0</v>
      </c>
      <c r="I52" s="176">
        <f t="shared" si="1"/>
        <v>0</v>
      </c>
    </row>
    <row r="53" spans="1:9">
      <c r="A53" s="24" t="s">
        <v>337</v>
      </c>
      <c r="B53" s="177">
        <v>0</v>
      </c>
      <c r="C53" s="25">
        <v>0</v>
      </c>
      <c r="D53" s="174">
        <f t="shared" si="9"/>
        <v>0</v>
      </c>
      <c r="E53" s="25">
        <v>0</v>
      </c>
      <c r="F53" s="175">
        <f t="shared" si="10"/>
        <v>0</v>
      </c>
      <c r="G53" s="25">
        <v>0</v>
      </c>
      <c r="H53" s="22">
        <f t="shared" si="8"/>
        <v>0</v>
      </c>
      <c r="I53" s="176">
        <f t="shared" si="1"/>
        <v>0</v>
      </c>
    </row>
    <row r="54" spans="1:9">
      <c r="A54" s="29" t="s">
        <v>49</v>
      </c>
      <c r="B54" s="177">
        <v>0</v>
      </c>
      <c r="C54" s="25">
        <f>_xlfn.IFNA(VLOOKUP(A54,[14]進出口值表查詢結果!$C$11:$G$185,3,0),-[5]整車!$B$22)</f>
        <v>0</v>
      </c>
      <c r="D54" s="174">
        <f t="shared" si="9"/>
        <v>0</v>
      </c>
      <c r="E54" s="25">
        <v>0</v>
      </c>
      <c r="F54" s="175">
        <f t="shared" si="10"/>
        <v>0</v>
      </c>
      <c r="G54" s="25">
        <v>0</v>
      </c>
      <c r="H54" s="22">
        <f t="shared" si="8"/>
        <v>0</v>
      </c>
      <c r="I54" s="176">
        <f t="shared" si="1"/>
        <v>0</v>
      </c>
    </row>
    <row r="55" spans="1:9">
      <c r="A55" s="29" t="s">
        <v>50</v>
      </c>
      <c r="B55" s="177">
        <v>0</v>
      </c>
      <c r="C55" s="25">
        <f>_xlfn.IFNA(VLOOKUP(A55,[14]進出口值表查詢結果!$C$11:$G$185,3,0),-[5]整車!$B$22)</f>
        <v>0</v>
      </c>
      <c r="D55" s="174">
        <f t="shared" si="9"/>
        <v>0</v>
      </c>
      <c r="E55" s="25">
        <v>0</v>
      </c>
      <c r="F55" s="175">
        <f t="shared" si="10"/>
        <v>0</v>
      </c>
      <c r="G55" s="25">
        <v>0</v>
      </c>
      <c r="H55" s="22">
        <f t="shared" si="8"/>
        <v>0</v>
      </c>
      <c r="I55" s="176">
        <f t="shared" si="1"/>
        <v>0</v>
      </c>
    </row>
    <row r="56" spans="1:9">
      <c r="A56" s="29" t="s">
        <v>51</v>
      </c>
      <c r="B56" s="177">
        <v>0</v>
      </c>
      <c r="C56" s="26">
        <v>0</v>
      </c>
      <c r="D56" s="174">
        <f t="shared" si="9"/>
        <v>0</v>
      </c>
      <c r="E56" s="177">
        <f>VLOOKUP(A56,[13]進出口值表查詢結果!$B$10:$D$19,3,0)</f>
        <v>29</v>
      </c>
      <c r="F56" s="175">
        <f t="shared" si="10"/>
        <v>7.2864321608040197E-2</v>
      </c>
      <c r="G56" s="25">
        <f>VLOOKUP(A56,[13]進出口值表查詢結果!$B$10:$D$19,2,0)</f>
        <v>31938</v>
      </c>
      <c r="H56" s="22">
        <f t="shared" si="8"/>
        <v>9.6924855772002924E-2</v>
      </c>
      <c r="I56" s="176">
        <f t="shared" si="1"/>
        <v>1101.3103448275863</v>
      </c>
    </row>
    <row r="57" spans="1:9">
      <c r="A57" s="544" t="s">
        <v>340</v>
      </c>
      <c r="B57" s="177">
        <v>0</v>
      </c>
      <c r="C57" s="26">
        <v>0</v>
      </c>
      <c r="D57" s="174">
        <f t="shared" si="9"/>
        <v>0</v>
      </c>
      <c r="E57" s="177">
        <f>VLOOKUP(A57,[13]進出口值表查詢結果!$B$10:$D$19,3,0)</f>
        <v>140</v>
      </c>
      <c r="F57" s="175">
        <f t="shared" si="10"/>
        <v>0.35175879396984927</v>
      </c>
      <c r="G57" s="25">
        <f>VLOOKUP(A57,[13]進出口值表查詢結果!$B$10:$D$19,2,0)</f>
        <v>148018</v>
      </c>
      <c r="H57" s="22">
        <f t="shared" si="8"/>
        <v>0.44920230764795321</v>
      </c>
      <c r="I57" s="176">
        <f t="shared" si="1"/>
        <v>1057.2714285714285</v>
      </c>
    </row>
    <row r="58" spans="1:9">
      <c r="A58" s="543" t="s">
        <v>347</v>
      </c>
      <c r="B58" s="177">
        <v>30</v>
      </c>
      <c r="C58" s="26">
        <v>31074</v>
      </c>
      <c r="D58" s="174">
        <f t="shared" si="9"/>
        <v>1035.8</v>
      </c>
      <c r="E58" s="177">
        <f>VLOOKUP(A58,[13]進出口值表查詢結果!$B$10:$D$19,3,0)</f>
        <v>40</v>
      </c>
      <c r="F58" s="175">
        <f t="shared" si="10"/>
        <v>0.10050251256281408</v>
      </c>
      <c r="G58" s="25">
        <f>VLOOKUP(A58,[13]進出口值表查詢結果!$B$10:$D$19,2,0)</f>
        <v>47979</v>
      </c>
      <c r="H58" s="22">
        <f t="shared" si="8"/>
        <v>0.14560578793552909</v>
      </c>
      <c r="I58" s="176">
        <f t="shared" si="1"/>
        <v>1199.4749999999999</v>
      </c>
    </row>
    <row r="59" spans="1:9">
      <c r="A59" s="29" t="s">
        <v>52</v>
      </c>
      <c r="B59" s="25">
        <v>0</v>
      </c>
      <c r="C59" s="25">
        <v>0</v>
      </c>
      <c r="D59" s="174">
        <f t="shared" si="9"/>
        <v>0</v>
      </c>
      <c r="E59" s="25">
        <v>0</v>
      </c>
      <c r="F59" s="175">
        <f t="shared" si="10"/>
        <v>0</v>
      </c>
      <c r="G59" s="25">
        <v>0</v>
      </c>
      <c r="H59" s="22">
        <f t="shared" si="8"/>
        <v>0</v>
      </c>
      <c r="I59" s="176">
        <f t="shared" si="1"/>
        <v>0</v>
      </c>
    </row>
    <row r="60" spans="1:9">
      <c r="A60" s="29" t="s">
        <v>53</v>
      </c>
      <c r="B60" s="25">
        <v>0</v>
      </c>
      <c r="C60" s="25">
        <f>_xlfn.IFNA(VLOOKUP(A60,[14]進出口值表查詢結果!$C$11:$G$185,3,0),-[5]整車!$B$22)</f>
        <v>0</v>
      </c>
      <c r="D60" s="174">
        <f t="shared" si="9"/>
        <v>0</v>
      </c>
      <c r="E60" s="25">
        <v>0</v>
      </c>
      <c r="F60" s="175">
        <f t="shared" si="10"/>
        <v>0</v>
      </c>
      <c r="G60" s="25">
        <v>0</v>
      </c>
      <c r="H60" s="22">
        <f t="shared" si="8"/>
        <v>0</v>
      </c>
      <c r="I60" s="176">
        <f t="shared" si="1"/>
        <v>0</v>
      </c>
    </row>
    <row r="61" spans="1:9">
      <c r="A61" s="29" t="s">
        <v>54</v>
      </c>
      <c r="B61" s="25">
        <v>0</v>
      </c>
      <c r="C61" s="25">
        <f>_xlfn.IFNA(VLOOKUP(A61,[14]進出口值表查詢結果!$C$11:$G$185,3,0),-[5]整車!$B$22)</f>
        <v>0</v>
      </c>
      <c r="D61" s="174">
        <f t="shared" si="9"/>
        <v>0</v>
      </c>
      <c r="E61" s="25">
        <v>0</v>
      </c>
      <c r="F61" s="175">
        <f t="shared" si="10"/>
        <v>0</v>
      </c>
      <c r="G61" s="25">
        <v>0</v>
      </c>
      <c r="H61" s="22">
        <f t="shared" si="8"/>
        <v>0</v>
      </c>
      <c r="I61" s="176">
        <f t="shared" si="1"/>
        <v>0</v>
      </c>
    </row>
    <row r="62" spans="1:9">
      <c r="A62" s="543" t="s">
        <v>338</v>
      </c>
      <c r="B62" s="25">
        <v>0</v>
      </c>
      <c r="C62" s="25">
        <f>_xlfn.IFNA(VLOOKUP(A62,[14]進出口值表查詢結果!$C$11:$G$185,3,0),-[5]整車!$B$22)</f>
        <v>0</v>
      </c>
      <c r="D62" s="174">
        <f t="shared" si="9"/>
        <v>0</v>
      </c>
      <c r="E62" s="25">
        <v>0</v>
      </c>
      <c r="F62" s="175">
        <f t="shared" si="10"/>
        <v>0</v>
      </c>
      <c r="G62" s="25">
        <v>0</v>
      </c>
      <c r="H62" s="22">
        <f t="shared" si="8"/>
        <v>0</v>
      </c>
      <c r="I62" s="176">
        <f t="shared" si="1"/>
        <v>0</v>
      </c>
    </row>
    <row r="63" spans="1:9">
      <c r="A63" s="29" t="s">
        <v>55</v>
      </c>
      <c r="B63" s="25">
        <v>0</v>
      </c>
      <c r="C63" s="25">
        <f>_xlfn.IFNA(VLOOKUP(A63,[14]進出口值表查詢結果!$C$11:$G$185,3,0),-[5]整車!$B$22)</f>
        <v>0</v>
      </c>
      <c r="D63" s="174">
        <f t="shared" si="9"/>
        <v>0</v>
      </c>
      <c r="E63" s="25">
        <v>0</v>
      </c>
      <c r="F63" s="175">
        <f t="shared" si="10"/>
        <v>0</v>
      </c>
      <c r="G63" s="25">
        <v>0</v>
      </c>
      <c r="H63" s="22">
        <f t="shared" si="8"/>
        <v>0</v>
      </c>
      <c r="I63" s="176">
        <f t="shared" si="1"/>
        <v>0</v>
      </c>
    </row>
    <row r="64" spans="1:9">
      <c r="A64" s="543" t="s">
        <v>101</v>
      </c>
      <c r="B64" s="25">
        <v>0</v>
      </c>
      <c r="C64" s="25">
        <f>_xlfn.IFNA(VLOOKUP(A64,[14]進出口值表查詢結果!$C$11:$G$185,3,0),-[5]整車!$B$22)</f>
        <v>0</v>
      </c>
      <c r="D64" s="174">
        <f t="shared" si="9"/>
        <v>0</v>
      </c>
      <c r="E64" s="25">
        <v>0</v>
      </c>
      <c r="F64" s="175">
        <f t="shared" si="10"/>
        <v>0</v>
      </c>
      <c r="G64" s="25">
        <v>0</v>
      </c>
      <c r="H64" s="22">
        <f t="shared" si="8"/>
        <v>0</v>
      </c>
      <c r="I64" s="176">
        <f t="shared" si="1"/>
        <v>0</v>
      </c>
    </row>
    <row r="65" spans="1:9">
      <c r="A65" s="29" t="s">
        <v>56</v>
      </c>
      <c r="B65" s="25">
        <v>0</v>
      </c>
      <c r="C65" s="25">
        <f>_xlfn.IFNA(VLOOKUP(A65,[14]進出口值表查詢結果!$C$11:$G$185,3,0),-[5]整車!$B$22)</f>
        <v>0</v>
      </c>
      <c r="D65" s="174">
        <f t="shared" si="9"/>
        <v>0</v>
      </c>
      <c r="E65" s="25">
        <v>0</v>
      </c>
      <c r="F65" s="175">
        <f t="shared" si="10"/>
        <v>0</v>
      </c>
      <c r="G65" s="25">
        <v>0</v>
      </c>
      <c r="H65" s="22">
        <f t="shared" si="8"/>
        <v>0</v>
      </c>
      <c r="I65" s="176">
        <f t="shared" si="1"/>
        <v>0</v>
      </c>
    </row>
    <row r="66" spans="1:9">
      <c r="A66" s="543" t="s">
        <v>339</v>
      </c>
      <c r="B66" s="25">
        <v>0</v>
      </c>
      <c r="C66" s="25">
        <v>0</v>
      </c>
      <c r="D66" s="174">
        <f t="shared" si="9"/>
        <v>0</v>
      </c>
      <c r="E66" s="25">
        <v>0</v>
      </c>
      <c r="F66" s="175">
        <f t="shared" si="10"/>
        <v>0</v>
      </c>
      <c r="G66" s="25">
        <v>0</v>
      </c>
      <c r="H66" s="22">
        <f t="shared" si="8"/>
        <v>0</v>
      </c>
      <c r="I66" s="176">
        <f t="shared" si="1"/>
        <v>0</v>
      </c>
    </row>
    <row r="67" spans="1:9">
      <c r="A67" s="29" t="s">
        <v>57</v>
      </c>
      <c r="B67" s="177">
        <f>B68-B7-B12-B41-B47</f>
        <v>0</v>
      </c>
      <c r="C67" s="177">
        <f>C68-C7-C12-C41-C47</f>
        <v>0</v>
      </c>
      <c r="D67" s="174">
        <f t="shared" si="4"/>
        <v>0</v>
      </c>
      <c r="E67" s="177">
        <f>E68-E7-E12-E41-E47</f>
        <v>17</v>
      </c>
      <c r="F67" s="175">
        <f t="shared" si="7"/>
        <v>4.2713567839195977E-2</v>
      </c>
      <c r="G67" s="177">
        <f>G68-G7-G12-G41-G47</f>
        <v>20552</v>
      </c>
      <c r="H67" s="22">
        <f t="shared" si="8"/>
        <v>6.2370832106775756E-2</v>
      </c>
      <c r="I67" s="176">
        <f t="shared" si="1"/>
        <v>1208.9411764705883</v>
      </c>
    </row>
    <row r="68" spans="1:9">
      <c r="A68" s="30" t="s">
        <v>398</v>
      </c>
      <c r="B68" s="177">
        <v>202</v>
      </c>
      <c r="C68" s="26">
        <v>112100</v>
      </c>
      <c r="D68" s="174">
        <f t="shared" ref="D68" si="11">C68/B68</f>
        <v>554.95049504950498</v>
      </c>
      <c r="E68" s="177">
        <f>VLOOKUP(A68,[13]進出口值表查詢結果!$B$10:$D$19,3,0)</f>
        <v>398</v>
      </c>
      <c r="F68" s="175">
        <f t="shared" si="7"/>
        <v>1</v>
      </c>
      <c r="G68" s="25">
        <f>VLOOKUP(A68,[13]進出口值表查詢結果!$B$10:$D$19,2,0)</f>
        <v>329513</v>
      </c>
      <c r="H68" s="22">
        <f t="shared" si="8"/>
        <v>1</v>
      </c>
      <c r="I68" s="176">
        <f t="shared" ref="I68" si="12">G68/E68</f>
        <v>827.9221105527638</v>
      </c>
    </row>
    <row r="69" spans="1:9">
      <c r="A69" s="57" t="s">
        <v>452</v>
      </c>
      <c r="B69" s="3"/>
      <c r="C69" s="58"/>
      <c r="D69" s="3"/>
      <c r="E69" s="3"/>
      <c r="F69" s="3"/>
      <c r="G69" s="3"/>
      <c r="H69" s="3"/>
      <c r="I69" s="3"/>
    </row>
    <row r="70" spans="1:9">
      <c r="A70" s="60" t="s">
        <v>60</v>
      </c>
      <c r="B70" s="61"/>
      <c r="C70" s="62"/>
      <c r="D70" s="64"/>
      <c r="E70" s="61"/>
      <c r="F70" s="62"/>
      <c r="G70" s="64"/>
      <c r="H70" s="60"/>
      <c r="I70" s="60"/>
    </row>
  </sheetData>
  <mergeCells count="2">
    <mergeCell ref="A1:I1"/>
    <mergeCell ref="A3:I3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整車出口</vt:lpstr>
      <vt:lpstr>整車出口比較</vt:lpstr>
      <vt:lpstr>整車出口試算</vt:lpstr>
      <vt:lpstr>整車進口試算</vt:lpstr>
      <vt:lpstr>整車進口</vt:lpstr>
      <vt:lpstr>整車進口比較</vt:lpstr>
      <vt:lpstr>電動輔助自行車</vt:lpstr>
      <vt:lpstr>電動輔助自行車比較</vt:lpstr>
      <vt:lpstr>折疊車出口</vt:lpstr>
      <vt:lpstr>折疊車出口試算</vt:lpstr>
      <vt:lpstr>折疊車出口比較</vt:lpstr>
      <vt:lpstr>台灣--中國</vt:lpstr>
      <vt:lpstr>台灣出口至中國</vt:lpstr>
      <vt:lpstr>台灣出口中國試算</vt:lpstr>
      <vt:lpstr>台灣自中國進口試算</vt:lpstr>
      <vt:lpstr>台灣自中國進口</vt:lpstr>
      <vt:lpstr>電動輔助自行車試算</vt:lpstr>
      <vt:lpstr>零件進出口</vt:lpstr>
      <vt:lpstr>零件進出口試算表</vt:lpstr>
      <vt:lpstr>零件出口比較</vt:lpstr>
      <vt:lpstr>零件進口比較</vt:lpstr>
      <vt:lpstr>整車-數量 </vt:lpstr>
      <vt:lpstr>整車-金額 </vt:lpstr>
      <vt:lpstr>整車-平均單價 </vt:lpstr>
      <vt:lpstr>電輔車-數量</vt:lpstr>
      <vt:lpstr>電輔車-金額</vt:lpstr>
      <vt:lpstr>電輔車-平均單價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TBA teresa</cp:lastModifiedBy>
  <cp:lastPrinted>2021-01-14T06:26:20Z</cp:lastPrinted>
  <dcterms:created xsi:type="dcterms:W3CDTF">2020-05-13T08:04:59Z</dcterms:created>
  <dcterms:modified xsi:type="dcterms:W3CDTF">2026-03-13T08:04:19Z</dcterms:modified>
  <cp:contentStatus>完稿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