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5統計\2025草本\"/>
    </mc:Choice>
  </mc:AlternateContent>
  <xr:revisionPtr revIDLastSave="0" documentId="13_ncr:1_{4B723B48-5064-4F7C-9EB0-A16C7506BD08}" xr6:coauthVersionLast="47" xr6:coauthVersionMax="47" xr10:uidLastSave="{00000000-0000-0000-0000-000000000000}"/>
  <workbookProtection lockStructure="1"/>
  <bookViews>
    <workbookView xWindow="0" yWindow="15" windowWidth="20490" windowHeight="10785" tabRatio="779" firstSheet="17" activeTab="20" xr2:uid="{00000000-000D-0000-FFFF-FFFF00000000}"/>
  </bookViews>
  <sheets>
    <sheet name="整車出口" sheetId="1" r:id="rId1"/>
    <sheet name="整車出口比較" sheetId="2" r:id="rId2"/>
    <sheet name="整車出口試算" sheetId="3" state="hidden" r:id="rId3"/>
    <sheet name="整車進口試算" sheetId="5" state="hidden" r:id="rId4"/>
    <sheet name="整車進口" sheetId="4" r:id="rId5"/>
    <sheet name="整車進口比較" sheetId="26" r:id="rId6"/>
    <sheet name="電動輔助自行車" sheetId="14" r:id="rId7"/>
    <sheet name="電動輔助自行車比較" sheetId="16" r:id="rId8"/>
    <sheet name="折疊車出口" sheetId="6" r:id="rId9"/>
    <sheet name="折疊車出口比較" sheetId="8" r:id="rId10"/>
    <sheet name="折疊車出口試算" sheetId="7" state="hidden" r:id="rId11"/>
    <sheet name="台灣--中國" sheetId="9" r:id="rId12"/>
    <sheet name="台灣出口至中國" sheetId="11" r:id="rId13"/>
    <sheet name="台灣出口中國試算" sheetId="10" state="hidden" r:id="rId14"/>
    <sheet name="台灣自中國進口試算" sheetId="12" state="hidden" r:id="rId15"/>
    <sheet name="台灣自中國進口" sheetId="13" r:id="rId16"/>
    <sheet name="電動輔助自行車試算" sheetId="15" state="hidden" r:id="rId17"/>
    <sheet name="零件進出口" sheetId="17" r:id="rId18"/>
    <sheet name="零件進出口試算表" sheetId="18" state="hidden" r:id="rId19"/>
    <sheet name="零件出口比較" sheetId="19" r:id="rId20"/>
    <sheet name="零件進口比較" sheetId="20" r:id="rId21"/>
    <sheet name="整車-數量 " sheetId="33" r:id="rId22"/>
    <sheet name="整車-金額 " sheetId="34" r:id="rId23"/>
    <sheet name="整車-平均單價 " sheetId="35" r:id="rId24"/>
    <sheet name="電輔車-數量" sheetId="36" r:id="rId25"/>
    <sheet name="電輔車-金額" sheetId="37" r:id="rId26"/>
    <sheet name="電輔車-平均單價 " sheetId="3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8" l="1"/>
  <c r="N33" i="38"/>
  <c r="N22" i="37"/>
  <c r="N14" i="37"/>
  <c r="N22" i="36"/>
  <c r="N14" i="36"/>
  <c r="N33" i="35"/>
  <c r="N25" i="35"/>
  <c r="N33" i="34"/>
  <c r="N25" i="34"/>
  <c r="N25" i="33"/>
  <c r="N33" i="33"/>
  <c r="M58" i="17"/>
  <c r="L58" i="17"/>
  <c r="M55" i="17"/>
  <c r="L55" i="17"/>
  <c r="M52" i="17"/>
  <c r="L52" i="17"/>
  <c r="M50" i="17"/>
  <c r="L50" i="17"/>
  <c r="M48" i="17"/>
  <c r="L48" i="17"/>
  <c r="M45" i="17"/>
  <c r="L45" i="17"/>
  <c r="M39" i="17"/>
  <c r="L39" i="17"/>
  <c r="M37" i="17"/>
  <c r="L37" i="17"/>
  <c r="M35" i="17"/>
  <c r="L35" i="17"/>
  <c r="M32" i="17"/>
  <c r="L32" i="17"/>
  <c r="M29" i="17"/>
  <c r="L29" i="17"/>
  <c r="M27" i="17"/>
  <c r="L27" i="17"/>
  <c r="M23" i="17"/>
  <c r="L23" i="17"/>
  <c r="M21" i="17"/>
  <c r="L21" i="17"/>
  <c r="L19" i="17"/>
  <c r="M18" i="17"/>
  <c r="L18" i="17"/>
  <c r="M15" i="17"/>
  <c r="L15" i="17"/>
  <c r="L16" i="17"/>
  <c r="M12" i="17"/>
  <c r="L12" i="17"/>
  <c r="J58" i="17"/>
  <c r="I58" i="17"/>
  <c r="J55" i="17"/>
  <c r="I55" i="17"/>
  <c r="J52" i="17"/>
  <c r="I52" i="17"/>
  <c r="J50" i="17"/>
  <c r="I50" i="17"/>
  <c r="J48" i="17"/>
  <c r="I48" i="17"/>
  <c r="J45" i="17"/>
  <c r="I45" i="17"/>
  <c r="J39" i="17"/>
  <c r="I39" i="17"/>
  <c r="J37" i="17"/>
  <c r="I37" i="17"/>
  <c r="J35" i="17"/>
  <c r="I35" i="17"/>
  <c r="J32" i="17"/>
  <c r="I32" i="17"/>
  <c r="J29" i="17"/>
  <c r="I29" i="17"/>
  <c r="J27" i="17"/>
  <c r="I27" i="17"/>
  <c r="J23" i="17"/>
  <c r="I23" i="17"/>
  <c r="J21" i="17"/>
  <c r="I21" i="17"/>
  <c r="I19" i="17"/>
  <c r="J18" i="17"/>
  <c r="I18" i="17"/>
  <c r="J15" i="17"/>
  <c r="I15" i="17"/>
  <c r="I16" i="17"/>
  <c r="J12" i="17"/>
  <c r="I12" i="17"/>
  <c r="F19" i="17"/>
  <c r="F16" i="17"/>
  <c r="G58" i="17"/>
  <c r="F58" i="17"/>
  <c r="G55" i="17"/>
  <c r="F55" i="17"/>
  <c r="G52" i="17"/>
  <c r="F52" i="17"/>
  <c r="G50" i="17"/>
  <c r="F50" i="17"/>
  <c r="G48" i="17"/>
  <c r="F48" i="17"/>
  <c r="G45" i="17"/>
  <c r="F45" i="17"/>
  <c r="G39" i="17"/>
  <c r="F39" i="17"/>
  <c r="G37" i="17"/>
  <c r="F37" i="17"/>
  <c r="G35" i="17"/>
  <c r="F35" i="17"/>
  <c r="G32" i="17"/>
  <c r="F32" i="17"/>
  <c r="G29" i="17"/>
  <c r="F29" i="17"/>
  <c r="G27" i="17"/>
  <c r="F27" i="17"/>
  <c r="G23" i="17"/>
  <c r="F23" i="17"/>
  <c r="G21" i="17"/>
  <c r="F21" i="17"/>
  <c r="G18" i="17"/>
  <c r="F18" i="17"/>
  <c r="G15" i="17"/>
  <c r="F15" i="17"/>
  <c r="G12" i="17"/>
  <c r="F12" i="17"/>
  <c r="D58" i="17"/>
  <c r="C58" i="17"/>
  <c r="D55" i="17"/>
  <c r="C55" i="17"/>
  <c r="D52" i="17"/>
  <c r="C52" i="17"/>
  <c r="D50" i="17"/>
  <c r="C50" i="17"/>
  <c r="D48" i="17"/>
  <c r="C48" i="17"/>
  <c r="D45" i="17"/>
  <c r="C45" i="17"/>
  <c r="D39" i="17"/>
  <c r="C39" i="17"/>
  <c r="D37" i="17"/>
  <c r="C37" i="17"/>
  <c r="D35" i="17"/>
  <c r="C35" i="17"/>
  <c r="D32" i="17"/>
  <c r="C32" i="17"/>
  <c r="D29" i="17"/>
  <c r="C29" i="17"/>
  <c r="D27" i="17"/>
  <c r="C27" i="17"/>
  <c r="D23" i="17"/>
  <c r="C23" i="17"/>
  <c r="D21" i="17"/>
  <c r="C21" i="17"/>
  <c r="C19" i="17"/>
  <c r="D18" i="17"/>
  <c r="C18" i="17"/>
  <c r="D15" i="17"/>
  <c r="C15" i="17"/>
  <c r="C16" i="17"/>
  <c r="D12" i="17"/>
  <c r="C12" i="17"/>
  <c r="F35" i="13"/>
  <c r="F36" i="13"/>
  <c r="F37" i="13"/>
  <c r="F38" i="13"/>
  <c r="F39" i="13"/>
  <c r="F34" i="13"/>
  <c r="F23" i="13"/>
  <c r="F24" i="13"/>
  <c r="F25" i="13"/>
  <c r="F26" i="13"/>
  <c r="F27" i="13"/>
  <c r="F28" i="13"/>
  <c r="F29" i="13"/>
  <c r="F30" i="13"/>
  <c r="F31" i="13"/>
  <c r="F32" i="13"/>
  <c r="F22" i="13"/>
  <c r="C35" i="13"/>
  <c r="C36" i="13"/>
  <c r="C37" i="13"/>
  <c r="C38" i="13"/>
  <c r="C39" i="13"/>
  <c r="C34" i="13"/>
  <c r="C23" i="13"/>
  <c r="C24" i="13"/>
  <c r="C25" i="13"/>
  <c r="C26" i="13"/>
  <c r="C27" i="13"/>
  <c r="C28" i="13"/>
  <c r="C29" i="13"/>
  <c r="C30" i="13"/>
  <c r="C31" i="13"/>
  <c r="C32" i="13"/>
  <c r="C22" i="13"/>
  <c r="F35" i="11"/>
  <c r="F36" i="11"/>
  <c r="F37" i="11"/>
  <c r="F38" i="11"/>
  <c r="F39" i="11"/>
  <c r="F34" i="11"/>
  <c r="F23" i="11"/>
  <c r="F24" i="11"/>
  <c r="F25" i="11"/>
  <c r="F26" i="11"/>
  <c r="F27" i="11"/>
  <c r="F28" i="11"/>
  <c r="F29" i="11"/>
  <c r="F30" i="11"/>
  <c r="F31" i="11"/>
  <c r="F32" i="11"/>
  <c r="F22" i="11"/>
  <c r="C35" i="11"/>
  <c r="C36" i="11"/>
  <c r="C37" i="11"/>
  <c r="C38" i="11"/>
  <c r="C39" i="11"/>
  <c r="C34" i="11"/>
  <c r="C23" i="11"/>
  <c r="C24" i="11"/>
  <c r="C25" i="11"/>
  <c r="C26" i="11"/>
  <c r="C27" i="11"/>
  <c r="C28" i="11"/>
  <c r="C29" i="11"/>
  <c r="C30" i="11"/>
  <c r="C31" i="11"/>
  <c r="C32" i="11"/>
  <c r="C22" i="11"/>
  <c r="D22" i="11"/>
  <c r="D23" i="11"/>
  <c r="D24" i="11"/>
  <c r="D25" i="11"/>
  <c r="D26" i="11"/>
  <c r="D27" i="11"/>
  <c r="D28" i="11"/>
  <c r="D29" i="11"/>
  <c r="D30" i="11"/>
  <c r="D31" i="11"/>
  <c r="D32" i="11"/>
  <c r="D34" i="11"/>
  <c r="D35" i="11"/>
  <c r="D36" i="11"/>
  <c r="D37" i="11"/>
  <c r="D38" i="11"/>
  <c r="D39" i="11"/>
  <c r="G22" i="11"/>
  <c r="G23" i="11"/>
  <c r="G24" i="11"/>
  <c r="G25" i="11"/>
  <c r="G26" i="11"/>
  <c r="G27" i="11"/>
  <c r="G28" i="11"/>
  <c r="G29" i="11"/>
  <c r="G30" i="11"/>
  <c r="G31" i="11"/>
  <c r="G32" i="11"/>
  <c r="G34" i="11"/>
  <c r="G35" i="11"/>
  <c r="G36" i="11"/>
  <c r="G37" i="11"/>
  <c r="G38" i="11"/>
  <c r="G39" i="11"/>
  <c r="G35" i="9"/>
  <c r="G36" i="9"/>
  <c r="G37" i="9"/>
  <c r="G38" i="9"/>
  <c r="G39" i="9"/>
  <c r="H39" i="9" s="1"/>
  <c r="G34" i="9"/>
  <c r="G23" i="9"/>
  <c r="G24" i="9"/>
  <c r="G25" i="9"/>
  <c r="G26" i="9"/>
  <c r="G27" i="9"/>
  <c r="G28" i="9"/>
  <c r="G29" i="9"/>
  <c r="G30" i="9"/>
  <c r="G31" i="9"/>
  <c r="G32" i="9"/>
  <c r="D35" i="9"/>
  <c r="D36" i="9"/>
  <c r="D37" i="9"/>
  <c r="D38" i="9"/>
  <c r="D39" i="9"/>
  <c r="D34" i="9"/>
  <c r="D32" i="9"/>
  <c r="D23" i="9"/>
  <c r="D24" i="9"/>
  <c r="D25" i="9"/>
  <c r="D26" i="9"/>
  <c r="D27" i="9"/>
  <c r="D28" i="9"/>
  <c r="D29" i="9"/>
  <c r="D30" i="9"/>
  <c r="D31" i="9"/>
  <c r="G22" i="9"/>
  <c r="D22" i="9"/>
  <c r="H20" i="9"/>
  <c r="F35" i="9"/>
  <c r="F36" i="9"/>
  <c r="F37" i="9"/>
  <c r="F38" i="9"/>
  <c r="F39" i="9"/>
  <c r="F34" i="9"/>
  <c r="F23" i="9"/>
  <c r="F24" i="9"/>
  <c r="F25" i="9"/>
  <c r="F26" i="9"/>
  <c r="F29" i="9"/>
  <c r="F30" i="9"/>
  <c r="F31" i="9"/>
  <c r="F32" i="9"/>
  <c r="F22" i="9"/>
  <c r="C35" i="9"/>
  <c r="C36" i="9"/>
  <c r="C37" i="9"/>
  <c r="C38" i="9"/>
  <c r="C39" i="9"/>
  <c r="C34" i="9"/>
  <c r="C23" i="9"/>
  <c r="C24" i="9"/>
  <c r="C25" i="9"/>
  <c r="C26" i="9"/>
  <c r="C29" i="9"/>
  <c r="C30" i="9"/>
  <c r="C31" i="9"/>
  <c r="C32" i="9"/>
  <c r="C22" i="9"/>
  <c r="F11" i="9"/>
  <c r="G68" i="6"/>
  <c r="G66" i="6"/>
  <c r="G59" i="6"/>
  <c r="G58" i="6"/>
  <c r="G57" i="6"/>
  <c r="G56" i="6"/>
  <c r="G49" i="6"/>
  <c r="E68" i="6"/>
  <c r="E66" i="6"/>
  <c r="E59" i="6"/>
  <c r="E58" i="6"/>
  <c r="E57" i="6"/>
  <c r="E56" i="6"/>
  <c r="E49" i="6"/>
  <c r="G14" i="6"/>
  <c r="G13" i="6"/>
  <c r="E14" i="6"/>
  <c r="E13" i="6"/>
  <c r="G10" i="6"/>
  <c r="G8" i="6"/>
  <c r="E10" i="6"/>
  <c r="E8" i="6"/>
  <c r="E64" i="14"/>
  <c r="E50" i="14"/>
  <c r="E51" i="14"/>
  <c r="E52" i="14"/>
  <c r="E53" i="14"/>
  <c r="E54" i="14"/>
  <c r="E55" i="14"/>
  <c r="E56" i="14"/>
  <c r="E57" i="14"/>
  <c r="E58" i="14"/>
  <c r="E61" i="14"/>
  <c r="E62" i="14"/>
  <c r="E49" i="14"/>
  <c r="G64" i="14"/>
  <c r="G50" i="14"/>
  <c r="G51" i="14"/>
  <c r="G52" i="14"/>
  <c r="G53" i="14"/>
  <c r="G54" i="14"/>
  <c r="G55" i="14"/>
  <c r="G56" i="14"/>
  <c r="G57" i="14"/>
  <c r="G58" i="14"/>
  <c r="G61" i="14"/>
  <c r="G62" i="14"/>
  <c r="G49" i="14"/>
  <c r="G44" i="14"/>
  <c r="G43" i="14"/>
  <c r="E44" i="14"/>
  <c r="E43" i="14"/>
  <c r="G15" i="14"/>
  <c r="G16" i="14"/>
  <c r="G17" i="14"/>
  <c r="G18" i="14"/>
  <c r="G19" i="14"/>
  <c r="G20" i="14"/>
  <c r="G21" i="14"/>
  <c r="G25" i="14"/>
  <c r="G26" i="14"/>
  <c r="G27" i="14"/>
  <c r="G28" i="14"/>
  <c r="G29" i="14"/>
  <c r="G30" i="14"/>
  <c r="G14" i="14"/>
  <c r="E15" i="14"/>
  <c r="E16" i="14"/>
  <c r="E17" i="14"/>
  <c r="E18" i="14"/>
  <c r="E19" i="14"/>
  <c r="E20" i="14"/>
  <c r="E21" i="14"/>
  <c r="E25" i="14"/>
  <c r="E26" i="14"/>
  <c r="E27" i="14"/>
  <c r="E28" i="14"/>
  <c r="E29" i="14"/>
  <c r="E30" i="14"/>
  <c r="E14" i="14"/>
  <c r="G10" i="14"/>
  <c r="G11" i="14"/>
  <c r="G9" i="14"/>
  <c r="E10" i="14"/>
  <c r="E11" i="14"/>
  <c r="E9" i="14"/>
  <c r="C64" i="14"/>
  <c r="C62" i="14"/>
  <c r="C61" i="14"/>
  <c r="C58" i="14"/>
  <c r="C55" i="14"/>
  <c r="C54" i="14"/>
  <c r="C53" i="14"/>
  <c r="C52" i="14"/>
  <c r="C50" i="14"/>
  <c r="C49" i="14"/>
  <c r="C44" i="14"/>
  <c r="C43" i="14"/>
  <c r="C28" i="14"/>
  <c r="C26" i="14"/>
  <c r="C15" i="14"/>
  <c r="C16" i="14"/>
  <c r="C17" i="14"/>
  <c r="C18" i="14"/>
  <c r="C19" i="14"/>
  <c r="C20" i="14"/>
  <c r="C14" i="14"/>
  <c r="C10" i="14"/>
  <c r="C9" i="14"/>
  <c r="B64" i="14"/>
  <c r="B50" i="14"/>
  <c r="B52" i="14"/>
  <c r="B53" i="14"/>
  <c r="B54" i="14"/>
  <c r="B55" i="14"/>
  <c r="B58" i="14"/>
  <c r="B61" i="14"/>
  <c r="B62" i="14"/>
  <c r="B49" i="14"/>
  <c r="B44" i="14"/>
  <c r="B43" i="14"/>
  <c r="B15" i="14"/>
  <c r="B16" i="14"/>
  <c r="B17" i="14"/>
  <c r="B18" i="14"/>
  <c r="B19" i="14"/>
  <c r="B20" i="14"/>
  <c r="B26" i="14"/>
  <c r="B28" i="14"/>
  <c r="B14" i="14"/>
  <c r="B10" i="14"/>
  <c r="B9" i="14"/>
  <c r="G65" i="4"/>
  <c r="E65" i="4"/>
  <c r="F65" i="4" s="1"/>
  <c r="E49" i="4"/>
  <c r="F49" i="4" s="1"/>
  <c r="G49" i="4"/>
  <c r="F53" i="4"/>
  <c r="E54" i="4"/>
  <c r="G54" i="4"/>
  <c r="E56" i="4"/>
  <c r="F56" i="4" s="1"/>
  <c r="G56" i="4"/>
  <c r="E57" i="4"/>
  <c r="G57" i="4"/>
  <c r="E58" i="4"/>
  <c r="G58" i="4"/>
  <c r="E59" i="4"/>
  <c r="F59" i="4" s="1"/>
  <c r="G59" i="4"/>
  <c r="E61" i="4"/>
  <c r="F61" i="4" s="1"/>
  <c r="G61" i="4"/>
  <c r="F62" i="4"/>
  <c r="G48" i="4"/>
  <c r="E48" i="4"/>
  <c r="F43" i="4"/>
  <c r="F45" i="4"/>
  <c r="G42" i="4"/>
  <c r="E42" i="4"/>
  <c r="F42" i="4" s="1"/>
  <c r="E14" i="4"/>
  <c r="G14" i="4"/>
  <c r="E15" i="4"/>
  <c r="F15" i="4" s="1"/>
  <c r="G15" i="4"/>
  <c r="E16" i="4"/>
  <c r="F16" i="4" s="1"/>
  <c r="G16" i="4"/>
  <c r="E17" i="4"/>
  <c r="G17" i="4"/>
  <c r="E18" i="4"/>
  <c r="F18" i="4" s="1"/>
  <c r="G18" i="4"/>
  <c r="E19" i="4"/>
  <c r="F19" i="4" s="1"/>
  <c r="G19" i="4"/>
  <c r="F22" i="4"/>
  <c r="E24" i="4"/>
  <c r="F24" i="4" s="1"/>
  <c r="G24" i="4"/>
  <c r="E25" i="4"/>
  <c r="F25" i="4" s="1"/>
  <c r="G25" i="4"/>
  <c r="E28" i="4"/>
  <c r="F28" i="4" s="1"/>
  <c r="G28" i="4"/>
  <c r="F30" i="4"/>
  <c r="F31" i="4"/>
  <c r="F33" i="4"/>
  <c r="F36" i="4"/>
  <c r="F37" i="4"/>
  <c r="F39" i="4"/>
  <c r="G13" i="4"/>
  <c r="E13" i="4"/>
  <c r="F13" i="4" s="1"/>
  <c r="G9" i="4"/>
  <c r="G8" i="4"/>
  <c r="E9" i="4"/>
  <c r="E8" i="4"/>
  <c r="C65" i="4"/>
  <c r="C61" i="4"/>
  <c r="C59" i="4"/>
  <c r="C58" i="4"/>
  <c r="C54" i="4"/>
  <c r="C49" i="4"/>
  <c r="C48" i="4"/>
  <c r="C42" i="4"/>
  <c r="C28" i="4"/>
  <c r="C24" i="4"/>
  <c r="C17" i="4"/>
  <c r="C14" i="4"/>
  <c r="C9" i="4"/>
  <c r="C8" i="4"/>
  <c r="B65" i="4"/>
  <c r="B49" i="4"/>
  <c r="B54" i="4"/>
  <c r="B58" i="4"/>
  <c r="B59" i="4"/>
  <c r="B61" i="4"/>
  <c r="B48" i="4"/>
  <c r="B42" i="4"/>
  <c r="B14" i="4"/>
  <c r="B17" i="4"/>
  <c r="B24" i="4"/>
  <c r="B28" i="4"/>
  <c r="B9" i="4"/>
  <c r="B8" i="4"/>
  <c r="G6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4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G43" i="1"/>
  <c r="G44" i="1"/>
  <c r="G42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13" i="1"/>
  <c r="E39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13" i="1"/>
  <c r="G9" i="1"/>
  <c r="G10" i="1"/>
  <c r="E9" i="1"/>
  <c r="E10" i="1"/>
  <c r="G8" i="1"/>
  <c r="E8" i="1"/>
  <c r="C67" i="1"/>
  <c r="C61" i="1"/>
  <c r="C62" i="1"/>
  <c r="C63" i="1"/>
  <c r="C64" i="1"/>
  <c r="C65" i="1"/>
  <c r="C60" i="1"/>
  <c r="C57" i="1"/>
  <c r="C49" i="1"/>
  <c r="C50" i="1"/>
  <c r="C51" i="1"/>
  <c r="C52" i="1"/>
  <c r="C53" i="1"/>
  <c r="C54" i="1"/>
  <c r="C55" i="1"/>
  <c r="C56" i="1"/>
  <c r="C48" i="1"/>
  <c r="C43" i="1"/>
  <c r="C42" i="1"/>
  <c r="C34" i="1"/>
  <c r="C29" i="1"/>
  <c r="C28" i="1"/>
  <c r="C27" i="1"/>
  <c r="C14" i="1"/>
  <c r="C15" i="1"/>
  <c r="C16" i="1"/>
  <c r="C17" i="1"/>
  <c r="C18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27" i="1"/>
  <c r="B28" i="1"/>
  <c r="B29" i="1"/>
  <c r="B34" i="1"/>
  <c r="B13" i="1"/>
  <c r="B9" i="1"/>
  <c r="B10" i="1"/>
  <c r="B8" i="1"/>
  <c r="F58" i="20"/>
  <c r="F55" i="20"/>
  <c r="F52" i="20"/>
  <c r="F50" i="20"/>
  <c r="F48" i="20"/>
  <c r="F45" i="20"/>
  <c r="F39" i="20"/>
  <c r="F37" i="20"/>
  <c r="F35" i="20"/>
  <c r="F32" i="20"/>
  <c r="F29" i="20"/>
  <c r="F27" i="20"/>
  <c r="F24" i="20"/>
  <c r="F22" i="20"/>
  <c r="F19" i="20"/>
  <c r="F16" i="20"/>
  <c r="C58" i="20"/>
  <c r="C55" i="20"/>
  <c r="C52" i="20"/>
  <c r="C50" i="20"/>
  <c r="C48" i="20"/>
  <c r="C45" i="20"/>
  <c r="C39" i="20"/>
  <c r="C37" i="20"/>
  <c r="C35" i="20"/>
  <c r="C32" i="20"/>
  <c r="C29" i="20"/>
  <c r="C27" i="20"/>
  <c r="C24" i="20"/>
  <c r="C22" i="20"/>
  <c r="C19" i="20"/>
  <c r="C16" i="20"/>
  <c r="F13" i="20"/>
  <c r="C13" i="20"/>
  <c r="F58" i="19"/>
  <c r="F55" i="19"/>
  <c r="F52" i="19"/>
  <c r="F50" i="19"/>
  <c r="F48" i="19"/>
  <c r="F45" i="19"/>
  <c r="F39" i="19"/>
  <c r="F37" i="19"/>
  <c r="F35" i="19"/>
  <c r="F32" i="19"/>
  <c r="F29" i="19"/>
  <c r="F27" i="19"/>
  <c r="F24" i="19"/>
  <c r="F22" i="19"/>
  <c r="F19" i="19"/>
  <c r="F16" i="19"/>
  <c r="C58" i="19"/>
  <c r="C55" i="19"/>
  <c r="C52" i="19"/>
  <c r="C50" i="19"/>
  <c r="C48" i="19"/>
  <c r="C45" i="19"/>
  <c r="C39" i="19"/>
  <c r="C37" i="19"/>
  <c r="C35" i="19"/>
  <c r="C32" i="19"/>
  <c r="C29" i="19"/>
  <c r="C27" i="19"/>
  <c r="C24" i="19"/>
  <c r="C22" i="19"/>
  <c r="C19" i="19"/>
  <c r="C16" i="19"/>
  <c r="F13" i="19"/>
  <c r="C13" i="19"/>
  <c r="D35" i="13"/>
  <c r="D36" i="13"/>
  <c r="D37" i="13"/>
  <c r="D38" i="13"/>
  <c r="D39" i="13"/>
  <c r="D34" i="13"/>
  <c r="G35" i="13"/>
  <c r="G36" i="13"/>
  <c r="G37" i="13"/>
  <c r="G38" i="13"/>
  <c r="G39" i="13"/>
  <c r="G34" i="13"/>
  <c r="G23" i="13"/>
  <c r="G24" i="13"/>
  <c r="G25" i="13"/>
  <c r="G26" i="13"/>
  <c r="G27" i="13"/>
  <c r="G28" i="13"/>
  <c r="G29" i="13"/>
  <c r="G30" i="13"/>
  <c r="G31" i="13"/>
  <c r="G32" i="13"/>
  <c r="D23" i="13"/>
  <c r="D24" i="13"/>
  <c r="D25" i="13"/>
  <c r="D26" i="13"/>
  <c r="D27" i="13"/>
  <c r="D28" i="13"/>
  <c r="D29" i="13"/>
  <c r="D30" i="13"/>
  <c r="D31" i="13"/>
  <c r="D32" i="13"/>
  <c r="G22" i="13"/>
  <c r="D22" i="13"/>
  <c r="F68" i="8"/>
  <c r="F66" i="8"/>
  <c r="F58" i="8"/>
  <c r="F57" i="8"/>
  <c r="F56" i="8"/>
  <c r="F50" i="8"/>
  <c r="F49" i="8"/>
  <c r="F38" i="8"/>
  <c r="F13" i="8"/>
  <c r="F8" i="8"/>
  <c r="C68" i="8"/>
  <c r="C49" i="8"/>
  <c r="C50" i="8"/>
  <c r="C56" i="8"/>
  <c r="C57" i="8"/>
  <c r="C58" i="8"/>
  <c r="C66" i="8"/>
  <c r="C38" i="8"/>
  <c r="C13" i="8"/>
  <c r="C8" i="8"/>
  <c r="F64" i="16"/>
  <c r="F62" i="16"/>
  <c r="F61" i="16"/>
  <c r="F50" i="16"/>
  <c r="F51" i="16"/>
  <c r="F52" i="16"/>
  <c r="F53" i="16"/>
  <c r="F54" i="16"/>
  <c r="F55" i="16"/>
  <c r="F56" i="16"/>
  <c r="F57" i="16"/>
  <c r="F58" i="16"/>
  <c r="F49" i="16"/>
  <c r="F45" i="16"/>
  <c r="F44" i="16"/>
  <c r="F43" i="16"/>
  <c r="F39" i="16"/>
  <c r="F26" i="16"/>
  <c r="F27" i="16"/>
  <c r="F28" i="16"/>
  <c r="F29" i="16"/>
  <c r="F30" i="16"/>
  <c r="F25" i="16"/>
  <c r="F23" i="16"/>
  <c r="F15" i="16"/>
  <c r="F16" i="16"/>
  <c r="F17" i="16"/>
  <c r="F18" i="16"/>
  <c r="F19" i="16"/>
  <c r="F20" i="16"/>
  <c r="F21" i="16"/>
  <c r="F14" i="16"/>
  <c r="F10" i="16"/>
  <c r="F11" i="16"/>
  <c r="F9" i="16"/>
  <c r="C64" i="16"/>
  <c r="C50" i="16"/>
  <c r="C51" i="16"/>
  <c r="C52" i="16"/>
  <c r="C53" i="16"/>
  <c r="C54" i="16"/>
  <c r="C55" i="16"/>
  <c r="C56" i="16"/>
  <c r="C57" i="16"/>
  <c r="C58" i="16"/>
  <c r="C61" i="16"/>
  <c r="C62" i="16"/>
  <c r="C49" i="16"/>
  <c r="C44" i="16"/>
  <c r="C45" i="16"/>
  <c r="C43" i="16"/>
  <c r="C15" i="16"/>
  <c r="C16" i="16"/>
  <c r="C17" i="16"/>
  <c r="C18" i="16"/>
  <c r="C19" i="16"/>
  <c r="C20" i="16"/>
  <c r="C21" i="16"/>
  <c r="C23" i="16"/>
  <c r="C25" i="16"/>
  <c r="C26" i="16"/>
  <c r="C27" i="16"/>
  <c r="C28" i="16"/>
  <c r="C29" i="16"/>
  <c r="C30" i="16"/>
  <c r="C39" i="16"/>
  <c r="C14" i="16"/>
  <c r="C10" i="16"/>
  <c r="C11" i="16"/>
  <c r="C9" i="16"/>
  <c r="B70" i="26"/>
  <c r="E70" i="26"/>
  <c r="F65" i="26"/>
  <c r="F61" i="26"/>
  <c r="F60" i="26"/>
  <c r="F59" i="26"/>
  <c r="F58" i="26"/>
  <c r="F49" i="26"/>
  <c r="F48" i="26"/>
  <c r="F42" i="26"/>
  <c r="F38" i="26"/>
  <c r="F24" i="26"/>
  <c r="F18" i="26"/>
  <c r="F14" i="26"/>
  <c r="F15" i="26"/>
  <c r="F16" i="26"/>
  <c r="F17" i="26"/>
  <c r="F13" i="26"/>
  <c r="F8" i="26"/>
  <c r="C65" i="26"/>
  <c r="C49" i="26"/>
  <c r="C58" i="26"/>
  <c r="C59" i="26"/>
  <c r="C60" i="26"/>
  <c r="C61" i="26"/>
  <c r="C48" i="26"/>
  <c r="C42" i="26"/>
  <c r="C14" i="26"/>
  <c r="C15" i="26"/>
  <c r="C16" i="26"/>
  <c r="C17" i="26"/>
  <c r="C18" i="26"/>
  <c r="C24" i="26"/>
  <c r="C38" i="26"/>
  <c r="C13" i="26"/>
  <c r="C8" i="26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4" i="2"/>
  <c r="F43" i="2"/>
  <c r="F42" i="2"/>
  <c r="F39" i="2"/>
  <c r="F38" i="2"/>
  <c r="F35" i="2"/>
  <c r="F34" i="2"/>
  <c r="F33" i="2"/>
  <c r="F31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3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4" i="2"/>
  <c r="C43" i="2"/>
  <c r="C42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1" i="2"/>
  <c r="C33" i="2"/>
  <c r="C34" i="2"/>
  <c r="C35" i="2"/>
  <c r="C38" i="2"/>
  <c r="C39" i="2"/>
  <c r="C13" i="2"/>
  <c r="C9" i="2"/>
  <c r="C10" i="2"/>
  <c r="F9" i="2"/>
  <c r="F10" i="2"/>
  <c r="F8" i="2"/>
  <c r="C8" i="2"/>
  <c r="H40" i="9"/>
  <c r="E40" i="9"/>
  <c r="E41" i="9"/>
  <c r="H41" i="9"/>
  <c r="H33" i="9"/>
  <c r="H20" i="11"/>
  <c r="C11" i="11"/>
  <c r="E42" i="19"/>
  <c r="B42" i="19"/>
  <c r="D42" i="19" s="1"/>
  <c r="E39" i="19"/>
  <c r="B41" i="4"/>
  <c r="E45" i="1"/>
  <c r="D70" i="4"/>
  <c r="D70" i="26"/>
  <c r="G72" i="2"/>
  <c r="D72" i="2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7" i="6"/>
  <c r="B57" i="6"/>
  <c r="C55" i="6"/>
  <c r="B55" i="6"/>
  <c r="C54" i="6"/>
  <c r="B54" i="6"/>
  <c r="C53" i="6"/>
  <c r="B53" i="6"/>
  <c r="C52" i="6"/>
  <c r="B52" i="6"/>
  <c r="C51" i="6"/>
  <c r="B51" i="6"/>
  <c r="C50" i="6"/>
  <c r="B50" i="6"/>
  <c r="C48" i="6"/>
  <c r="B48" i="6"/>
  <c r="C45" i="6"/>
  <c r="B45" i="6"/>
  <c r="C44" i="6"/>
  <c r="B44" i="6"/>
  <c r="C43" i="6"/>
  <c r="B43" i="6"/>
  <c r="C42" i="6"/>
  <c r="B42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0" i="6"/>
  <c r="B10" i="6"/>
  <c r="C9" i="6"/>
  <c r="B9" i="6"/>
  <c r="C8" i="6"/>
  <c r="B8" i="6"/>
  <c r="F58" i="4" l="1"/>
  <c r="F52" i="4"/>
  <c r="F50" i="4"/>
  <c r="F34" i="4"/>
  <c r="F27" i="4"/>
  <c r="F21" i="4"/>
  <c r="F55" i="4"/>
  <c r="F48" i="4"/>
  <c r="F38" i="4"/>
  <c r="F35" i="4"/>
  <c r="F32" i="4"/>
  <c r="F29" i="4"/>
  <c r="F26" i="4"/>
  <c r="F23" i="4"/>
  <c r="F20" i="4"/>
  <c r="F17" i="4"/>
  <c r="F14" i="4"/>
  <c r="F44" i="4"/>
  <c r="F63" i="4"/>
  <c r="F60" i="4"/>
  <c r="F57" i="4"/>
  <c r="F54" i="4"/>
  <c r="F51" i="4"/>
  <c r="E39" i="9"/>
  <c r="C63" i="4"/>
  <c r="C62" i="4"/>
  <c r="C60" i="4"/>
  <c r="C57" i="4"/>
  <c r="C56" i="4"/>
  <c r="C55" i="4"/>
  <c r="C53" i="4"/>
  <c r="C52" i="4"/>
  <c r="C51" i="4"/>
  <c r="C50" i="4"/>
  <c r="C45" i="4"/>
  <c r="C44" i="4"/>
  <c r="C43" i="4"/>
  <c r="C39" i="4"/>
  <c r="C38" i="4"/>
  <c r="C37" i="4"/>
  <c r="C36" i="4"/>
  <c r="C35" i="4"/>
  <c r="C34" i="4"/>
  <c r="C33" i="4"/>
  <c r="C32" i="4"/>
  <c r="C31" i="4"/>
  <c r="C30" i="4"/>
  <c r="C29" i="4"/>
  <c r="C27" i="4"/>
  <c r="C26" i="4"/>
  <c r="C25" i="4"/>
  <c r="C23" i="4"/>
  <c r="C22" i="4"/>
  <c r="C21" i="4"/>
  <c r="C20" i="4"/>
  <c r="C19" i="4"/>
  <c r="C18" i="4"/>
  <c r="C10" i="4"/>
  <c r="F60" i="16"/>
  <c r="F59" i="16"/>
  <c r="F46" i="16"/>
  <c r="F40" i="16"/>
  <c r="F38" i="16"/>
  <c r="F37" i="16"/>
  <c r="F36" i="16"/>
  <c r="F35" i="16"/>
  <c r="F34" i="16"/>
  <c r="F33" i="16"/>
  <c r="F32" i="16"/>
  <c r="F31" i="16"/>
  <c r="F24" i="16"/>
  <c r="F22" i="16"/>
  <c r="G6" i="9"/>
  <c r="F65" i="8"/>
  <c r="F64" i="8"/>
  <c r="F63" i="8"/>
  <c r="F62" i="8"/>
  <c r="F61" i="8"/>
  <c r="F60" i="8"/>
  <c r="F59" i="8"/>
  <c r="F55" i="8"/>
  <c r="F54" i="8"/>
  <c r="F53" i="8"/>
  <c r="F52" i="8"/>
  <c r="F51" i="8"/>
  <c r="F48" i="8"/>
  <c r="F45" i="8"/>
  <c r="F44" i="8"/>
  <c r="F43" i="8"/>
  <c r="F42" i="8"/>
  <c r="F39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0" i="8"/>
  <c r="F9" i="8"/>
  <c r="G9" i="6"/>
  <c r="F63" i="26"/>
  <c r="F62" i="26"/>
  <c r="F57" i="26"/>
  <c r="F56" i="26"/>
  <c r="F55" i="26"/>
  <c r="F54" i="26"/>
  <c r="F53" i="26"/>
  <c r="F52" i="26"/>
  <c r="F51" i="26"/>
  <c r="F50" i="26"/>
  <c r="F45" i="26"/>
  <c r="F44" i="26"/>
  <c r="F43" i="26"/>
  <c r="F41" i="26" s="1"/>
  <c r="F39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3" i="26"/>
  <c r="F22" i="26"/>
  <c r="F21" i="26"/>
  <c r="F20" i="26"/>
  <c r="F19" i="26"/>
  <c r="F10" i="26"/>
  <c r="F9" i="26"/>
  <c r="G10" i="4"/>
  <c r="F45" i="2"/>
  <c r="F37" i="2"/>
  <c r="F32" i="2"/>
  <c r="F30" i="2"/>
  <c r="G45" i="1"/>
  <c r="C59" i="1"/>
  <c r="C45" i="1"/>
  <c r="C44" i="1"/>
  <c r="C39" i="1"/>
  <c r="C38" i="1"/>
  <c r="C36" i="1"/>
  <c r="C35" i="1"/>
  <c r="C32" i="1"/>
  <c r="C30" i="1"/>
  <c r="C26" i="1"/>
  <c r="C25" i="1"/>
  <c r="C23" i="1"/>
  <c r="C22" i="1"/>
  <c r="C21" i="1"/>
  <c r="C20" i="1"/>
  <c r="C41" i="4" l="1"/>
  <c r="N31" i="38"/>
  <c r="N30" i="38"/>
  <c r="N23" i="38"/>
  <c r="N22" i="38"/>
  <c r="N21" i="38"/>
  <c r="N20" i="38"/>
  <c r="N19" i="38"/>
  <c r="N18" i="38"/>
  <c r="N17" i="38"/>
  <c r="N16" i="38"/>
  <c r="N15" i="38"/>
  <c r="N14" i="38"/>
  <c r="N4" i="38"/>
  <c r="N3" i="38"/>
  <c r="N20" i="37"/>
  <c r="N19" i="37"/>
  <c r="N12" i="37"/>
  <c r="N11" i="37"/>
  <c r="N10" i="37"/>
  <c r="N9" i="37"/>
  <c r="N8" i="37"/>
  <c r="N7" i="37"/>
  <c r="N6" i="37"/>
  <c r="N5" i="37"/>
  <c r="N4" i="37"/>
  <c r="N3" i="37"/>
  <c r="N20" i="36"/>
  <c r="N19" i="36"/>
  <c r="N12" i="36"/>
  <c r="N11" i="36"/>
  <c r="N10" i="36"/>
  <c r="N9" i="36"/>
  <c r="N8" i="36"/>
  <c r="N7" i="36"/>
  <c r="N6" i="36"/>
  <c r="N5" i="36"/>
  <c r="N4" i="36"/>
  <c r="N3" i="36"/>
  <c r="N31" i="35"/>
  <c r="N30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N4" i="35"/>
  <c r="N3" i="35"/>
  <c r="N31" i="34"/>
  <c r="N30" i="34"/>
  <c r="N23" i="34"/>
  <c r="N22" i="34"/>
  <c r="N21" i="34"/>
  <c r="N20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3" i="34"/>
  <c r="N31" i="33"/>
  <c r="N30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3" i="33"/>
  <c r="I70" i="26" l="1"/>
  <c r="G70" i="26"/>
  <c r="I70" i="4"/>
  <c r="I72" i="2"/>
  <c r="I72" i="1"/>
  <c r="D72" i="1"/>
  <c r="H72" i="2" l="1"/>
  <c r="J72" i="2" s="1"/>
  <c r="H70" i="26"/>
  <c r="J70" i="26" s="1"/>
  <c r="C41" i="6" l="1"/>
  <c r="C12" i="1" l="1"/>
  <c r="G64" i="8"/>
  <c r="D64" i="8"/>
  <c r="G63" i="8"/>
  <c r="D63" i="8"/>
  <c r="G62" i="8"/>
  <c r="D62" i="8"/>
  <c r="G61" i="8"/>
  <c r="D61" i="8"/>
  <c r="G60" i="8"/>
  <c r="D60" i="8"/>
  <c r="G55" i="8"/>
  <c r="D55" i="8"/>
  <c r="G53" i="8"/>
  <c r="D53" i="8"/>
  <c r="G52" i="8"/>
  <c r="D52" i="8"/>
  <c r="G51" i="8"/>
  <c r="D51" i="8"/>
  <c r="G45" i="8"/>
  <c r="D45" i="8"/>
  <c r="G44" i="8"/>
  <c r="D44" i="8"/>
  <c r="G43" i="8"/>
  <c r="D43" i="8"/>
  <c r="G42" i="8"/>
  <c r="D42" i="8"/>
  <c r="G39" i="8"/>
  <c r="D39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7" i="8"/>
  <c r="D27" i="8"/>
  <c r="G26" i="8"/>
  <c r="D26" i="8"/>
  <c r="G25" i="8"/>
  <c r="D25" i="8"/>
  <c r="G23" i="8"/>
  <c r="D23" i="8"/>
  <c r="G22" i="8"/>
  <c r="D22" i="8"/>
  <c r="G21" i="8"/>
  <c r="D21" i="8"/>
  <c r="G20" i="8"/>
  <c r="D20" i="8"/>
  <c r="G19" i="8"/>
  <c r="D19" i="8"/>
  <c r="G18" i="8"/>
  <c r="D18" i="8"/>
  <c r="G16" i="8"/>
  <c r="D16" i="8"/>
  <c r="G10" i="8"/>
  <c r="D10" i="8"/>
  <c r="G63" i="26"/>
  <c r="D63" i="26"/>
  <c r="G62" i="26"/>
  <c r="D62" i="26"/>
  <c r="G55" i="26"/>
  <c r="D55" i="26"/>
  <c r="G53" i="26"/>
  <c r="D53" i="26"/>
  <c r="G52" i="26"/>
  <c r="D52" i="26"/>
  <c r="G51" i="26"/>
  <c r="D51" i="26"/>
  <c r="G50" i="26"/>
  <c r="D50" i="26"/>
  <c r="G45" i="26"/>
  <c r="D45" i="26"/>
  <c r="G44" i="26"/>
  <c r="D44" i="26"/>
  <c r="G43" i="26"/>
  <c r="D43" i="26"/>
  <c r="G39" i="26"/>
  <c r="D39" i="26"/>
  <c r="G37" i="26"/>
  <c r="D37" i="26"/>
  <c r="G36" i="26"/>
  <c r="D36" i="26"/>
  <c r="G35" i="26"/>
  <c r="D35" i="26"/>
  <c r="G34" i="26"/>
  <c r="D34" i="26"/>
  <c r="G33" i="26"/>
  <c r="D33" i="26"/>
  <c r="G31" i="26"/>
  <c r="D31" i="26"/>
  <c r="G30" i="26"/>
  <c r="D30" i="26"/>
  <c r="G29" i="26"/>
  <c r="D29" i="26"/>
  <c r="G26" i="26"/>
  <c r="D26" i="26"/>
  <c r="G25" i="26"/>
  <c r="D25" i="26"/>
  <c r="G23" i="26"/>
  <c r="D23" i="26"/>
  <c r="G22" i="26"/>
  <c r="D22" i="26"/>
  <c r="G21" i="26"/>
  <c r="D21" i="26"/>
  <c r="G10" i="26"/>
  <c r="D10" i="26"/>
  <c r="G45" i="2"/>
  <c r="D45" i="2"/>
  <c r="G60" i="16"/>
  <c r="D60" i="16"/>
  <c r="G46" i="16"/>
  <c r="D46" i="16"/>
  <c r="G40" i="16"/>
  <c r="D40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1" i="16"/>
  <c r="D31" i="16"/>
  <c r="G24" i="16"/>
  <c r="D24" i="16"/>
  <c r="H35" i="11"/>
  <c r="E35" i="11"/>
  <c r="H27" i="11"/>
  <c r="E27" i="11"/>
  <c r="H13" i="11"/>
  <c r="E13" i="11"/>
  <c r="H8" i="11"/>
  <c r="E8" i="11"/>
  <c r="H7" i="11"/>
  <c r="E7" i="11"/>
  <c r="H9" i="11" l="1"/>
  <c r="H10" i="11"/>
  <c r="H22" i="11"/>
  <c r="H23" i="11"/>
  <c r="H24" i="11"/>
  <c r="H25" i="11"/>
  <c r="H26" i="11"/>
  <c r="H28" i="11"/>
  <c r="H29" i="11"/>
  <c r="H30" i="11"/>
  <c r="H31" i="11"/>
  <c r="H32" i="11"/>
  <c r="H33" i="11"/>
  <c r="H34" i="11"/>
  <c r="H36" i="11"/>
  <c r="H37" i="11"/>
  <c r="H38" i="11"/>
  <c r="H39" i="11"/>
  <c r="H40" i="11"/>
  <c r="H41" i="11"/>
  <c r="H6" i="11"/>
  <c r="E6" i="11"/>
  <c r="E6" i="13"/>
  <c r="E9" i="13"/>
  <c r="E10" i="13"/>
  <c r="E21" i="11"/>
  <c r="E23" i="11"/>
  <c r="E26" i="11"/>
  <c r="E28" i="11"/>
  <c r="E31" i="11"/>
  <c r="E33" i="11"/>
  <c r="E37" i="11"/>
  <c r="E39" i="11"/>
  <c r="E41" i="11"/>
  <c r="E9" i="11"/>
  <c r="E10" i="11"/>
  <c r="E7" i="13"/>
  <c r="E8" i="13"/>
  <c r="E13" i="13"/>
  <c r="E20" i="11"/>
  <c r="E22" i="11"/>
  <c r="E24" i="11"/>
  <c r="E25" i="11"/>
  <c r="E29" i="11"/>
  <c r="E30" i="11"/>
  <c r="E32" i="11"/>
  <c r="E34" i="11"/>
  <c r="E36" i="11"/>
  <c r="E38" i="11"/>
  <c r="E40" i="11"/>
  <c r="H5" i="13"/>
  <c r="H6" i="13"/>
  <c r="H8" i="13"/>
  <c r="H9" i="13"/>
  <c r="H10" i="13"/>
  <c r="H13" i="13"/>
  <c r="E50" i="16"/>
  <c r="G50" i="16" s="1"/>
  <c r="E51" i="16"/>
  <c r="G51" i="16" s="1"/>
  <c r="E52" i="16"/>
  <c r="G52" i="16" s="1"/>
  <c r="D53" i="14"/>
  <c r="E53" i="16"/>
  <c r="G53" i="16" s="1"/>
  <c r="E54" i="16"/>
  <c r="G54" i="16" s="1"/>
  <c r="E55" i="16"/>
  <c r="G55" i="16" s="1"/>
  <c r="E56" i="16"/>
  <c r="G56" i="16" s="1"/>
  <c r="E57" i="16"/>
  <c r="G57" i="16" s="1"/>
  <c r="E58" i="16"/>
  <c r="G58" i="16" s="1"/>
  <c r="D59" i="14"/>
  <c r="E59" i="16"/>
  <c r="G59" i="16" s="1"/>
  <c r="D60" i="14"/>
  <c r="E60" i="16"/>
  <c r="E61" i="16"/>
  <c r="G61" i="16" s="1"/>
  <c r="E62" i="16"/>
  <c r="G62" i="16" s="1"/>
  <c r="E44" i="16"/>
  <c r="G44" i="16" s="1"/>
  <c r="D45" i="14"/>
  <c r="E45" i="16"/>
  <c r="G45" i="16" s="1"/>
  <c r="D46" i="14"/>
  <c r="E46" i="16"/>
  <c r="E15" i="16"/>
  <c r="G15" i="16" s="1"/>
  <c r="E16" i="16"/>
  <c r="G16" i="16" s="1"/>
  <c r="E17" i="16"/>
  <c r="G17" i="16" s="1"/>
  <c r="E18" i="16"/>
  <c r="G18" i="16" s="1"/>
  <c r="E19" i="16"/>
  <c r="G19" i="16" s="1"/>
  <c r="E20" i="16"/>
  <c r="G20" i="16" s="1"/>
  <c r="D21" i="14"/>
  <c r="E21" i="16"/>
  <c r="G21" i="16" s="1"/>
  <c r="D22" i="14"/>
  <c r="E22" i="16"/>
  <c r="G22" i="16" s="1"/>
  <c r="D23" i="14"/>
  <c r="E23" i="16"/>
  <c r="G23" i="16" s="1"/>
  <c r="D24" i="14"/>
  <c r="E24" i="16"/>
  <c r="E25" i="16"/>
  <c r="G25" i="16" s="1"/>
  <c r="E26" i="16"/>
  <c r="G26" i="16" s="1"/>
  <c r="E27" i="16"/>
  <c r="G27" i="16" s="1"/>
  <c r="E28" i="16"/>
  <c r="G28" i="16" s="1"/>
  <c r="E29" i="16"/>
  <c r="G29" i="16" s="1"/>
  <c r="D30" i="14"/>
  <c r="E30" i="16"/>
  <c r="G30" i="16" s="1"/>
  <c r="D31" i="14"/>
  <c r="E31" i="16"/>
  <c r="D32" i="14"/>
  <c r="E32" i="16"/>
  <c r="G32" i="16" s="1"/>
  <c r="D33" i="14"/>
  <c r="E33" i="16"/>
  <c r="D34" i="14"/>
  <c r="E34" i="16"/>
  <c r="D35" i="14"/>
  <c r="E35" i="16"/>
  <c r="D36" i="14"/>
  <c r="E36" i="16"/>
  <c r="D37" i="14"/>
  <c r="E37" i="16"/>
  <c r="D38" i="14"/>
  <c r="E38" i="16"/>
  <c r="D39" i="14"/>
  <c r="E39" i="16"/>
  <c r="G39" i="16" s="1"/>
  <c r="D40" i="14"/>
  <c r="E40" i="16"/>
  <c r="E49" i="8"/>
  <c r="G49" i="8" s="1"/>
  <c r="D50" i="6"/>
  <c r="E50" i="8"/>
  <c r="G50" i="8" s="1"/>
  <c r="D51" i="6"/>
  <c r="E51" i="8"/>
  <c r="D52" i="6"/>
  <c r="E52" i="8"/>
  <c r="E53" i="8"/>
  <c r="D54" i="6"/>
  <c r="E54" i="8"/>
  <c r="G54" i="8" s="1"/>
  <c r="D55" i="6"/>
  <c r="E55" i="8"/>
  <c r="E56" i="8"/>
  <c r="G56" i="8" s="1"/>
  <c r="E57" i="8"/>
  <c r="G57" i="8" s="1"/>
  <c r="D58" i="6"/>
  <c r="E58" i="8"/>
  <c r="G58" i="8" s="1"/>
  <c r="E59" i="8"/>
  <c r="G59" i="8" s="1"/>
  <c r="D60" i="6"/>
  <c r="E60" i="8"/>
  <c r="D61" i="6"/>
  <c r="E61" i="8"/>
  <c r="D62" i="6"/>
  <c r="E62" i="8"/>
  <c r="D63" i="6"/>
  <c r="E63" i="8"/>
  <c r="D64" i="6"/>
  <c r="E64" i="8"/>
  <c r="D65" i="6"/>
  <c r="E65" i="8"/>
  <c r="G65" i="8" s="1"/>
  <c r="E66" i="8"/>
  <c r="G66" i="8" s="1"/>
  <c r="D14" i="6"/>
  <c r="E14" i="8"/>
  <c r="G14" i="8" s="1"/>
  <c r="E15" i="8"/>
  <c r="G15" i="8" s="1"/>
  <c r="D16" i="6"/>
  <c r="E16" i="8"/>
  <c r="D17" i="6"/>
  <c r="E17" i="8"/>
  <c r="G17" i="8" s="1"/>
  <c r="D18" i="6"/>
  <c r="E18" i="8"/>
  <c r="D19" i="6"/>
  <c r="E19" i="8"/>
  <c r="D20" i="6"/>
  <c r="E20" i="8"/>
  <c r="D21" i="6"/>
  <c r="E21" i="8"/>
  <c r="D22" i="6"/>
  <c r="E22" i="8"/>
  <c r="D23" i="6"/>
  <c r="E23" i="8"/>
  <c r="D24" i="6"/>
  <c r="E24" i="8"/>
  <c r="G24" i="8" s="1"/>
  <c r="D25" i="6"/>
  <c r="E25" i="8"/>
  <c r="D26" i="6"/>
  <c r="E26" i="8"/>
  <c r="D27" i="6"/>
  <c r="E27" i="8"/>
  <c r="D28" i="6"/>
  <c r="E28" i="8"/>
  <c r="G28" i="8" s="1"/>
  <c r="D29" i="6"/>
  <c r="E29" i="8"/>
  <c r="D30" i="6"/>
  <c r="E30" i="8"/>
  <c r="D31" i="6"/>
  <c r="E31" i="8"/>
  <c r="D32" i="6"/>
  <c r="E32" i="8"/>
  <c r="D33" i="6"/>
  <c r="E33" i="8"/>
  <c r="D34" i="6"/>
  <c r="E34" i="8"/>
  <c r="D35" i="6"/>
  <c r="E35" i="8"/>
  <c r="D36" i="6"/>
  <c r="E36" i="8"/>
  <c r="D37" i="6"/>
  <c r="E37" i="8"/>
  <c r="D38" i="6"/>
  <c r="E38" i="8"/>
  <c r="G38" i="8" s="1"/>
  <c r="D39" i="6"/>
  <c r="E39" i="8"/>
  <c r="E49" i="26"/>
  <c r="G49" i="26" s="1"/>
  <c r="D50" i="4"/>
  <c r="E50" i="26"/>
  <c r="D51" i="4"/>
  <c r="E51" i="26"/>
  <c r="D52" i="4"/>
  <c r="E52" i="26"/>
  <c r="D53" i="4"/>
  <c r="E53" i="26"/>
  <c r="E54" i="26"/>
  <c r="G54" i="26" s="1"/>
  <c r="D55" i="4"/>
  <c r="E55" i="26"/>
  <c r="E56" i="26"/>
  <c r="G56" i="26" s="1"/>
  <c r="E57" i="26"/>
  <c r="G57" i="26" s="1"/>
  <c r="E58" i="26"/>
  <c r="G58" i="26" s="1"/>
  <c r="E59" i="26"/>
  <c r="G59" i="26" s="1"/>
  <c r="D60" i="4"/>
  <c r="E60" i="26"/>
  <c r="G60" i="26" s="1"/>
  <c r="E61" i="26"/>
  <c r="G61" i="26" s="1"/>
  <c r="D62" i="4"/>
  <c r="E62" i="26"/>
  <c r="D63" i="4"/>
  <c r="E63" i="26"/>
  <c r="E14" i="26"/>
  <c r="G14" i="26" s="1"/>
  <c r="E15" i="26"/>
  <c r="G15" i="26" s="1"/>
  <c r="E16" i="26"/>
  <c r="G16" i="26" s="1"/>
  <c r="E17" i="26"/>
  <c r="G17" i="26" s="1"/>
  <c r="D18" i="4"/>
  <c r="E18" i="26"/>
  <c r="G18" i="26" s="1"/>
  <c r="D19" i="4"/>
  <c r="E19" i="26"/>
  <c r="G19" i="26" s="1"/>
  <c r="D20" i="4"/>
  <c r="E20" i="26"/>
  <c r="G20" i="26" s="1"/>
  <c r="D21" i="4"/>
  <c r="E21" i="26"/>
  <c r="D22" i="4"/>
  <c r="E22" i="26"/>
  <c r="D23" i="4"/>
  <c r="E23" i="26"/>
  <c r="D24" i="4"/>
  <c r="E24" i="26"/>
  <c r="G24" i="26" s="1"/>
  <c r="D25" i="4"/>
  <c r="E25" i="26"/>
  <c r="D26" i="4"/>
  <c r="E26" i="26"/>
  <c r="D27" i="4"/>
  <c r="E27" i="26"/>
  <c r="G27" i="26" s="1"/>
  <c r="D28" i="4"/>
  <c r="E28" i="26"/>
  <c r="G28" i="26" s="1"/>
  <c r="D29" i="4"/>
  <c r="E29" i="26"/>
  <c r="D30" i="4"/>
  <c r="E30" i="26"/>
  <c r="D31" i="4"/>
  <c r="E31" i="26"/>
  <c r="E32" i="26"/>
  <c r="G32" i="26" s="1"/>
  <c r="D33" i="4"/>
  <c r="E33" i="26"/>
  <c r="D34" i="4"/>
  <c r="E34" i="26"/>
  <c r="D35" i="4"/>
  <c r="E35" i="26"/>
  <c r="D36" i="4"/>
  <c r="E36" i="26"/>
  <c r="D37" i="4"/>
  <c r="E37" i="26"/>
  <c r="D38" i="4"/>
  <c r="E38" i="26"/>
  <c r="G38" i="26" s="1"/>
  <c r="D39" i="4"/>
  <c r="E39" i="26"/>
  <c r="D9" i="4"/>
  <c r="D10" i="4"/>
  <c r="D14" i="4" l="1"/>
  <c r="D58" i="4"/>
  <c r="D56" i="4"/>
  <c r="D54" i="4"/>
  <c r="D15" i="6"/>
  <c r="D32" i="4"/>
  <c r="D17" i="4"/>
  <c r="D16" i="4"/>
  <c r="D49" i="6"/>
  <c r="D28" i="14"/>
  <c r="D27" i="14"/>
  <c r="D26" i="14"/>
  <c r="D20" i="14"/>
  <c r="D19" i="14"/>
  <c r="D17" i="14"/>
  <c r="D15" i="14"/>
  <c r="D61" i="14"/>
  <c r="D54" i="14"/>
  <c r="D51" i="14"/>
  <c r="D56" i="6"/>
  <c r="D15" i="4"/>
  <c r="D61" i="4"/>
  <c r="D49" i="4"/>
  <c r="D59" i="6"/>
  <c r="D57" i="6"/>
  <c r="D53" i="6"/>
  <c r="D44" i="14"/>
  <c r="D62" i="14"/>
  <c r="D58" i="14"/>
  <c r="D57" i="14"/>
  <c r="D56" i="14"/>
  <c r="D55" i="14"/>
  <c r="D52" i="14"/>
  <c r="D50" i="14"/>
  <c r="D59" i="4"/>
  <c r="D57" i="4"/>
  <c r="D66" i="6"/>
  <c r="D29" i="14"/>
  <c r="D25" i="14"/>
  <c r="D18" i="14"/>
  <c r="D16" i="14"/>
  <c r="E45" i="8" l="1"/>
  <c r="E44" i="8"/>
  <c r="E43" i="8"/>
  <c r="E10" i="8"/>
  <c r="E9" i="8"/>
  <c r="G9" i="8" s="1"/>
  <c r="E45" i="26"/>
  <c r="E44" i="26"/>
  <c r="E43" i="26"/>
  <c r="I13" i="11"/>
  <c r="I7" i="11"/>
  <c r="H5" i="11"/>
  <c r="F34" i="6" l="1"/>
  <c r="F31" i="6"/>
  <c r="F15" i="6"/>
  <c r="F29" i="6"/>
  <c r="F63" i="6"/>
  <c r="F27" i="6"/>
  <c r="F62" i="6"/>
  <c r="F58" i="6"/>
  <c r="F54" i="6"/>
  <c r="F51" i="6"/>
  <c r="F33" i="6"/>
  <c r="F14" i="6"/>
  <c r="F22" i="6"/>
  <c r="F57" i="6"/>
  <c r="F26" i="6"/>
  <c r="F50" i="6"/>
  <c r="F18" i="6"/>
  <c r="F39" i="6"/>
  <c r="F23" i="6"/>
  <c r="F66" i="6"/>
  <c r="F37" i="6"/>
  <c r="F21" i="6"/>
  <c r="F35" i="6"/>
  <c r="F19" i="6"/>
  <c r="F60" i="6"/>
  <c r="F56" i="6"/>
  <c r="F52" i="6"/>
  <c r="F20" i="6"/>
  <c r="F25" i="6"/>
  <c r="F49" i="6"/>
  <c r="F17" i="6"/>
  <c r="F32" i="6"/>
  <c r="F16" i="6"/>
  <c r="F65" i="6"/>
  <c r="F30" i="6"/>
  <c r="F64" i="6"/>
  <c r="F28" i="6"/>
  <c r="F59" i="6"/>
  <c r="F55" i="6"/>
  <c r="F24" i="6"/>
  <c r="F38" i="6"/>
  <c r="F36" i="6"/>
  <c r="F61" i="6"/>
  <c r="F53" i="6"/>
  <c r="F9" i="4"/>
  <c r="F10" i="4"/>
  <c r="F34" i="14"/>
  <c r="F39" i="14"/>
  <c r="F30" i="14"/>
  <c r="F26" i="14"/>
  <c r="F22" i="14"/>
  <c r="F18" i="14"/>
  <c r="F46" i="14"/>
  <c r="F36" i="14"/>
  <c r="F62" i="14"/>
  <c r="F58" i="14"/>
  <c r="F50" i="14"/>
  <c r="F33" i="14"/>
  <c r="F29" i="14"/>
  <c r="F17" i="14"/>
  <c r="F35" i="14"/>
  <c r="F57" i="14"/>
  <c r="F11" i="14"/>
  <c r="F31" i="14"/>
  <c r="F38" i="14"/>
  <c r="F28" i="14"/>
  <c r="F24" i="14"/>
  <c r="F20" i="14"/>
  <c r="F16" i="14"/>
  <c r="F45" i="14"/>
  <c r="F60" i="14"/>
  <c r="F56" i="14"/>
  <c r="F52" i="14"/>
  <c r="F25" i="14"/>
  <c r="F40" i="14"/>
  <c r="F37" i="14"/>
  <c r="F27" i="14"/>
  <c r="F23" i="14"/>
  <c r="F19" i="14"/>
  <c r="F15" i="14"/>
  <c r="F10" i="14"/>
  <c r="F44" i="14"/>
  <c r="F59" i="14"/>
  <c r="F55" i="14"/>
  <c r="F51" i="14"/>
  <c r="F54" i="14"/>
  <c r="F32" i="14"/>
  <c r="F21" i="14"/>
  <c r="F61" i="14"/>
  <c r="F53" i="14"/>
  <c r="I5" i="11"/>
  <c r="I6" i="11"/>
  <c r="I8" i="11"/>
  <c r="I9" i="11"/>
  <c r="I10" i="11"/>
  <c r="J5" i="11"/>
  <c r="E5" i="11"/>
  <c r="J6" i="11"/>
  <c r="J7" i="11"/>
  <c r="K7" i="11" s="1"/>
  <c r="J8" i="11"/>
  <c r="J9" i="11"/>
  <c r="J10" i="11"/>
  <c r="J13" i="11"/>
  <c r="K13" i="11" s="1"/>
  <c r="E5" i="13"/>
  <c r="I43" i="16"/>
  <c r="I9" i="16"/>
  <c r="I50" i="14"/>
  <c r="K8" i="11" l="1"/>
  <c r="K6" i="11"/>
  <c r="K10" i="11"/>
  <c r="K9" i="11"/>
  <c r="K5" i="11"/>
  <c r="I7" i="9"/>
  <c r="D29" i="1"/>
  <c r="H35" i="13"/>
  <c r="E35" i="13"/>
  <c r="E31" i="13"/>
  <c r="E30" i="13"/>
  <c r="E29" i="13"/>
  <c r="E28" i="13"/>
  <c r="H27" i="13"/>
  <c r="E27" i="13"/>
  <c r="E26" i="13"/>
  <c r="E25" i="13"/>
  <c r="E24" i="13"/>
  <c r="E23" i="13"/>
  <c r="E22" i="13"/>
  <c r="E21" i="13"/>
  <c r="E32" i="13" l="1"/>
  <c r="E33" i="13"/>
  <c r="E34" i="13"/>
  <c r="E36" i="13"/>
  <c r="E37" i="13"/>
  <c r="E38" i="13"/>
  <c r="E39" i="13"/>
  <c r="E40" i="13"/>
  <c r="E41" i="13"/>
  <c r="I10" i="9"/>
  <c r="I6" i="9"/>
  <c r="H21" i="11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4" i="13"/>
  <c r="H36" i="13"/>
  <c r="H37" i="13"/>
  <c r="H38" i="13"/>
  <c r="H39" i="13"/>
  <c r="H40" i="13"/>
  <c r="H41" i="13"/>
  <c r="I9" i="9"/>
  <c r="I8" i="9"/>
  <c r="I63" i="4"/>
  <c r="I62" i="4"/>
  <c r="I60" i="4"/>
  <c r="I56" i="4"/>
  <c r="I55" i="4"/>
  <c r="I54" i="4"/>
  <c r="I53" i="4"/>
  <c r="I52" i="4"/>
  <c r="I51" i="4"/>
  <c r="I50" i="4"/>
  <c r="I48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8" i="4"/>
  <c r="I16" i="4"/>
  <c r="I14" i="4"/>
  <c r="I10" i="4"/>
  <c r="I8" i="4"/>
  <c r="I60" i="1"/>
  <c r="I58" i="1"/>
  <c r="I56" i="1"/>
  <c r="I54" i="1"/>
  <c r="I52" i="1"/>
  <c r="I50" i="1"/>
  <c r="I48" i="1"/>
  <c r="I45" i="1"/>
  <c r="H44" i="1"/>
  <c r="I44" i="1"/>
  <c r="I42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0" i="1"/>
  <c r="I8" i="1"/>
  <c r="I61" i="14"/>
  <c r="I60" i="14"/>
  <c r="I59" i="14"/>
  <c r="I57" i="14"/>
  <c r="I55" i="14"/>
  <c r="I53" i="14"/>
  <c r="I46" i="14"/>
  <c r="I40" i="14"/>
  <c r="I39" i="14"/>
  <c r="I38" i="14"/>
  <c r="I37" i="14"/>
  <c r="I36" i="14"/>
  <c r="I35" i="14"/>
  <c r="I34" i="14"/>
  <c r="I33" i="14"/>
  <c r="I31" i="14"/>
  <c r="I24" i="14"/>
  <c r="I23" i="14"/>
  <c r="I64" i="6"/>
  <c r="I63" i="6"/>
  <c r="I62" i="6"/>
  <c r="I61" i="6"/>
  <c r="I60" i="6"/>
  <c r="I55" i="6"/>
  <c r="I53" i="6"/>
  <c r="I52" i="6"/>
  <c r="I51" i="6"/>
  <c r="I50" i="6"/>
  <c r="I45" i="6"/>
  <c r="I44" i="6"/>
  <c r="I43" i="6"/>
  <c r="I42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0" i="6"/>
  <c r="D48" i="6"/>
  <c r="D45" i="6"/>
  <c r="D44" i="6"/>
  <c r="D43" i="6"/>
  <c r="D42" i="6"/>
  <c r="D10" i="6"/>
  <c r="D9" i="6"/>
  <c r="D8" i="6"/>
  <c r="D45" i="4"/>
  <c r="D44" i="4"/>
  <c r="D43" i="4"/>
  <c r="D42" i="4"/>
  <c r="D41" i="4"/>
  <c r="D13" i="4"/>
  <c r="D59" i="1"/>
  <c r="D45" i="1"/>
  <c r="D44" i="1"/>
  <c r="D38" i="1"/>
  <c r="D37" i="1"/>
  <c r="D36" i="1"/>
  <c r="D35" i="1"/>
  <c r="D34" i="1"/>
  <c r="D33" i="1"/>
  <c r="D32" i="1"/>
  <c r="D30" i="1"/>
  <c r="D25" i="1"/>
  <c r="D24" i="1"/>
  <c r="D22" i="1"/>
  <c r="D21" i="1"/>
  <c r="D20" i="1"/>
  <c r="I62" i="1" l="1"/>
  <c r="I64" i="1"/>
  <c r="D9" i="1"/>
  <c r="D13" i="1"/>
  <c r="D15" i="1"/>
  <c r="D17" i="1"/>
  <c r="D19" i="1"/>
  <c r="D48" i="4"/>
  <c r="D13" i="6"/>
  <c r="I9" i="1"/>
  <c r="I13" i="1"/>
  <c r="I15" i="1"/>
  <c r="I17" i="1"/>
  <c r="I19" i="1"/>
  <c r="I21" i="1"/>
  <c r="I23" i="1"/>
  <c r="I9" i="4"/>
  <c r="I13" i="4"/>
  <c r="I15" i="4"/>
  <c r="I17" i="4"/>
  <c r="I19" i="4"/>
  <c r="I27" i="4"/>
  <c r="I49" i="4"/>
  <c r="I57" i="4"/>
  <c r="I59" i="4"/>
  <c r="I61" i="4"/>
  <c r="I9" i="6"/>
  <c r="I13" i="6"/>
  <c r="I49" i="6"/>
  <c r="I57" i="6"/>
  <c r="I59" i="6"/>
  <c r="I65" i="6"/>
  <c r="I25" i="1"/>
  <c r="I27" i="1"/>
  <c r="I29" i="1"/>
  <c r="I31" i="1"/>
  <c r="I33" i="1"/>
  <c r="I35" i="1"/>
  <c r="I37" i="1"/>
  <c r="I39" i="1"/>
  <c r="I55" i="1"/>
  <c r="I57" i="1"/>
  <c r="I59" i="1"/>
  <c r="I61" i="1"/>
  <c r="I63" i="1"/>
  <c r="I58" i="4"/>
  <c r="D23" i="1"/>
  <c r="D26" i="1"/>
  <c r="D28" i="1"/>
  <c r="D31" i="1"/>
  <c r="D39" i="1"/>
  <c r="D43" i="1"/>
  <c r="D49" i="1"/>
  <c r="D51" i="1"/>
  <c r="D53" i="1"/>
  <c r="D55" i="1"/>
  <c r="D57" i="1"/>
  <c r="D61" i="1"/>
  <c r="D63" i="1"/>
  <c r="D65" i="1"/>
  <c r="D8" i="4"/>
  <c r="D10" i="14"/>
  <c r="D14" i="14"/>
  <c r="I10" i="14"/>
  <c r="I14" i="14"/>
  <c r="I16" i="14"/>
  <c r="I18" i="14"/>
  <c r="I20" i="14"/>
  <c r="I22" i="14"/>
  <c r="I26" i="14"/>
  <c r="I28" i="14"/>
  <c r="I30" i="14"/>
  <c r="I32" i="14"/>
  <c r="I44" i="14"/>
  <c r="I51" i="14"/>
  <c r="I43" i="1"/>
  <c r="I8" i="6"/>
  <c r="I14" i="6"/>
  <c r="I24" i="6"/>
  <c r="I28" i="6"/>
  <c r="I48" i="6"/>
  <c r="I54" i="6"/>
  <c r="I56" i="6"/>
  <c r="I58" i="6"/>
  <c r="I66" i="6"/>
  <c r="I8" i="8"/>
  <c r="I10" i="16"/>
  <c r="I14" i="16"/>
  <c r="I16" i="16"/>
  <c r="I18" i="16"/>
  <c r="I20" i="16"/>
  <c r="I22" i="16"/>
  <c r="I24" i="16"/>
  <c r="J24" i="16" s="1"/>
  <c r="I26" i="16"/>
  <c r="I28" i="16"/>
  <c r="I30" i="16"/>
  <c r="I32" i="16"/>
  <c r="I34" i="16"/>
  <c r="J34" i="16" s="1"/>
  <c r="I36" i="16"/>
  <c r="J36" i="16" s="1"/>
  <c r="I38" i="16"/>
  <c r="J38" i="16" s="1"/>
  <c r="I40" i="16"/>
  <c r="J40" i="16" s="1"/>
  <c r="I45" i="16"/>
  <c r="I49" i="16"/>
  <c r="I51" i="16"/>
  <c r="I53" i="16"/>
  <c r="I55" i="16"/>
  <c r="I57" i="16"/>
  <c r="I59" i="16"/>
  <c r="I61" i="16"/>
  <c r="I9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3" i="2"/>
  <c r="I45" i="2"/>
  <c r="J45" i="2" s="1"/>
  <c r="I49" i="2"/>
  <c r="I51" i="2"/>
  <c r="I53" i="2"/>
  <c r="I55" i="2"/>
  <c r="I57" i="2"/>
  <c r="I59" i="2"/>
  <c r="I61" i="2"/>
  <c r="I63" i="2"/>
  <c r="I65" i="2"/>
  <c r="I9" i="26"/>
  <c r="I13" i="26"/>
  <c r="I15" i="26"/>
  <c r="I17" i="26"/>
  <c r="I19" i="26"/>
  <c r="I21" i="26"/>
  <c r="J21" i="26" s="1"/>
  <c r="I23" i="26"/>
  <c r="J23" i="26" s="1"/>
  <c r="I25" i="26"/>
  <c r="J25" i="26" s="1"/>
  <c r="I27" i="26"/>
  <c r="I29" i="26"/>
  <c r="J29" i="26" s="1"/>
  <c r="I31" i="26"/>
  <c r="J31" i="26" s="1"/>
  <c r="I33" i="26"/>
  <c r="J33" i="26" s="1"/>
  <c r="I35" i="26"/>
  <c r="J35" i="26" s="1"/>
  <c r="I37" i="26"/>
  <c r="J37" i="26" s="1"/>
  <c r="I39" i="26"/>
  <c r="J39" i="26" s="1"/>
  <c r="I43" i="26"/>
  <c r="J43" i="26" s="1"/>
  <c r="I45" i="26"/>
  <c r="J45" i="26" s="1"/>
  <c r="I49" i="26"/>
  <c r="I51" i="26"/>
  <c r="J51" i="26" s="1"/>
  <c r="I53" i="26"/>
  <c r="J53" i="26" s="1"/>
  <c r="I55" i="26"/>
  <c r="J55" i="26" s="1"/>
  <c r="I57" i="26"/>
  <c r="I59" i="26"/>
  <c r="I61" i="26"/>
  <c r="I63" i="26"/>
  <c r="J63" i="26" s="1"/>
  <c r="I19" i="8"/>
  <c r="J19" i="8" s="1"/>
  <c r="I25" i="8"/>
  <c r="J25" i="8" s="1"/>
  <c r="I29" i="8"/>
  <c r="J29" i="8" s="1"/>
  <c r="I31" i="8"/>
  <c r="J31" i="8" s="1"/>
  <c r="I37" i="8"/>
  <c r="J37" i="8" s="1"/>
  <c r="I39" i="8"/>
  <c r="J39" i="8" s="1"/>
  <c r="I45" i="8"/>
  <c r="J45" i="8" s="1"/>
  <c r="I49" i="8"/>
  <c r="I51" i="8"/>
  <c r="J51" i="8" s="1"/>
  <c r="I53" i="8"/>
  <c r="J53" i="8" s="1"/>
  <c r="I55" i="8"/>
  <c r="J55" i="8" s="1"/>
  <c r="I57" i="8"/>
  <c r="I59" i="8"/>
  <c r="I61" i="8"/>
  <c r="J61" i="8" s="1"/>
  <c r="I63" i="8"/>
  <c r="J63" i="8" s="1"/>
  <c r="I65" i="8"/>
  <c r="I13" i="8"/>
  <c r="I17" i="8"/>
  <c r="I23" i="8"/>
  <c r="J23" i="8" s="1"/>
  <c r="I35" i="8"/>
  <c r="J35" i="8" s="1"/>
  <c r="I54" i="14"/>
  <c r="I56" i="14"/>
  <c r="I58" i="14"/>
  <c r="I62" i="14"/>
  <c r="I11" i="16"/>
  <c r="I15" i="16"/>
  <c r="I17" i="16"/>
  <c r="I19" i="16"/>
  <c r="I21" i="16"/>
  <c r="I23" i="16"/>
  <c r="I25" i="16"/>
  <c r="I27" i="16"/>
  <c r="I29" i="16"/>
  <c r="I31" i="16"/>
  <c r="J31" i="16" s="1"/>
  <c r="I33" i="16"/>
  <c r="J33" i="16" s="1"/>
  <c r="I35" i="16"/>
  <c r="J35" i="16" s="1"/>
  <c r="I37" i="16"/>
  <c r="J37" i="16" s="1"/>
  <c r="I39" i="16"/>
  <c r="I44" i="16"/>
  <c r="I46" i="16"/>
  <c r="J46" i="16" s="1"/>
  <c r="I50" i="16"/>
  <c r="I52" i="16"/>
  <c r="I54" i="16"/>
  <c r="I56" i="16"/>
  <c r="I58" i="16"/>
  <c r="I60" i="16"/>
  <c r="J60" i="16" s="1"/>
  <c r="I62" i="16"/>
  <c r="I49" i="1"/>
  <c r="I51" i="1"/>
  <c r="I53" i="1"/>
  <c r="I65" i="1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8" i="2"/>
  <c r="I50" i="2"/>
  <c r="I52" i="2"/>
  <c r="I54" i="2"/>
  <c r="I56" i="2"/>
  <c r="I58" i="2"/>
  <c r="I60" i="2"/>
  <c r="I62" i="2"/>
  <c r="I64" i="2"/>
  <c r="I8" i="26"/>
  <c r="I10" i="26"/>
  <c r="J10" i="26" s="1"/>
  <c r="I14" i="26"/>
  <c r="I16" i="26"/>
  <c r="I18" i="26"/>
  <c r="I20" i="26"/>
  <c r="I22" i="26"/>
  <c r="J22" i="26" s="1"/>
  <c r="I24" i="26"/>
  <c r="I26" i="26"/>
  <c r="J26" i="26" s="1"/>
  <c r="I28" i="26"/>
  <c r="I30" i="26"/>
  <c r="J30" i="26" s="1"/>
  <c r="I32" i="26"/>
  <c r="I34" i="26"/>
  <c r="J34" i="26" s="1"/>
  <c r="I36" i="26"/>
  <c r="J36" i="26" s="1"/>
  <c r="I38" i="26"/>
  <c r="I42" i="26"/>
  <c r="I44" i="26"/>
  <c r="J44" i="26" s="1"/>
  <c r="I48" i="26"/>
  <c r="I50" i="26"/>
  <c r="J50" i="26" s="1"/>
  <c r="I52" i="26"/>
  <c r="J52" i="26" s="1"/>
  <c r="I54" i="26"/>
  <c r="I56" i="26"/>
  <c r="I58" i="26"/>
  <c r="I60" i="26"/>
  <c r="I62" i="26"/>
  <c r="J62" i="26" s="1"/>
  <c r="I9" i="8"/>
  <c r="I15" i="8"/>
  <c r="I21" i="8"/>
  <c r="J21" i="8" s="1"/>
  <c r="I27" i="8"/>
  <c r="J27" i="8" s="1"/>
  <c r="I33" i="8"/>
  <c r="J33" i="8" s="1"/>
  <c r="I43" i="8"/>
  <c r="J43" i="8" s="1"/>
  <c r="D8" i="1"/>
  <c r="D10" i="1"/>
  <c r="D14" i="1"/>
  <c r="D16" i="1"/>
  <c r="D18" i="1"/>
  <c r="D27" i="1"/>
  <c r="D42" i="1"/>
  <c r="D48" i="1"/>
  <c r="D50" i="1"/>
  <c r="D52" i="1"/>
  <c r="D54" i="1"/>
  <c r="D56" i="1"/>
  <c r="D58" i="1"/>
  <c r="D60" i="1"/>
  <c r="D62" i="1"/>
  <c r="D64" i="1"/>
  <c r="I10" i="8"/>
  <c r="J10" i="8" s="1"/>
  <c r="I14" i="8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I30" i="8"/>
  <c r="J30" i="8" s="1"/>
  <c r="I32" i="8"/>
  <c r="J32" i="8" s="1"/>
  <c r="I34" i="8"/>
  <c r="J34" i="8" s="1"/>
  <c r="I36" i="8"/>
  <c r="J36" i="8" s="1"/>
  <c r="I38" i="8"/>
  <c r="I42" i="8"/>
  <c r="J42" i="8" s="1"/>
  <c r="I44" i="8"/>
  <c r="J44" i="8" s="1"/>
  <c r="I48" i="8"/>
  <c r="I50" i="8"/>
  <c r="I52" i="8"/>
  <c r="J52" i="8" s="1"/>
  <c r="I54" i="8"/>
  <c r="I56" i="8"/>
  <c r="I58" i="8"/>
  <c r="I60" i="8"/>
  <c r="J60" i="8" s="1"/>
  <c r="I62" i="8"/>
  <c r="J62" i="8" s="1"/>
  <c r="I64" i="8"/>
  <c r="J64" i="8" s="1"/>
  <c r="I66" i="8"/>
  <c r="D9" i="14"/>
  <c r="D11" i="14"/>
  <c r="D43" i="14"/>
  <c r="D49" i="14"/>
  <c r="I9" i="14"/>
  <c r="I11" i="14"/>
  <c r="I15" i="14"/>
  <c r="I17" i="14"/>
  <c r="I19" i="14"/>
  <c r="I21" i="14"/>
  <c r="I25" i="14"/>
  <c r="I27" i="14"/>
  <c r="I29" i="14"/>
  <c r="I43" i="14"/>
  <c r="I45" i="14"/>
  <c r="I49" i="14"/>
  <c r="I52" i="14"/>
  <c r="B50" i="16"/>
  <c r="D50" i="16" s="1"/>
  <c r="B65" i="26" l="1"/>
  <c r="D65" i="26" s="1"/>
  <c r="E63" i="19" l="1"/>
  <c r="E60" i="19"/>
  <c r="E20" i="9" l="1"/>
  <c r="E21" i="9"/>
  <c r="H64" i="14" l="1"/>
  <c r="C47" i="6"/>
  <c r="C47" i="26"/>
  <c r="F44" i="1"/>
  <c r="G47" i="1"/>
  <c r="H47" i="1" s="1"/>
  <c r="G47" i="6"/>
  <c r="G47" i="4" l="1"/>
  <c r="G48" i="14"/>
  <c r="C47" i="8"/>
  <c r="B47" i="6"/>
  <c r="D47" i="6" s="1"/>
  <c r="C48" i="14"/>
  <c r="F48" i="16"/>
  <c r="E48" i="14"/>
  <c r="C47" i="2"/>
  <c r="C48" i="16"/>
  <c r="F47" i="2"/>
  <c r="F47" i="26"/>
  <c r="E47" i="1"/>
  <c r="I47" i="1" s="1"/>
  <c r="E47" i="4"/>
  <c r="B47" i="4"/>
  <c r="B47" i="1"/>
  <c r="E47" i="6"/>
  <c r="I47" i="6" s="1"/>
  <c r="F47" i="8"/>
  <c r="C47" i="4"/>
  <c r="C47" i="1"/>
  <c r="B48" i="14"/>
  <c r="I47" i="4" l="1"/>
  <c r="D48" i="14"/>
  <c r="I47" i="2"/>
  <c r="D47" i="4"/>
  <c r="I48" i="16"/>
  <c r="D47" i="1"/>
  <c r="I48" i="14"/>
  <c r="I47" i="8"/>
  <c r="I47" i="26"/>
  <c r="I5" i="9"/>
  <c r="C42" i="9"/>
  <c r="G7" i="4" l="1"/>
  <c r="I64" i="16" l="1"/>
  <c r="F42" i="16"/>
  <c r="E64" i="16"/>
  <c r="G64" i="16" s="1"/>
  <c r="E43" i="16"/>
  <c r="G43" i="16" s="1"/>
  <c r="E49" i="16"/>
  <c r="G49" i="16" s="1"/>
  <c r="E14" i="16"/>
  <c r="G14" i="16" s="1"/>
  <c r="E10" i="16"/>
  <c r="G10" i="16" s="1"/>
  <c r="E11" i="16"/>
  <c r="G11" i="16" s="1"/>
  <c r="E9" i="16"/>
  <c r="G9" i="16" s="1"/>
  <c r="B64" i="16"/>
  <c r="D64" i="16" s="1"/>
  <c r="B51" i="16"/>
  <c r="D51" i="16" s="1"/>
  <c r="B52" i="16"/>
  <c r="D52" i="16" s="1"/>
  <c r="B53" i="16"/>
  <c r="D53" i="16" s="1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D59" i="16" s="1"/>
  <c r="B60" i="16"/>
  <c r="H60" i="16" s="1"/>
  <c r="B61" i="16"/>
  <c r="D61" i="16" s="1"/>
  <c r="B62" i="16"/>
  <c r="D62" i="16" s="1"/>
  <c r="B44" i="16"/>
  <c r="D44" i="16" s="1"/>
  <c r="B45" i="16"/>
  <c r="B46" i="16"/>
  <c r="H46" i="16" s="1"/>
  <c r="B43" i="16"/>
  <c r="D43" i="16" s="1"/>
  <c r="B15" i="16"/>
  <c r="D15" i="16" s="1"/>
  <c r="B16" i="16"/>
  <c r="D16" i="16" s="1"/>
  <c r="B49" i="16"/>
  <c r="D49" i="16" s="1"/>
  <c r="B17" i="16"/>
  <c r="D17" i="16" s="1"/>
  <c r="B18" i="16"/>
  <c r="D18" i="16" s="1"/>
  <c r="B19" i="16"/>
  <c r="D19" i="16" s="1"/>
  <c r="B20" i="16"/>
  <c r="D20" i="16" s="1"/>
  <c r="B21" i="16"/>
  <c r="B22" i="16"/>
  <c r="D22" i="16" s="1"/>
  <c r="B23" i="16"/>
  <c r="D23" i="16" s="1"/>
  <c r="B24" i="16"/>
  <c r="B25" i="16"/>
  <c r="D25" i="16" s="1"/>
  <c r="B26" i="16"/>
  <c r="D26" i="16" s="1"/>
  <c r="B27" i="16"/>
  <c r="D27" i="16" s="1"/>
  <c r="B28" i="16"/>
  <c r="D28" i="16" s="1"/>
  <c r="B29" i="16"/>
  <c r="D29" i="16" s="1"/>
  <c r="B30" i="16"/>
  <c r="D30" i="16" s="1"/>
  <c r="B31" i="16"/>
  <c r="B32" i="16"/>
  <c r="D32" i="16" s="1"/>
  <c r="B33" i="16"/>
  <c r="H33" i="16" s="1"/>
  <c r="B34" i="16"/>
  <c r="B35" i="16"/>
  <c r="B36" i="16"/>
  <c r="H36" i="16" s="1"/>
  <c r="B37" i="16"/>
  <c r="H37" i="16" s="1"/>
  <c r="B38" i="16"/>
  <c r="H38" i="16" s="1"/>
  <c r="B39" i="16"/>
  <c r="B40" i="16"/>
  <c r="H40" i="16" s="1"/>
  <c r="B14" i="16"/>
  <c r="D14" i="16" s="1"/>
  <c r="B10" i="16"/>
  <c r="B11" i="16"/>
  <c r="D11" i="16" s="1"/>
  <c r="B9" i="16"/>
  <c r="D9" i="16" s="1"/>
  <c r="I64" i="14"/>
  <c r="D64" i="14"/>
  <c r="H39" i="16" l="1"/>
  <c r="J39" i="16" s="1"/>
  <c r="D39" i="16"/>
  <c r="H21" i="16"/>
  <c r="J21" i="16" s="1"/>
  <c r="D21" i="16"/>
  <c r="H45" i="16"/>
  <c r="J45" i="16" s="1"/>
  <c r="D45" i="16"/>
  <c r="H50" i="16"/>
  <c r="J50" i="16" s="1"/>
  <c r="H43" i="16"/>
  <c r="J43" i="16" s="1"/>
  <c r="H62" i="16"/>
  <c r="J62" i="16" s="1"/>
  <c r="H54" i="16"/>
  <c r="J54" i="16" s="1"/>
  <c r="H9" i="16"/>
  <c r="J9" i="16" s="1"/>
  <c r="H32" i="16"/>
  <c r="J32" i="16" s="1"/>
  <c r="H28" i="16"/>
  <c r="J28" i="16" s="1"/>
  <c r="H24" i="16"/>
  <c r="H20" i="16"/>
  <c r="J20" i="16" s="1"/>
  <c r="H49" i="16"/>
  <c r="J49" i="16" s="1"/>
  <c r="H61" i="16"/>
  <c r="J61" i="16" s="1"/>
  <c r="H57" i="16"/>
  <c r="J57" i="16" s="1"/>
  <c r="H53" i="16"/>
  <c r="J53" i="16" s="1"/>
  <c r="H14" i="16"/>
  <c r="J14" i="16" s="1"/>
  <c r="H29" i="16"/>
  <c r="J29" i="16" s="1"/>
  <c r="H17" i="16"/>
  <c r="J17" i="16" s="1"/>
  <c r="H27" i="16"/>
  <c r="J27" i="16" s="1"/>
  <c r="H25" i="16"/>
  <c r="J25" i="16" s="1"/>
  <c r="H58" i="16"/>
  <c r="J58" i="16" s="1"/>
  <c r="H11" i="16"/>
  <c r="J11" i="16" s="1"/>
  <c r="H35" i="16"/>
  <c r="H31" i="16"/>
  <c r="H23" i="16"/>
  <c r="J23" i="16" s="1"/>
  <c r="H19" i="16"/>
  <c r="J19" i="16" s="1"/>
  <c r="H16" i="16"/>
  <c r="J16" i="16" s="1"/>
  <c r="H56" i="16"/>
  <c r="J56" i="16" s="1"/>
  <c r="H52" i="16"/>
  <c r="J52" i="16" s="1"/>
  <c r="H10" i="16"/>
  <c r="J10" i="16" s="1"/>
  <c r="D10" i="16"/>
  <c r="H34" i="16"/>
  <c r="H30" i="16"/>
  <c r="J30" i="16" s="1"/>
  <c r="H26" i="16"/>
  <c r="J26" i="16" s="1"/>
  <c r="H22" i="16"/>
  <c r="J22" i="16" s="1"/>
  <c r="H18" i="16"/>
  <c r="J18" i="16" s="1"/>
  <c r="H15" i="16"/>
  <c r="J15" i="16" s="1"/>
  <c r="H44" i="16"/>
  <c r="J44" i="16" s="1"/>
  <c r="H59" i="16"/>
  <c r="J59" i="16" s="1"/>
  <c r="H55" i="16"/>
  <c r="J55" i="16" s="1"/>
  <c r="H51" i="16"/>
  <c r="J51" i="16" s="1"/>
  <c r="B48" i="16"/>
  <c r="D48" i="16" s="1"/>
  <c r="E48" i="16"/>
  <c r="G48" i="16" s="1"/>
  <c r="H64" i="16"/>
  <c r="J64" i="16" s="1"/>
  <c r="F42" i="9"/>
  <c r="F14" i="9"/>
  <c r="H48" i="16" l="1"/>
  <c r="J48" i="16" s="1"/>
  <c r="E68" i="8"/>
  <c r="G68" i="8" s="1"/>
  <c r="E42" i="8"/>
  <c r="E48" i="8"/>
  <c r="G48" i="8" s="1"/>
  <c r="E13" i="8"/>
  <c r="G13" i="8" s="1"/>
  <c r="E8" i="8"/>
  <c r="G8" i="8" s="1"/>
  <c r="B68" i="8"/>
  <c r="D68" i="8" s="1"/>
  <c r="B66" i="8"/>
  <c r="D66" i="8" s="1"/>
  <c r="B50" i="8"/>
  <c r="D50" i="8" s="1"/>
  <c r="B51" i="8"/>
  <c r="H51" i="8" s="1"/>
  <c r="B52" i="8"/>
  <c r="H52" i="8" s="1"/>
  <c r="B53" i="8"/>
  <c r="B54" i="8"/>
  <c r="D54" i="8" s="1"/>
  <c r="B55" i="8"/>
  <c r="B56" i="8"/>
  <c r="D56" i="8" s="1"/>
  <c r="B57" i="8"/>
  <c r="D57" i="8" s="1"/>
  <c r="B58" i="8"/>
  <c r="D58" i="8" s="1"/>
  <c r="B59" i="8"/>
  <c r="D59" i="8" s="1"/>
  <c r="B60" i="8"/>
  <c r="H60" i="8" s="1"/>
  <c r="B61" i="8"/>
  <c r="H61" i="8" s="1"/>
  <c r="B62" i="8"/>
  <c r="H62" i="8" s="1"/>
  <c r="B63" i="8"/>
  <c r="H63" i="8" s="1"/>
  <c r="B64" i="8"/>
  <c r="B65" i="8"/>
  <c r="D65" i="8" s="1"/>
  <c r="B49" i="8"/>
  <c r="D49" i="8" s="1"/>
  <c r="B43" i="8"/>
  <c r="H43" i="8" s="1"/>
  <c r="B44" i="8"/>
  <c r="H44" i="8" s="1"/>
  <c r="B45" i="8"/>
  <c r="H45" i="8" s="1"/>
  <c r="B42" i="8"/>
  <c r="H42" i="8" s="1"/>
  <c r="B37" i="8"/>
  <c r="B38" i="8"/>
  <c r="B39" i="8"/>
  <c r="H39" i="8" s="1"/>
  <c r="B14" i="8"/>
  <c r="D14" i="8" s="1"/>
  <c r="B15" i="8"/>
  <c r="D15" i="8" s="1"/>
  <c r="B48" i="8"/>
  <c r="D48" i="8" s="1"/>
  <c r="B16" i="8"/>
  <c r="H16" i="8" s="1"/>
  <c r="B17" i="8"/>
  <c r="D17" i="8" s="1"/>
  <c r="B18" i="8"/>
  <c r="H18" i="8" s="1"/>
  <c r="B19" i="8"/>
  <c r="H19" i="8" s="1"/>
  <c r="B20" i="8"/>
  <c r="H20" i="8" s="1"/>
  <c r="B21" i="8"/>
  <c r="H21" i="8" s="1"/>
  <c r="B22" i="8"/>
  <c r="H22" i="8" s="1"/>
  <c r="B23" i="8"/>
  <c r="H23" i="8" s="1"/>
  <c r="B24" i="8"/>
  <c r="D24" i="8" s="1"/>
  <c r="B25" i="8"/>
  <c r="H25" i="8" s="1"/>
  <c r="B26" i="8"/>
  <c r="H26" i="8" s="1"/>
  <c r="B27" i="8"/>
  <c r="H27" i="8" s="1"/>
  <c r="B28" i="8"/>
  <c r="D28" i="8" s="1"/>
  <c r="B29" i="8"/>
  <c r="H29" i="8" s="1"/>
  <c r="B30" i="8"/>
  <c r="H30" i="8" s="1"/>
  <c r="B31" i="8"/>
  <c r="H31" i="8" s="1"/>
  <c r="B32" i="8"/>
  <c r="B33" i="8"/>
  <c r="H33" i="8" s="1"/>
  <c r="B34" i="8"/>
  <c r="H34" i="8" s="1"/>
  <c r="B35" i="8"/>
  <c r="H35" i="8" s="1"/>
  <c r="B36" i="8"/>
  <c r="H36" i="8" s="1"/>
  <c r="B13" i="8"/>
  <c r="D13" i="8" s="1"/>
  <c r="B10" i="8"/>
  <c r="B9" i="8"/>
  <c r="D9" i="8" s="1"/>
  <c r="B8" i="8"/>
  <c r="D8" i="8" s="1"/>
  <c r="I68" i="8"/>
  <c r="I6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8" i="6"/>
  <c r="H42" i="6"/>
  <c r="H43" i="6"/>
  <c r="H44" i="6"/>
  <c r="H45" i="6"/>
  <c r="H13" i="6"/>
  <c r="H14" i="6"/>
  <c r="H15" i="6"/>
  <c r="H48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8" i="6"/>
  <c r="H9" i="6"/>
  <c r="H10" i="6"/>
  <c r="F68" i="6"/>
  <c r="F42" i="6"/>
  <c r="F43" i="6"/>
  <c r="F44" i="6"/>
  <c r="F45" i="6"/>
  <c r="F13" i="6"/>
  <c r="F48" i="6"/>
  <c r="F8" i="6"/>
  <c r="F9" i="6"/>
  <c r="F10" i="6"/>
  <c r="D68" i="6"/>
  <c r="I65" i="26"/>
  <c r="E65" i="26"/>
  <c r="G65" i="26" s="1"/>
  <c r="E42" i="26"/>
  <c r="G42" i="26" s="1"/>
  <c r="E48" i="26"/>
  <c r="G48" i="26" s="1"/>
  <c r="E13" i="26"/>
  <c r="G13" i="26" s="1"/>
  <c r="E9" i="26"/>
  <c r="G9" i="26" s="1"/>
  <c r="E10" i="26"/>
  <c r="E8" i="26"/>
  <c r="G8" i="26" s="1"/>
  <c r="B50" i="26"/>
  <c r="H50" i="26" s="1"/>
  <c r="B51" i="26"/>
  <c r="H51" i="26" s="1"/>
  <c r="B52" i="26"/>
  <c r="H52" i="26" s="1"/>
  <c r="B53" i="26"/>
  <c r="H53" i="26" s="1"/>
  <c r="B54" i="26"/>
  <c r="D54" i="26" s="1"/>
  <c r="B55" i="26"/>
  <c r="H55" i="26" s="1"/>
  <c r="B56" i="26"/>
  <c r="D56" i="26" s="1"/>
  <c r="B57" i="26"/>
  <c r="D57" i="26" s="1"/>
  <c r="B58" i="26"/>
  <c r="D58" i="26" s="1"/>
  <c r="B59" i="26"/>
  <c r="D59" i="26" s="1"/>
  <c r="B60" i="26"/>
  <c r="B61" i="26"/>
  <c r="D61" i="26" s="1"/>
  <c r="B62" i="26"/>
  <c r="H62" i="26" s="1"/>
  <c r="B63" i="26"/>
  <c r="H63" i="26" s="1"/>
  <c r="B49" i="26"/>
  <c r="D49" i="26" s="1"/>
  <c r="B43" i="26"/>
  <c r="H43" i="26" s="1"/>
  <c r="B44" i="26"/>
  <c r="H44" i="26" s="1"/>
  <c r="B45" i="26"/>
  <c r="H45" i="26" s="1"/>
  <c r="B42" i="26"/>
  <c r="D42" i="26" s="1"/>
  <c r="B14" i="26"/>
  <c r="D14" i="26" s="1"/>
  <c r="B15" i="26"/>
  <c r="D15" i="26" s="1"/>
  <c r="B48" i="26"/>
  <c r="D48" i="26" s="1"/>
  <c r="B16" i="26"/>
  <c r="D16" i="26" s="1"/>
  <c r="B17" i="26"/>
  <c r="D17" i="26" s="1"/>
  <c r="B18" i="26"/>
  <c r="B19" i="26"/>
  <c r="D19" i="26" s="1"/>
  <c r="B20" i="26"/>
  <c r="D20" i="26" s="1"/>
  <c r="B21" i="26"/>
  <c r="H21" i="26" s="1"/>
  <c r="B22" i="26"/>
  <c r="H22" i="26" s="1"/>
  <c r="B23" i="26"/>
  <c r="H23" i="26" s="1"/>
  <c r="B24" i="26"/>
  <c r="D24" i="26" s="1"/>
  <c r="B25" i="26"/>
  <c r="H25" i="26" s="1"/>
  <c r="B26" i="26"/>
  <c r="H26" i="26" s="1"/>
  <c r="B27" i="26"/>
  <c r="D27" i="26" s="1"/>
  <c r="B28" i="26"/>
  <c r="D28" i="26" s="1"/>
  <c r="B29" i="26"/>
  <c r="H29" i="26" s="1"/>
  <c r="B30" i="26"/>
  <c r="H30" i="26" s="1"/>
  <c r="B31" i="26"/>
  <c r="H31" i="26" s="1"/>
  <c r="B32" i="26"/>
  <c r="D32" i="26" s="1"/>
  <c r="B33" i="26"/>
  <c r="H33" i="26" s="1"/>
  <c r="B34" i="26"/>
  <c r="H34" i="26" s="1"/>
  <c r="B35" i="26"/>
  <c r="H35" i="26" s="1"/>
  <c r="B36" i="26"/>
  <c r="H36" i="26" s="1"/>
  <c r="B37" i="26"/>
  <c r="H37" i="26" s="1"/>
  <c r="B38" i="26"/>
  <c r="B39" i="26"/>
  <c r="H39" i="26" s="1"/>
  <c r="B13" i="26"/>
  <c r="D13" i="26" s="1"/>
  <c r="B9" i="26"/>
  <c r="D9" i="26" s="1"/>
  <c r="B10" i="26"/>
  <c r="H10" i="26" s="1"/>
  <c r="B8" i="26"/>
  <c r="D8" i="26" s="1"/>
  <c r="I65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42" i="4"/>
  <c r="H43" i="4"/>
  <c r="H44" i="4"/>
  <c r="H45" i="4"/>
  <c r="H38" i="4"/>
  <c r="H13" i="4"/>
  <c r="H14" i="4"/>
  <c r="H15" i="4"/>
  <c r="H48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8" i="4"/>
  <c r="H9" i="4"/>
  <c r="H10" i="4"/>
  <c r="D65" i="4"/>
  <c r="E64" i="2"/>
  <c r="G64" i="2" s="1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5" i="2"/>
  <c r="G65" i="2" s="1"/>
  <c r="E49" i="2"/>
  <c r="G49" i="2" s="1"/>
  <c r="E43" i="2"/>
  <c r="G43" i="2" s="1"/>
  <c r="E44" i="2"/>
  <c r="G44" i="2" s="1"/>
  <c r="E45" i="2"/>
  <c r="E42" i="2"/>
  <c r="G42" i="2" s="1"/>
  <c r="E14" i="2"/>
  <c r="G14" i="2" s="1"/>
  <c r="E15" i="2"/>
  <c r="G15" i="2" s="1"/>
  <c r="E48" i="2"/>
  <c r="G48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9" i="2"/>
  <c r="D49" i="2" s="1"/>
  <c r="B43" i="2"/>
  <c r="D43" i="2" s="1"/>
  <c r="B44" i="2"/>
  <c r="D44" i="2" s="1"/>
  <c r="B45" i="2"/>
  <c r="H45" i="2" s="1"/>
  <c r="B42" i="2"/>
  <c r="D42" i="2" s="1"/>
  <c r="B67" i="2"/>
  <c r="D67" i="2" s="1"/>
  <c r="B14" i="2"/>
  <c r="D14" i="2" s="1"/>
  <c r="B15" i="2"/>
  <c r="D15" i="2" s="1"/>
  <c r="B48" i="2"/>
  <c r="D48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9" i="2"/>
  <c r="D9" i="2" s="1"/>
  <c r="B10" i="2"/>
  <c r="D10" i="2" s="1"/>
  <c r="B8" i="2"/>
  <c r="D8" i="2" s="1"/>
  <c r="F45" i="1"/>
  <c r="H45" i="1"/>
  <c r="F49" i="1"/>
  <c r="H34" i="1"/>
  <c r="H35" i="1"/>
  <c r="H36" i="1"/>
  <c r="H37" i="1"/>
  <c r="H38" i="1"/>
  <c r="H39" i="1"/>
  <c r="H32" i="1"/>
  <c r="H33" i="1"/>
  <c r="F43" i="1"/>
  <c r="H38" i="8" l="1"/>
  <c r="J38" i="8" s="1"/>
  <c r="D38" i="8"/>
  <c r="H38" i="26"/>
  <c r="J38" i="26" s="1"/>
  <c r="D38" i="26"/>
  <c r="H18" i="26"/>
  <c r="J18" i="26" s="1"/>
  <c r="D18" i="26"/>
  <c r="H60" i="26"/>
  <c r="J60" i="26" s="1"/>
  <c r="D60" i="26"/>
  <c r="H57" i="26"/>
  <c r="J57" i="26" s="1"/>
  <c r="H32" i="26"/>
  <c r="J32" i="26" s="1"/>
  <c r="H53" i="8"/>
  <c r="H13" i="26"/>
  <c r="J13" i="26" s="1"/>
  <c r="H42" i="26"/>
  <c r="J42" i="26" s="1"/>
  <c r="H9" i="8"/>
  <c r="J9" i="8" s="1"/>
  <c r="H25" i="2"/>
  <c r="J25" i="2" s="1"/>
  <c r="H9" i="26"/>
  <c r="J9" i="26" s="1"/>
  <c r="H17" i="26"/>
  <c r="J17" i="26" s="1"/>
  <c r="H14" i="26"/>
  <c r="J14" i="26" s="1"/>
  <c r="H61" i="26"/>
  <c r="J61" i="26" s="1"/>
  <c r="H10" i="8"/>
  <c r="H15" i="8"/>
  <c r="J15" i="8" s="1"/>
  <c r="H37" i="8"/>
  <c r="H59" i="8"/>
  <c r="J59" i="8" s="1"/>
  <c r="H55" i="8"/>
  <c r="H37" i="2"/>
  <c r="J37" i="2" s="1"/>
  <c r="H21" i="2"/>
  <c r="J21" i="2" s="1"/>
  <c r="H64" i="2"/>
  <c r="J64" i="2" s="1"/>
  <c r="H52" i="2"/>
  <c r="J52" i="2" s="1"/>
  <c r="H32" i="2"/>
  <c r="J32" i="2" s="1"/>
  <c r="H43" i="2"/>
  <c r="J43" i="2" s="1"/>
  <c r="H28" i="26"/>
  <c r="J28" i="26" s="1"/>
  <c r="H24" i="26"/>
  <c r="J24" i="26" s="1"/>
  <c r="H20" i="26"/>
  <c r="J20" i="26" s="1"/>
  <c r="H16" i="26"/>
  <c r="J16" i="26" s="1"/>
  <c r="H49" i="26"/>
  <c r="J49" i="26" s="1"/>
  <c r="H56" i="26"/>
  <c r="J56" i="26" s="1"/>
  <c r="H13" i="8"/>
  <c r="J13" i="8" s="1"/>
  <c r="H17" i="8"/>
  <c r="J17" i="8" s="1"/>
  <c r="H14" i="8"/>
  <c r="J14" i="8" s="1"/>
  <c r="H49" i="8"/>
  <c r="J49" i="8" s="1"/>
  <c r="H58" i="8"/>
  <c r="J58" i="8" s="1"/>
  <c r="H54" i="8"/>
  <c r="J54" i="8" s="1"/>
  <c r="H50" i="8"/>
  <c r="J50" i="8" s="1"/>
  <c r="H9" i="2"/>
  <c r="J9" i="2" s="1"/>
  <c r="H29" i="2"/>
  <c r="J29" i="2" s="1"/>
  <c r="D29" i="2"/>
  <c r="H14" i="2"/>
  <c r="J14" i="2" s="1"/>
  <c r="H56" i="2"/>
  <c r="J56" i="2" s="1"/>
  <c r="H13" i="2"/>
  <c r="J13" i="2" s="1"/>
  <c r="H28" i="2"/>
  <c r="J28" i="2" s="1"/>
  <c r="H20" i="2"/>
  <c r="J20" i="2" s="1"/>
  <c r="H59" i="2"/>
  <c r="J59" i="2" s="1"/>
  <c r="H8" i="2"/>
  <c r="J8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48" i="2"/>
  <c r="J48" i="2" s="1"/>
  <c r="H42" i="2"/>
  <c r="J42" i="2" s="1"/>
  <c r="H49" i="2"/>
  <c r="J49" i="2" s="1"/>
  <c r="H62" i="2"/>
  <c r="J62" i="2" s="1"/>
  <c r="H58" i="2"/>
  <c r="J58" i="2" s="1"/>
  <c r="H54" i="2"/>
  <c r="J54" i="2" s="1"/>
  <c r="H50" i="2"/>
  <c r="J50" i="2" s="1"/>
  <c r="H8" i="26"/>
  <c r="J8" i="26" s="1"/>
  <c r="H27" i="26"/>
  <c r="J27" i="26" s="1"/>
  <c r="H19" i="26"/>
  <c r="J19" i="26" s="1"/>
  <c r="H48" i="26"/>
  <c r="J48" i="26" s="1"/>
  <c r="H59" i="26"/>
  <c r="J59" i="26" s="1"/>
  <c r="H8" i="8"/>
  <c r="J8" i="8" s="1"/>
  <c r="H32" i="8"/>
  <c r="H28" i="8"/>
  <c r="J28" i="8" s="1"/>
  <c r="H24" i="8"/>
  <c r="J24" i="8" s="1"/>
  <c r="H65" i="8"/>
  <c r="J65" i="8" s="1"/>
  <c r="H57" i="8"/>
  <c r="J57" i="8" s="1"/>
  <c r="H66" i="8"/>
  <c r="J66" i="8" s="1"/>
  <c r="H33" i="2"/>
  <c r="J33" i="2" s="1"/>
  <c r="H17" i="2"/>
  <c r="J17" i="2" s="1"/>
  <c r="H44" i="2"/>
  <c r="J44" i="2" s="1"/>
  <c r="H60" i="2"/>
  <c r="J60" i="2" s="1"/>
  <c r="H36" i="2"/>
  <c r="J36" i="2" s="1"/>
  <c r="H24" i="2"/>
  <c r="J24" i="2" s="1"/>
  <c r="H16" i="2"/>
  <c r="J16" i="2" s="1"/>
  <c r="H63" i="2"/>
  <c r="J63" i="2" s="1"/>
  <c r="H55" i="2"/>
  <c r="J55" i="2" s="1"/>
  <c r="H51" i="2"/>
  <c r="J51" i="2" s="1"/>
  <c r="H10" i="2"/>
  <c r="J10" i="2" s="1"/>
  <c r="H38" i="2"/>
  <c r="J38" i="2" s="1"/>
  <c r="H34" i="2"/>
  <c r="J34" i="2" s="1"/>
  <c r="H30" i="2"/>
  <c r="J30" i="2" s="1"/>
  <c r="H26" i="2"/>
  <c r="J26" i="2" s="1"/>
  <c r="H22" i="2"/>
  <c r="J22" i="2" s="1"/>
  <c r="H18" i="2"/>
  <c r="J18" i="2" s="1"/>
  <c r="H15" i="2"/>
  <c r="J15" i="2" s="1"/>
  <c r="H65" i="2"/>
  <c r="J65" i="2" s="1"/>
  <c r="H61" i="2"/>
  <c r="J61" i="2" s="1"/>
  <c r="H57" i="2"/>
  <c r="J57" i="2" s="1"/>
  <c r="H53" i="2"/>
  <c r="J53" i="2" s="1"/>
  <c r="H15" i="26"/>
  <c r="J15" i="26" s="1"/>
  <c r="H58" i="26"/>
  <c r="J58" i="26" s="1"/>
  <c r="H54" i="26"/>
  <c r="J54" i="26" s="1"/>
  <c r="H48" i="8"/>
  <c r="J48" i="8" s="1"/>
  <c r="H64" i="8"/>
  <c r="H56" i="8"/>
  <c r="J56" i="8" s="1"/>
  <c r="H68" i="8"/>
  <c r="J68" i="8" s="1"/>
  <c r="E47" i="2"/>
  <c r="G47" i="2" s="1"/>
  <c r="B47" i="26"/>
  <c r="D47" i="26" s="1"/>
  <c r="B47" i="8"/>
  <c r="D47" i="8" s="1"/>
  <c r="E47" i="8"/>
  <c r="G47" i="8" s="1"/>
  <c r="B47" i="2"/>
  <c r="E47" i="26"/>
  <c r="G47" i="26" s="1"/>
  <c r="H65" i="26"/>
  <c r="J65" i="26" s="1"/>
  <c r="B27" i="20"/>
  <c r="D27" i="20" s="1"/>
  <c r="H47" i="2" l="1"/>
  <c r="J47" i="2" s="1"/>
  <c r="D47" i="2"/>
  <c r="H47" i="8"/>
  <c r="J47" i="8" s="1"/>
  <c r="H47" i="26"/>
  <c r="J47" i="26" s="1"/>
  <c r="E7" i="26"/>
  <c r="C41" i="26"/>
  <c r="F12" i="26"/>
  <c r="C12" i="26"/>
  <c r="F7" i="26"/>
  <c r="C7" i="26"/>
  <c r="G7" i="26" l="1"/>
  <c r="I7" i="26"/>
  <c r="I41" i="26"/>
  <c r="I12" i="26"/>
  <c r="F64" i="26"/>
  <c r="B41" i="26"/>
  <c r="D41" i="26" s="1"/>
  <c r="B12" i="26"/>
  <c r="D12" i="26" s="1"/>
  <c r="C64" i="26"/>
  <c r="B7" i="26"/>
  <c r="H7" i="26" s="1"/>
  <c r="E12" i="26"/>
  <c r="G12" i="26" s="1"/>
  <c r="E41" i="26"/>
  <c r="G41" i="26" s="1"/>
  <c r="E63" i="20"/>
  <c r="E60" i="20"/>
  <c r="E58" i="20"/>
  <c r="E55" i="20"/>
  <c r="E52" i="20"/>
  <c r="E50" i="20"/>
  <c r="E48" i="20"/>
  <c r="G48" i="20" s="1"/>
  <c r="E45" i="20"/>
  <c r="E42" i="20"/>
  <c r="E39" i="20"/>
  <c r="E37" i="20"/>
  <c r="E35" i="20"/>
  <c r="E32" i="20"/>
  <c r="E29" i="20"/>
  <c r="E27" i="20"/>
  <c r="G27" i="20" s="1"/>
  <c r="E24" i="20"/>
  <c r="E22" i="20"/>
  <c r="E19" i="20"/>
  <c r="E16" i="20"/>
  <c r="E13" i="20"/>
  <c r="E10" i="20"/>
  <c r="E7" i="20"/>
  <c r="B63" i="20"/>
  <c r="B60" i="20"/>
  <c r="B58" i="20"/>
  <c r="B55" i="20"/>
  <c r="B52" i="20"/>
  <c r="B50" i="20"/>
  <c r="B48" i="20"/>
  <c r="D48" i="20" s="1"/>
  <c r="B45" i="20"/>
  <c r="B42" i="20"/>
  <c r="B39" i="20"/>
  <c r="B37" i="20"/>
  <c r="B35" i="20"/>
  <c r="B32" i="20"/>
  <c r="B29" i="20"/>
  <c r="B24" i="20"/>
  <c r="B22" i="20"/>
  <c r="B19" i="20"/>
  <c r="B16" i="20"/>
  <c r="B13" i="20"/>
  <c r="B10" i="20"/>
  <c r="B7" i="20"/>
  <c r="E58" i="19"/>
  <c r="E55" i="19"/>
  <c r="E52" i="19"/>
  <c r="E50" i="19"/>
  <c r="E48" i="19"/>
  <c r="G48" i="19" s="1"/>
  <c r="E45" i="19"/>
  <c r="E37" i="19"/>
  <c r="E35" i="19"/>
  <c r="E32" i="19"/>
  <c r="E27" i="19"/>
  <c r="G27" i="19" s="1"/>
  <c r="E29" i="19"/>
  <c r="E24" i="19"/>
  <c r="E22" i="19"/>
  <c r="E19" i="19"/>
  <c r="E16" i="19"/>
  <c r="E13" i="19"/>
  <c r="E10" i="19"/>
  <c r="E7" i="19"/>
  <c r="B63" i="19"/>
  <c r="B60" i="19"/>
  <c r="B58" i="19"/>
  <c r="B55" i="19"/>
  <c r="B52" i="19"/>
  <c r="B50" i="19"/>
  <c r="B48" i="19"/>
  <c r="D48" i="19" s="1"/>
  <c r="B45" i="19"/>
  <c r="B39" i="19"/>
  <c r="D39" i="19" s="1"/>
  <c r="B37" i="19"/>
  <c r="B35" i="19"/>
  <c r="B32" i="19"/>
  <c r="B29" i="19"/>
  <c r="B27" i="19"/>
  <c r="D27" i="19" s="1"/>
  <c r="B24" i="19"/>
  <c r="B22" i="19"/>
  <c r="B19" i="19"/>
  <c r="B16" i="19"/>
  <c r="B13" i="19"/>
  <c r="B10" i="19"/>
  <c r="B7" i="19"/>
  <c r="H41" i="26" l="1"/>
  <c r="J41" i="26" s="1"/>
  <c r="I64" i="26"/>
  <c r="D7" i="26"/>
  <c r="H12" i="26"/>
  <c r="J12" i="26" s="1"/>
  <c r="J7" i="26"/>
  <c r="B64" i="26"/>
  <c r="D64" i="26" s="1"/>
  <c r="E64" i="26"/>
  <c r="G64" i="26" s="1"/>
  <c r="C66" i="17"/>
  <c r="D66" i="17"/>
  <c r="H64" i="26" l="1"/>
  <c r="J64" i="26" s="1"/>
  <c r="H45" i="14"/>
  <c r="H46" i="14"/>
  <c r="H43" i="14"/>
  <c r="H44" i="14"/>
  <c r="H14" i="14"/>
  <c r="H15" i="14"/>
  <c r="H16" i="14"/>
  <c r="H49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9" i="14"/>
  <c r="H10" i="14"/>
  <c r="H11" i="14"/>
  <c r="F64" i="14"/>
  <c r="F43" i="14"/>
  <c r="F14" i="14"/>
  <c r="F49" i="14"/>
  <c r="F9" i="14"/>
  <c r="H10" i="9" l="1"/>
  <c r="D59" i="7" l="1"/>
  <c r="D56" i="7"/>
  <c r="D33" i="3" l="1"/>
  <c r="D21" i="3"/>
  <c r="F42" i="10" l="1"/>
  <c r="C11" i="9"/>
  <c r="C14" i="9" s="1"/>
  <c r="C65" i="19" l="1"/>
  <c r="D22" i="5" l="1"/>
  <c r="D17" i="5"/>
  <c r="D9" i="5"/>
  <c r="M64" i="18" l="1"/>
  <c r="M61" i="18"/>
  <c r="M59" i="18"/>
  <c r="M56" i="18"/>
  <c r="M53" i="18"/>
  <c r="M51" i="18"/>
  <c r="M49" i="18"/>
  <c r="M46" i="18"/>
  <c r="M43" i="18"/>
  <c r="M40" i="18"/>
  <c r="M38" i="18"/>
  <c r="M36" i="18"/>
  <c r="M33" i="18"/>
  <c r="M30" i="18"/>
  <c r="M28" i="18"/>
  <c r="M24" i="18"/>
  <c r="M22" i="18"/>
  <c r="M19" i="18"/>
  <c r="M16" i="18"/>
  <c r="M13" i="18"/>
  <c r="M10" i="18"/>
  <c r="M7" i="18"/>
  <c r="L65" i="18"/>
  <c r="L64" i="18"/>
  <c r="L62" i="18"/>
  <c r="L61" i="18"/>
  <c r="L59" i="18"/>
  <c r="L56" i="18"/>
  <c r="L53" i="18"/>
  <c r="L51" i="18"/>
  <c r="L49" i="18"/>
  <c r="L46" i="18"/>
  <c r="L43" i="18"/>
  <c r="L40" i="18"/>
  <c r="L38" i="18"/>
  <c r="L36" i="18"/>
  <c r="L33" i="18"/>
  <c r="L30" i="18"/>
  <c r="L28" i="18"/>
  <c r="L24" i="18"/>
  <c r="L22" i="18"/>
  <c r="L20" i="18"/>
  <c r="L19" i="18"/>
  <c r="L17" i="18"/>
  <c r="L16" i="18"/>
  <c r="L13" i="18"/>
  <c r="L11" i="18"/>
  <c r="L10" i="18"/>
  <c r="L8" i="18"/>
  <c r="L7" i="18"/>
  <c r="G64" i="18"/>
  <c r="G61" i="18"/>
  <c r="G59" i="18"/>
  <c r="G56" i="18"/>
  <c r="G53" i="18"/>
  <c r="G51" i="18"/>
  <c r="G49" i="18"/>
  <c r="G46" i="18"/>
  <c r="G43" i="18"/>
  <c r="G40" i="18"/>
  <c r="G38" i="18"/>
  <c r="G36" i="18"/>
  <c r="G33" i="18"/>
  <c r="G30" i="18"/>
  <c r="G28" i="18"/>
  <c r="G24" i="18"/>
  <c r="G22" i="18"/>
  <c r="G19" i="18"/>
  <c r="G16" i="18"/>
  <c r="G13" i="18"/>
  <c r="G10" i="18"/>
  <c r="G7" i="18"/>
  <c r="F36" i="18"/>
  <c r="F65" i="18"/>
  <c r="F64" i="18"/>
  <c r="F62" i="18"/>
  <c r="F61" i="18"/>
  <c r="F59" i="18"/>
  <c r="F56" i="18"/>
  <c r="F53" i="18"/>
  <c r="F51" i="18"/>
  <c r="F49" i="18"/>
  <c r="F46" i="18"/>
  <c r="F43" i="18"/>
  <c r="F40" i="18"/>
  <c r="F38" i="18"/>
  <c r="F33" i="18"/>
  <c r="F30" i="18"/>
  <c r="F28" i="18"/>
  <c r="F24" i="18"/>
  <c r="F22" i="18"/>
  <c r="F20" i="18"/>
  <c r="F19" i="18"/>
  <c r="F17" i="18"/>
  <c r="F16" i="18"/>
  <c r="F13" i="18"/>
  <c r="F11" i="18"/>
  <c r="F10" i="18"/>
  <c r="F8" i="18"/>
  <c r="F7" i="18"/>
  <c r="G64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50" i="15"/>
  <c r="G45" i="15"/>
  <c r="G46" i="15"/>
  <c r="G47" i="15"/>
  <c r="G4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14" i="15"/>
  <c r="G10" i="15"/>
  <c r="G11" i="15"/>
  <c r="G9" i="15"/>
  <c r="E64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50" i="15"/>
  <c r="E45" i="15"/>
  <c r="E46" i="15"/>
  <c r="E47" i="15"/>
  <c r="E4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E10" i="15"/>
  <c r="E11" i="15"/>
  <c r="E9" i="15"/>
  <c r="G6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9" i="7"/>
  <c r="E68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49" i="7"/>
  <c r="G44" i="7"/>
  <c r="G45" i="7"/>
  <c r="G46" i="7"/>
  <c r="G43" i="7"/>
  <c r="E44" i="7"/>
  <c r="E45" i="7"/>
  <c r="E46" i="7"/>
  <c r="E4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G9" i="7"/>
  <c r="G10" i="7"/>
  <c r="G8" i="7"/>
  <c r="E9" i="7"/>
  <c r="E10" i="7"/>
  <c r="E8" i="7"/>
  <c r="I50" i="7" l="1"/>
  <c r="I64" i="7"/>
  <c r="I36" i="15"/>
  <c r="E72" i="5"/>
  <c r="G72" i="5"/>
  <c r="G66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3" i="5"/>
  <c r="G9" i="5"/>
  <c r="G10" i="5"/>
  <c r="G8" i="5"/>
  <c r="E66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49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3" i="5"/>
  <c r="E9" i="5"/>
  <c r="E10" i="5"/>
  <c r="E8" i="5"/>
  <c r="G72" i="3"/>
  <c r="G6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49" i="3"/>
  <c r="G44" i="3"/>
  <c r="G45" i="3"/>
  <c r="G46" i="3"/>
  <c r="G4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3" i="3"/>
  <c r="G9" i="3"/>
  <c r="G10" i="3"/>
  <c r="G8" i="3"/>
  <c r="E72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6" i="3"/>
  <c r="E45" i="3"/>
  <c r="E44" i="3"/>
  <c r="E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" i="3"/>
  <c r="I21" i="5" l="1"/>
  <c r="F21" i="3"/>
  <c r="H33" i="3"/>
  <c r="I33" i="3"/>
  <c r="I21" i="3"/>
  <c r="F41" i="8"/>
  <c r="G41" i="8" s="1"/>
  <c r="C41" i="8"/>
  <c r="D41" i="8" s="1"/>
  <c r="I41" i="8" l="1"/>
  <c r="J41" i="8" s="1"/>
  <c r="F65" i="20"/>
  <c r="C65" i="20"/>
  <c r="G63" i="20"/>
  <c r="D63" i="20"/>
  <c r="G60" i="20"/>
  <c r="D60" i="20"/>
  <c r="G58" i="20"/>
  <c r="D58" i="20"/>
  <c r="G55" i="20"/>
  <c r="D55" i="20"/>
  <c r="G52" i="20"/>
  <c r="D52" i="20"/>
  <c r="G50" i="20"/>
  <c r="D50" i="20"/>
  <c r="G45" i="20"/>
  <c r="D45" i="20"/>
  <c r="G42" i="20"/>
  <c r="D42" i="20"/>
  <c r="G39" i="20"/>
  <c r="D39" i="20"/>
  <c r="G37" i="20"/>
  <c r="D37" i="20"/>
  <c r="G35" i="20"/>
  <c r="D35" i="20"/>
  <c r="G32" i="20"/>
  <c r="D32" i="20"/>
  <c r="G29" i="20"/>
  <c r="D29" i="20"/>
  <c r="G24" i="20"/>
  <c r="D24" i="20"/>
  <c r="G22" i="20"/>
  <c r="D22" i="20"/>
  <c r="G19" i="20"/>
  <c r="D19" i="20"/>
  <c r="G16" i="20"/>
  <c r="D16" i="20"/>
  <c r="D13" i="20"/>
  <c r="G10" i="20"/>
  <c r="G7" i="20"/>
  <c r="D7" i="20"/>
  <c r="F65" i="19"/>
  <c r="G63" i="19"/>
  <c r="D63" i="19"/>
  <c r="G60" i="19"/>
  <c r="D60" i="19"/>
  <c r="G58" i="19"/>
  <c r="D58" i="19"/>
  <c r="G55" i="19"/>
  <c r="D55" i="19"/>
  <c r="G52" i="19"/>
  <c r="D52" i="19"/>
  <c r="G50" i="19"/>
  <c r="D50" i="19"/>
  <c r="G45" i="19"/>
  <c r="D45" i="19"/>
  <c r="G42" i="19"/>
  <c r="G39" i="19"/>
  <c r="G37" i="19"/>
  <c r="D37" i="19"/>
  <c r="G35" i="19"/>
  <c r="D35" i="19"/>
  <c r="G32" i="19"/>
  <c r="D32" i="19"/>
  <c r="G29" i="19"/>
  <c r="D29" i="19"/>
  <c r="G24" i="19"/>
  <c r="D24" i="19"/>
  <c r="G22" i="19"/>
  <c r="D22" i="19"/>
  <c r="G19" i="19"/>
  <c r="D19" i="19"/>
  <c r="G16" i="19"/>
  <c r="D16" i="19"/>
  <c r="G13" i="19"/>
  <c r="D13" i="19"/>
  <c r="G10" i="19"/>
  <c r="D10" i="19"/>
  <c r="G7" i="19"/>
  <c r="D7" i="19"/>
  <c r="J67" i="18"/>
  <c r="I67" i="18"/>
  <c r="D67" i="18"/>
  <c r="C67" i="18"/>
  <c r="F14" i="18"/>
  <c r="J66" i="17"/>
  <c r="I66" i="17"/>
  <c r="C42" i="16"/>
  <c r="F13" i="16"/>
  <c r="C13" i="16"/>
  <c r="F8" i="16"/>
  <c r="C8" i="16"/>
  <c r="D64" i="15"/>
  <c r="D62" i="15"/>
  <c r="F61" i="15"/>
  <c r="D61" i="15"/>
  <c r="D59" i="15"/>
  <c r="D58" i="15"/>
  <c r="D57" i="15"/>
  <c r="D56" i="15"/>
  <c r="D55" i="15"/>
  <c r="D54" i="15"/>
  <c r="H53" i="15"/>
  <c r="D53" i="15"/>
  <c r="D52" i="15"/>
  <c r="D50" i="15"/>
  <c r="C49" i="15"/>
  <c r="B49" i="15"/>
  <c r="D46" i="15"/>
  <c r="D45" i="15"/>
  <c r="D44" i="15"/>
  <c r="C43" i="15"/>
  <c r="B43" i="15"/>
  <c r="D33" i="15"/>
  <c r="D30" i="15"/>
  <c r="D29" i="15"/>
  <c r="D28" i="15"/>
  <c r="D27" i="15"/>
  <c r="D26" i="15"/>
  <c r="D25" i="15"/>
  <c r="D22" i="15"/>
  <c r="D21" i="15"/>
  <c r="D20" i="15"/>
  <c r="D19" i="15"/>
  <c r="H18" i="15"/>
  <c r="D18" i="15"/>
  <c r="D17" i="15"/>
  <c r="D16" i="15"/>
  <c r="D15" i="15"/>
  <c r="D14" i="15"/>
  <c r="C13" i="15"/>
  <c r="B13" i="15"/>
  <c r="D11" i="15"/>
  <c r="D10" i="15"/>
  <c r="D9" i="15"/>
  <c r="C8" i="15"/>
  <c r="B8" i="15"/>
  <c r="C42" i="14"/>
  <c r="B42" i="14"/>
  <c r="C13" i="14"/>
  <c r="B13" i="14"/>
  <c r="G8" i="14"/>
  <c r="C8" i="14"/>
  <c r="B8" i="14"/>
  <c r="G42" i="13"/>
  <c r="D42" i="13"/>
  <c r="E20" i="13"/>
  <c r="J13" i="13"/>
  <c r="G11" i="13"/>
  <c r="G14" i="13" s="1"/>
  <c r="D11" i="13"/>
  <c r="J10" i="13"/>
  <c r="J9" i="13"/>
  <c r="J8" i="13"/>
  <c r="J7" i="13"/>
  <c r="J6" i="13"/>
  <c r="J5" i="13"/>
  <c r="G42" i="12"/>
  <c r="F42" i="12"/>
  <c r="D42" i="12"/>
  <c r="C42" i="12"/>
  <c r="G11" i="12"/>
  <c r="G14" i="12" s="1"/>
  <c r="F11" i="12"/>
  <c r="F14" i="12" s="1"/>
  <c r="C11" i="12"/>
  <c r="C14" i="12" s="1"/>
  <c r="G42" i="11"/>
  <c r="D42" i="11"/>
  <c r="G11" i="11"/>
  <c r="D11" i="11"/>
  <c r="G42" i="10"/>
  <c r="D42" i="10"/>
  <c r="C42" i="10"/>
  <c r="F11" i="10"/>
  <c r="F14" i="10" s="1"/>
  <c r="C11" i="10"/>
  <c r="C14" i="10" s="1"/>
  <c r="G42" i="9"/>
  <c r="D42" i="9"/>
  <c r="H38" i="9"/>
  <c r="E38" i="9"/>
  <c r="H37" i="9"/>
  <c r="E37" i="9"/>
  <c r="H36" i="9"/>
  <c r="E36" i="9"/>
  <c r="H35" i="9"/>
  <c r="E35" i="9"/>
  <c r="H34" i="9"/>
  <c r="E34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J13" i="9"/>
  <c r="H13" i="9"/>
  <c r="E13" i="9"/>
  <c r="G11" i="9"/>
  <c r="I14" i="9"/>
  <c r="D11" i="9"/>
  <c r="D14" i="9" s="1"/>
  <c r="J10" i="9"/>
  <c r="E10" i="9"/>
  <c r="J9" i="9"/>
  <c r="H9" i="9"/>
  <c r="E9" i="9"/>
  <c r="J8" i="9"/>
  <c r="H8" i="9"/>
  <c r="E8" i="9"/>
  <c r="J7" i="9"/>
  <c r="H7" i="9"/>
  <c r="E7" i="9"/>
  <c r="J6" i="9"/>
  <c r="H6" i="9"/>
  <c r="E6" i="9"/>
  <c r="J5" i="9"/>
  <c r="H5" i="9"/>
  <c r="E5" i="9"/>
  <c r="F12" i="8"/>
  <c r="C12" i="8"/>
  <c r="F7" i="8"/>
  <c r="C7" i="8"/>
  <c r="F68" i="7"/>
  <c r="D68" i="7"/>
  <c r="D58" i="7"/>
  <c r="D57" i="7"/>
  <c r="I56" i="7"/>
  <c r="D54" i="7"/>
  <c r="F51" i="7"/>
  <c r="D49" i="7"/>
  <c r="C48" i="7"/>
  <c r="B48" i="7"/>
  <c r="F45" i="7"/>
  <c r="D45" i="7"/>
  <c r="C42" i="7"/>
  <c r="B42" i="7"/>
  <c r="F33" i="7"/>
  <c r="F30" i="7"/>
  <c r="F27" i="7"/>
  <c r="F24" i="7"/>
  <c r="F21" i="7"/>
  <c r="F18" i="7"/>
  <c r="F15" i="7"/>
  <c r="D15" i="7"/>
  <c r="D14" i="7"/>
  <c r="F13" i="7"/>
  <c r="D13" i="7"/>
  <c r="C12" i="7"/>
  <c r="B12" i="7"/>
  <c r="D8" i="7"/>
  <c r="C7" i="7"/>
  <c r="B7" i="7"/>
  <c r="B41" i="6"/>
  <c r="D41" i="6" s="1"/>
  <c r="C12" i="6"/>
  <c r="B12" i="6"/>
  <c r="C7" i="6"/>
  <c r="B7" i="6"/>
  <c r="D72" i="5"/>
  <c r="F66" i="5"/>
  <c r="D66" i="5"/>
  <c r="D61" i="5"/>
  <c r="D59" i="5"/>
  <c r="D58" i="5"/>
  <c r="D57" i="5"/>
  <c r="D49" i="5"/>
  <c r="C48" i="5"/>
  <c r="B48" i="5"/>
  <c r="G46" i="5"/>
  <c r="E46" i="5"/>
  <c r="G45" i="5"/>
  <c r="E45" i="5"/>
  <c r="G44" i="5"/>
  <c r="E44" i="5"/>
  <c r="G43" i="5"/>
  <c r="E43" i="5"/>
  <c r="D43" i="5"/>
  <c r="C42" i="5"/>
  <c r="B42" i="5"/>
  <c r="D18" i="5"/>
  <c r="F16" i="5"/>
  <c r="D16" i="5"/>
  <c r="D14" i="5"/>
  <c r="C12" i="5"/>
  <c r="B12" i="5"/>
  <c r="F10" i="5"/>
  <c r="D8" i="5"/>
  <c r="C7" i="5"/>
  <c r="B7" i="5"/>
  <c r="C12" i="4"/>
  <c r="B12" i="4"/>
  <c r="C7" i="4"/>
  <c r="B7" i="4"/>
  <c r="D72" i="3"/>
  <c r="D67" i="3"/>
  <c r="D65" i="3"/>
  <c r="F64" i="3"/>
  <c r="D64" i="3"/>
  <c r="D63" i="3"/>
  <c r="F62" i="3"/>
  <c r="D62" i="3"/>
  <c r="D61" i="3"/>
  <c r="F60" i="3"/>
  <c r="D60" i="3"/>
  <c r="D59" i="3"/>
  <c r="F58" i="3"/>
  <c r="D58" i="3"/>
  <c r="D57" i="3"/>
  <c r="F56" i="3"/>
  <c r="D56" i="3"/>
  <c r="D55" i="3"/>
  <c r="F54" i="3"/>
  <c r="D54" i="3"/>
  <c r="D53" i="3"/>
  <c r="F52" i="3"/>
  <c r="D52" i="3"/>
  <c r="D51" i="3"/>
  <c r="F50" i="3"/>
  <c r="D50" i="3"/>
  <c r="D49" i="3"/>
  <c r="C48" i="3"/>
  <c r="B48" i="3"/>
  <c r="F45" i="3"/>
  <c r="D45" i="3"/>
  <c r="F44" i="3"/>
  <c r="D44" i="3"/>
  <c r="F43" i="3"/>
  <c r="D43" i="3"/>
  <c r="C42" i="3"/>
  <c r="B42" i="3"/>
  <c r="D40" i="3"/>
  <c r="D39" i="3"/>
  <c r="D38" i="3"/>
  <c r="F37" i="3"/>
  <c r="D37" i="3"/>
  <c r="D36" i="3"/>
  <c r="D35" i="3"/>
  <c r="D34" i="3"/>
  <c r="D32" i="3"/>
  <c r="D31" i="3"/>
  <c r="D30" i="3"/>
  <c r="D29" i="3"/>
  <c r="D28" i="3"/>
  <c r="F27" i="3"/>
  <c r="D27" i="3"/>
  <c r="D26" i="3"/>
  <c r="D25" i="3"/>
  <c r="D24" i="3"/>
  <c r="F23" i="3"/>
  <c r="D22" i="3"/>
  <c r="F20" i="3"/>
  <c r="D20" i="3"/>
  <c r="D19" i="3"/>
  <c r="F18" i="3"/>
  <c r="D18" i="3"/>
  <c r="D17" i="3"/>
  <c r="F16" i="3"/>
  <c r="D16" i="3"/>
  <c r="D15" i="3"/>
  <c r="F14" i="3"/>
  <c r="D14" i="3"/>
  <c r="D13" i="3"/>
  <c r="C12" i="3"/>
  <c r="B12" i="3"/>
  <c r="H10" i="3"/>
  <c r="D10" i="3"/>
  <c r="D9" i="3"/>
  <c r="D8" i="3"/>
  <c r="C7" i="3"/>
  <c r="B7" i="3"/>
  <c r="F41" i="2"/>
  <c r="F12" i="2"/>
  <c r="C7" i="2"/>
  <c r="F67" i="1"/>
  <c r="D67" i="1"/>
  <c r="F56" i="1"/>
  <c r="C41" i="1"/>
  <c r="B41" i="1"/>
  <c r="F22" i="1"/>
  <c r="B12" i="1"/>
  <c r="D12" i="1" s="1"/>
  <c r="C7" i="1"/>
  <c r="B7" i="1"/>
  <c r="D7" i="6" l="1"/>
  <c r="C63" i="16"/>
  <c r="J11" i="11"/>
  <c r="G14" i="11"/>
  <c r="D42" i="14"/>
  <c r="D7" i="1"/>
  <c r="D7" i="4"/>
  <c r="D12" i="6"/>
  <c r="D8" i="14"/>
  <c r="D12" i="4"/>
  <c r="D13" i="14"/>
  <c r="D41" i="1"/>
  <c r="I13" i="16"/>
  <c r="I7" i="8"/>
  <c r="I12" i="8"/>
  <c r="I8" i="16"/>
  <c r="I42" i="16"/>
  <c r="B66" i="1"/>
  <c r="B63" i="14"/>
  <c r="B67" i="6"/>
  <c r="B64" i="4"/>
  <c r="D13" i="15"/>
  <c r="H42" i="9"/>
  <c r="D42" i="7"/>
  <c r="D42" i="5"/>
  <c r="D42" i="3"/>
  <c r="D48" i="3"/>
  <c r="B66" i="3"/>
  <c r="F67" i="18"/>
  <c r="D8" i="15"/>
  <c r="C63" i="15"/>
  <c r="B63" i="15"/>
  <c r="D43" i="15"/>
  <c r="J11" i="13"/>
  <c r="J11" i="9"/>
  <c r="D12" i="7"/>
  <c r="D7" i="7"/>
  <c r="D12" i="3"/>
  <c r="F63" i="16"/>
  <c r="C63" i="14"/>
  <c r="E42" i="9"/>
  <c r="E11" i="9"/>
  <c r="F36" i="7"/>
  <c r="F39" i="7"/>
  <c r="H59" i="7"/>
  <c r="H62" i="7"/>
  <c r="D48" i="7"/>
  <c r="I54" i="7"/>
  <c r="B67" i="7"/>
  <c r="C67" i="7"/>
  <c r="C67" i="6"/>
  <c r="C64" i="4"/>
  <c r="D48" i="5"/>
  <c r="C65" i="5"/>
  <c r="I43" i="5"/>
  <c r="D7" i="5"/>
  <c r="B65" i="5"/>
  <c r="F17" i="3"/>
  <c r="F34" i="3"/>
  <c r="F36" i="3"/>
  <c r="F38" i="3"/>
  <c r="F40" i="3"/>
  <c r="F26" i="3"/>
  <c r="F32" i="3"/>
  <c r="H36" i="3"/>
  <c r="F49" i="3"/>
  <c r="F51" i="3"/>
  <c r="F53" i="3"/>
  <c r="F55" i="3"/>
  <c r="F57" i="3"/>
  <c r="F59" i="3"/>
  <c r="F61" i="3"/>
  <c r="F63" i="3"/>
  <c r="F65" i="3"/>
  <c r="H16" i="3"/>
  <c r="H20" i="3"/>
  <c r="C66" i="3"/>
  <c r="C66" i="1"/>
  <c r="I18" i="3"/>
  <c r="H22" i="5"/>
  <c r="H56" i="5"/>
  <c r="I33" i="15"/>
  <c r="I45" i="15"/>
  <c r="I9" i="13"/>
  <c r="K9" i="13" s="1"/>
  <c r="H30" i="5"/>
  <c r="H33" i="5"/>
  <c r="H39" i="5"/>
  <c r="H9" i="1"/>
  <c r="H23" i="3"/>
  <c r="H37" i="3"/>
  <c r="H46" i="3"/>
  <c r="I53" i="3"/>
  <c r="I59" i="3"/>
  <c r="I61" i="3"/>
  <c r="I65" i="3"/>
  <c r="F19" i="5"/>
  <c r="F22" i="5"/>
  <c r="F52" i="5"/>
  <c r="F10" i="7"/>
  <c r="F43" i="7"/>
  <c r="F59" i="7"/>
  <c r="I15" i="3"/>
  <c r="H21" i="3"/>
  <c r="H39" i="3"/>
  <c r="F17" i="5"/>
  <c r="F16" i="7"/>
  <c r="F19" i="7"/>
  <c r="F22" i="7"/>
  <c r="F25" i="7"/>
  <c r="F28" i="7"/>
  <c r="F31" i="7"/>
  <c r="F34" i="7"/>
  <c r="F37" i="7"/>
  <c r="F40" i="7"/>
  <c r="F46" i="7"/>
  <c r="F9" i="15"/>
  <c r="H15" i="3"/>
  <c r="F26" i="5"/>
  <c r="F29" i="5"/>
  <c r="F35" i="5"/>
  <c r="F38" i="5"/>
  <c r="F50" i="5"/>
  <c r="F56" i="5"/>
  <c r="F63" i="5"/>
  <c r="F8" i="7"/>
  <c r="F14" i="7"/>
  <c r="F44" i="7"/>
  <c r="F60" i="7"/>
  <c r="I11" i="15"/>
  <c r="I27" i="15"/>
  <c r="F37" i="15"/>
  <c r="F40" i="15"/>
  <c r="F60" i="15"/>
  <c r="F17" i="7"/>
  <c r="F20" i="7"/>
  <c r="F23" i="7"/>
  <c r="F26" i="7"/>
  <c r="F29" i="7"/>
  <c r="F32" i="7"/>
  <c r="F35" i="7"/>
  <c r="F38" i="7"/>
  <c r="F32" i="15"/>
  <c r="E43" i="15"/>
  <c r="F43" i="15" s="1"/>
  <c r="H8" i="1"/>
  <c r="F13" i="5"/>
  <c r="H22" i="3"/>
  <c r="H38" i="3"/>
  <c r="F21" i="5"/>
  <c r="F24" i="5"/>
  <c r="F27" i="5"/>
  <c r="F33" i="5"/>
  <c r="F36" i="5"/>
  <c r="F45" i="5"/>
  <c r="F61" i="5"/>
  <c r="F9" i="7"/>
  <c r="F56" i="7"/>
  <c r="I46" i="15"/>
  <c r="I14" i="3"/>
  <c r="E7" i="6"/>
  <c r="I58" i="15"/>
  <c r="I13" i="3"/>
  <c r="I20" i="3"/>
  <c r="I35" i="3"/>
  <c r="H54" i="7"/>
  <c r="I26" i="15"/>
  <c r="I49" i="7"/>
  <c r="I57" i="7"/>
  <c r="H65" i="7"/>
  <c r="H25" i="15"/>
  <c r="I9" i="5"/>
  <c r="H28" i="5"/>
  <c r="H53" i="5"/>
  <c r="H66" i="5"/>
  <c r="H10" i="1"/>
  <c r="F30" i="1"/>
  <c r="H57" i="1"/>
  <c r="I36" i="3"/>
  <c r="I40" i="3"/>
  <c r="H7" i="4"/>
  <c r="E7" i="5"/>
  <c r="F7" i="5" s="1"/>
  <c r="H40" i="5"/>
  <c r="H46" i="5"/>
  <c r="I49" i="5"/>
  <c r="H61" i="5"/>
  <c r="H23" i="15"/>
  <c r="H36" i="15"/>
  <c r="I17" i="3"/>
  <c r="I27" i="3"/>
  <c r="H20" i="5"/>
  <c r="H22" i="15"/>
  <c r="F14" i="1"/>
  <c r="F48" i="1"/>
  <c r="F17" i="1"/>
  <c r="F19" i="1"/>
  <c r="H21" i="1"/>
  <c r="F35" i="1"/>
  <c r="I8" i="5"/>
  <c r="H24" i="5"/>
  <c r="H35" i="5"/>
  <c r="H49" i="5"/>
  <c r="I14" i="7"/>
  <c r="F50" i="7"/>
  <c r="F53" i="7"/>
  <c r="F55" i="7"/>
  <c r="F57" i="7"/>
  <c r="I59" i="7"/>
  <c r="F62" i="7"/>
  <c r="F65" i="7"/>
  <c r="H47" i="15"/>
  <c r="I55" i="15"/>
  <c r="F11" i="15"/>
  <c r="H14" i="3"/>
  <c r="I44" i="15"/>
  <c r="E7" i="1"/>
  <c r="F15" i="1"/>
  <c r="F16" i="1"/>
  <c r="F18" i="1"/>
  <c r="F50" i="1"/>
  <c r="B41" i="2"/>
  <c r="H13" i="5"/>
  <c r="H31" i="5"/>
  <c r="H45" i="5"/>
  <c r="H13" i="7"/>
  <c r="I15" i="7"/>
  <c r="F54" i="7"/>
  <c r="I5" i="13"/>
  <c r="K5" i="13" s="1"/>
  <c r="H35" i="15"/>
  <c r="H59" i="15"/>
  <c r="I19" i="3"/>
  <c r="H15" i="5"/>
  <c r="F13" i="1"/>
  <c r="H23" i="1"/>
  <c r="H29" i="1"/>
  <c r="F55" i="1"/>
  <c r="F57" i="1"/>
  <c r="F8" i="4"/>
  <c r="H10" i="5"/>
  <c r="I18" i="5"/>
  <c r="H26" i="5"/>
  <c r="H37" i="5"/>
  <c r="H54" i="5"/>
  <c r="H63" i="5"/>
  <c r="H43" i="7"/>
  <c r="F49" i="7"/>
  <c r="F52" i="7"/>
  <c r="F61" i="7"/>
  <c r="F64" i="7"/>
  <c r="H15" i="15"/>
  <c r="I19" i="15"/>
  <c r="I25" i="15"/>
  <c r="I28" i="15"/>
  <c r="H54" i="15"/>
  <c r="H56" i="15"/>
  <c r="F20" i="1"/>
  <c r="F24" i="1"/>
  <c r="F26" i="1"/>
  <c r="F29" i="1"/>
  <c r="F38" i="1"/>
  <c r="H13" i="3"/>
  <c r="H19" i="3"/>
  <c r="I28" i="3"/>
  <c r="I30" i="3"/>
  <c r="H35" i="3"/>
  <c r="I39" i="3"/>
  <c r="I22" i="5"/>
  <c r="I13" i="7"/>
  <c r="D14" i="11"/>
  <c r="I13" i="13"/>
  <c r="K13" i="13" s="1"/>
  <c r="H20" i="15"/>
  <c r="I22" i="15"/>
  <c r="F24" i="15"/>
  <c r="H28" i="15"/>
  <c r="F33" i="15"/>
  <c r="F36" i="15"/>
  <c r="H38" i="15"/>
  <c r="H41" i="15"/>
  <c r="H44" i="15"/>
  <c r="H51" i="15"/>
  <c r="H58" i="15"/>
  <c r="H64" i="15"/>
  <c r="G12" i="1"/>
  <c r="H12" i="1" s="1"/>
  <c r="F31" i="1"/>
  <c r="F61" i="1"/>
  <c r="F63" i="1"/>
  <c r="F65" i="1"/>
  <c r="I67" i="2"/>
  <c r="H18" i="3"/>
  <c r="I25" i="3"/>
  <c r="I34" i="3"/>
  <c r="I55" i="3"/>
  <c r="I9" i="15"/>
  <c r="H17" i="15"/>
  <c r="H24" i="15"/>
  <c r="H27" i="15"/>
  <c r="F39" i="15"/>
  <c r="H60" i="15"/>
  <c r="F62" i="15"/>
  <c r="F23" i="1"/>
  <c r="H26" i="1"/>
  <c r="F28" i="1"/>
  <c r="F36" i="1"/>
  <c r="F51" i="1"/>
  <c r="F53" i="1"/>
  <c r="B12" i="2"/>
  <c r="H17" i="3"/>
  <c r="H34" i="3"/>
  <c r="I38" i="3"/>
  <c r="E41" i="4"/>
  <c r="H14" i="15"/>
  <c r="I16" i="15"/>
  <c r="I21" i="15"/>
  <c r="I29" i="15"/>
  <c r="H31" i="15"/>
  <c r="F34" i="15"/>
  <c r="H39" i="15"/>
  <c r="H46" i="15"/>
  <c r="I52" i="15"/>
  <c r="H55" i="15"/>
  <c r="I62" i="15"/>
  <c r="G66" i="17"/>
  <c r="F25" i="1"/>
  <c r="F32" i="1"/>
  <c r="G41" i="1"/>
  <c r="H41" i="1" s="1"/>
  <c r="I37" i="3"/>
  <c r="F35" i="3"/>
  <c r="I14" i="5"/>
  <c r="I16" i="5"/>
  <c r="F43" i="5"/>
  <c r="I18" i="15"/>
  <c r="H19" i="15"/>
  <c r="H26" i="15"/>
  <c r="H29" i="15"/>
  <c r="H34" i="15"/>
  <c r="H57" i="15"/>
  <c r="G7" i="1"/>
  <c r="H7" i="1" s="1"/>
  <c r="F27" i="1"/>
  <c r="F37" i="1"/>
  <c r="F39" i="1"/>
  <c r="F52" i="1"/>
  <c r="F58" i="1"/>
  <c r="F60" i="1"/>
  <c r="F62" i="1"/>
  <c r="B7" i="2"/>
  <c r="D7" i="2" s="1"/>
  <c r="E7" i="3"/>
  <c r="F7" i="3" s="1"/>
  <c r="I16" i="3"/>
  <c r="I24" i="3"/>
  <c r="I50" i="3"/>
  <c r="I56" i="3"/>
  <c r="I62" i="3"/>
  <c r="I15" i="15"/>
  <c r="H16" i="15"/>
  <c r="H21" i="15"/>
  <c r="H32" i="15"/>
  <c r="H37" i="15"/>
  <c r="H40" i="15"/>
  <c r="H45" i="15"/>
  <c r="H52" i="15"/>
  <c r="I64" i="15"/>
  <c r="H53" i="1"/>
  <c r="H54" i="1"/>
  <c r="H25" i="1"/>
  <c r="H31" i="1"/>
  <c r="H56" i="1"/>
  <c r="F47" i="1"/>
  <c r="H67" i="1"/>
  <c r="C12" i="2"/>
  <c r="I9" i="3"/>
  <c r="H9" i="3"/>
  <c r="F15" i="3"/>
  <c r="F30" i="3"/>
  <c r="I30" i="15"/>
  <c r="H30" i="15"/>
  <c r="H13" i="1"/>
  <c r="H48" i="1"/>
  <c r="H19" i="1"/>
  <c r="H24" i="1"/>
  <c r="I67" i="1"/>
  <c r="F67" i="3"/>
  <c r="F31" i="3"/>
  <c r="F28" i="3"/>
  <c r="F25" i="3"/>
  <c r="H53" i="14"/>
  <c r="E41" i="2"/>
  <c r="G41" i="2" s="1"/>
  <c r="I49" i="3"/>
  <c r="G48" i="3"/>
  <c r="H48" i="3" s="1"/>
  <c r="H14" i="1"/>
  <c r="H15" i="1"/>
  <c r="H16" i="1"/>
  <c r="H17" i="1"/>
  <c r="H18" i="1"/>
  <c r="H30" i="1"/>
  <c r="E41" i="1"/>
  <c r="F42" i="1"/>
  <c r="H55" i="1"/>
  <c r="F13" i="3"/>
  <c r="F19" i="3"/>
  <c r="F24" i="3"/>
  <c r="F29" i="3"/>
  <c r="F39" i="3"/>
  <c r="I43" i="3"/>
  <c r="H40" i="3"/>
  <c r="I45" i="3"/>
  <c r="E48" i="3"/>
  <c r="F48" i="3" s="1"/>
  <c r="I52" i="3"/>
  <c r="I58" i="3"/>
  <c r="I64" i="3"/>
  <c r="G7" i="6"/>
  <c r="H28" i="1"/>
  <c r="H52" i="1"/>
  <c r="I8" i="3"/>
  <c r="G7" i="3"/>
  <c r="H8" i="3"/>
  <c r="G41" i="4"/>
  <c r="H20" i="1"/>
  <c r="H27" i="1"/>
  <c r="F54" i="1"/>
  <c r="I58" i="5"/>
  <c r="F58" i="5"/>
  <c r="F10" i="3"/>
  <c r="I26" i="3"/>
  <c r="I29" i="3"/>
  <c r="I32" i="3"/>
  <c r="F46" i="3"/>
  <c r="I67" i="3"/>
  <c r="F9" i="5"/>
  <c r="I17" i="5"/>
  <c r="F25" i="5"/>
  <c r="H29" i="5"/>
  <c r="F34" i="5"/>
  <c r="H38" i="5"/>
  <c r="H43" i="5"/>
  <c r="F46" i="5"/>
  <c r="H52" i="5"/>
  <c r="F60" i="5"/>
  <c r="H51" i="14"/>
  <c r="H62" i="14"/>
  <c r="F64" i="1"/>
  <c r="I10" i="3"/>
  <c r="F33" i="3"/>
  <c r="I44" i="3"/>
  <c r="I51" i="3"/>
  <c r="I54" i="3"/>
  <c r="I57" i="3"/>
  <c r="I60" i="3"/>
  <c r="I63" i="3"/>
  <c r="H67" i="3"/>
  <c r="H19" i="5"/>
  <c r="F23" i="5"/>
  <c r="H25" i="5"/>
  <c r="H27" i="5"/>
  <c r="F30" i="5"/>
  <c r="F32" i="5"/>
  <c r="H34" i="5"/>
  <c r="H36" i="5"/>
  <c r="F39" i="5"/>
  <c r="F44" i="5"/>
  <c r="H50" i="5"/>
  <c r="F53" i="5"/>
  <c r="F55" i="5"/>
  <c r="I57" i="5"/>
  <c r="H60" i="5"/>
  <c r="F62" i="5"/>
  <c r="I45" i="7"/>
  <c r="H45" i="7"/>
  <c r="I68" i="7"/>
  <c r="H49" i="7"/>
  <c r="H8" i="7"/>
  <c r="H15" i="7"/>
  <c r="H14" i="7"/>
  <c r="I7" i="13"/>
  <c r="K7" i="13" s="1"/>
  <c r="H7" i="13"/>
  <c r="E13" i="14"/>
  <c r="H58" i="1"/>
  <c r="F9" i="3"/>
  <c r="E12" i="3"/>
  <c r="F12" i="3" s="1"/>
  <c r="I31" i="3"/>
  <c r="H9" i="5"/>
  <c r="H14" i="5"/>
  <c r="F18" i="5"/>
  <c r="H23" i="5"/>
  <c r="F28" i="5"/>
  <c r="H32" i="5"/>
  <c r="F37" i="5"/>
  <c r="H44" i="5"/>
  <c r="F51" i="5"/>
  <c r="H55" i="5"/>
  <c r="F57" i="5"/>
  <c r="H62" i="5"/>
  <c r="I72" i="5"/>
  <c r="F58" i="7"/>
  <c r="I58" i="7"/>
  <c r="H61" i="14"/>
  <c r="G8" i="15"/>
  <c r="H8" i="15" s="1"/>
  <c r="E8" i="15"/>
  <c r="F8" i="15" s="1"/>
  <c r="F10" i="15"/>
  <c r="B8" i="16"/>
  <c r="D8" i="16" s="1"/>
  <c r="B13" i="16"/>
  <c r="D13" i="16" s="1"/>
  <c r="E42" i="16"/>
  <c r="G42" i="16" s="1"/>
  <c r="E12" i="5"/>
  <c r="F12" i="5" s="1"/>
  <c r="I59" i="5"/>
  <c r="I50" i="15"/>
  <c r="H50" i="15"/>
  <c r="F8" i="3"/>
  <c r="I72" i="3"/>
  <c r="E12" i="4"/>
  <c r="F47" i="4"/>
  <c r="F8" i="5"/>
  <c r="F31" i="5"/>
  <c r="F40" i="5"/>
  <c r="F54" i="5"/>
  <c r="F59" i="5"/>
  <c r="I61" i="5"/>
  <c r="H59" i="5"/>
  <c r="G12" i="6"/>
  <c r="H12" i="6" s="1"/>
  <c r="H56" i="14"/>
  <c r="H50" i="14"/>
  <c r="H9" i="7"/>
  <c r="H16" i="7"/>
  <c r="H19" i="7"/>
  <c r="H22" i="7"/>
  <c r="H25" i="7"/>
  <c r="H28" i="7"/>
  <c r="H31" i="7"/>
  <c r="H34" i="7"/>
  <c r="H37" i="7"/>
  <c r="H40" i="7"/>
  <c r="H50" i="7"/>
  <c r="H53" i="7"/>
  <c r="H58" i="7"/>
  <c r="F63" i="7"/>
  <c r="F66" i="7"/>
  <c r="C11" i="13"/>
  <c r="E11" i="13" s="1"/>
  <c r="I10" i="13"/>
  <c r="K10" i="13" s="1"/>
  <c r="E42" i="14"/>
  <c r="I61" i="15"/>
  <c r="E8" i="16"/>
  <c r="G8" i="16" s="1"/>
  <c r="E13" i="16"/>
  <c r="G13" i="16" s="1"/>
  <c r="M66" i="17"/>
  <c r="L66" i="17"/>
  <c r="G67" i="18"/>
  <c r="H47" i="6"/>
  <c r="H44" i="7"/>
  <c r="H60" i="7"/>
  <c r="H63" i="7"/>
  <c r="H66" i="7"/>
  <c r="B41" i="8"/>
  <c r="H41" i="8" s="1"/>
  <c r="F11" i="11"/>
  <c r="H11" i="11" s="1"/>
  <c r="I6" i="13"/>
  <c r="K6" i="13" s="1"/>
  <c r="D14" i="13"/>
  <c r="G42" i="14"/>
  <c r="H42" i="14" s="1"/>
  <c r="H55" i="14"/>
  <c r="H60" i="14"/>
  <c r="I10" i="15"/>
  <c r="I54" i="15"/>
  <c r="I57" i="15"/>
  <c r="G41" i="6"/>
  <c r="H41" i="6" s="1"/>
  <c r="H10" i="7"/>
  <c r="H17" i="7"/>
  <c r="H20" i="7"/>
  <c r="H23" i="7"/>
  <c r="H26" i="7"/>
  <c r="H29" i="7"/>
  <c r="H32" i="7"/>
  <c r="H35" i="7"/>
  <c r="H38" i="7"/>
  <c r="H46" i="7"/>
  <c r="H51" i="7"/>
  <c r="H55" i="7"/>
  <c r="H57" i="7"/>
  <c r="B7" i="8"/>
  <c r="D7" i="8" s="1"/>
  <c r="M67" i="18"/>
  <c r="I8" i="7"/>
  <c r="H61" i="7"/>
  <c r="H64" i="7"/>
  <c r="E7" i="8"/>
  <c r="G7" i="8" s="1"/>
  <c r="B12" i="8"/>
  <c r="D12" i="8" s="1"/>
  <c r="E41" i="8"/>
  <c r="E11" i="11"/>
  <c r="I8" i="13"/>
  <c r="K8" i="13" s="1"/>
  <c r="E8" i="14"/>
  <c r="H52" i="14"/>
  <c r="H54" i="14"/>
  <c r="E13" i="15"/>
  <c r="F13" i="15" s="1"/>
  <c r="I53" i="15"/>
  <c r="I56" i="15"/>
  <c r="I59" i="15"/>
  <c r="F66" i="17"/>
  <c r="L67" i="18"/>
  <c r="E65" i="20"/>
  <c r="G65" i="20" s="1"/>
  <c r="H18" i="7"/>
  <c r="H21" i="7"/>
  <c r="H24" i="7"/>
  <c r="H27" i="7"/>
  <c r="H30" i="7"/>
  <c r="H33" i="7"/>
  <c r="H36" i="7"/>
  <c r="H39" i="7"/>
  <c r="H52" i="7"/>
  <c r="H56" i="7"/>
  <c r="E12" i="8"/>
  <c r="G12" i="8" s="1"/>
  <c r="G13" i="14"/>
  <c r="I14" i="15"/>
  <c r="I17" i="15"/>
  <c r="I20" i="15"/>
  <c r="B65" i="20"/>
  <c r="D65" i="20" s="1"/>
  <c r="D10" i="20"/>
  <c r="G13" i="20"/>
  <c r="B65" i="19"/>
  <c r="D65" i="19" s="1"/>
  <c r="E65" i="19"/>
  <c r="G65" i="19" s="1"/>
  <c r="B42" i="16"/>
  <c r="D42" i="16" s="1"/>
  <c r="H9" i="15"/>
  <c r="H10" i="15"/>
  <c r="H11" i="15"/>
  <c r="F14" i="15"/>
  <c r="F15" i="15"/>
  <c r="F16" i="15"/>
  <c r="F17" i="15"/>
  <c r="F18" i="15"/>
  <c r="F19" i="15"/>
  <c r="F20" i="15"/>
  <c r="F21" i="15"/>
  <c r="F22" i="15"/>
  <c r="H33" i="15"/>
  <c r="D49" i="15"/>
  <c r="F52" i="15"/>
  <c r="F53" i="15"/>
  <c r="F54" i="15"/>
  <c r="F55" i="15"/>
  <c r="F56" i="15"/>
  <c r="F57" i="15"/>
  <c r="F58" i="15"/>
  <c r="F59" i="15"/>
  <c r="H61" i="15"/>
  <c r="H62" i="15"/>
  <c r="F64" i="15"/>
  <c r="F23" i="15"/>
  <c r="G13" i="15"/>
  <c r="F31" i="15"/>
  <c r="F35" i="15"/>
  <c r="F38" i="15"/>
  <c r="F41" i="15"/>
  <c r="F47" i="15"/>
  <c r="E49" i="15"/>
  <c r="F49" i="15" s="1"/>
  <c r="F51" i="15"/>
  <c r="F25" i="15"/>
  <c r="F26" i="15"/>
  <c r="F27" i="15"/>
  <c r="F28" i="15"/>
  <c r="F29" i="15"/>
  <c r="F30" i="15"/>
  <c r="F44" i="15"/>
  <c r="F45" i="15"/>
  <c r="F46" i="15"/>
  <c r="F50" i="15"/>
  <c r="G43" i="15"/>
  <c r="G49" i="15"/>
  <c r="H8" i="14"/>
  <c r="H57" i="14"/>
  <c r="H58" i="14"/>
  <c r="H59" i="14"/>
  <c r="C42" i="13"/>
  <c r="E42" i="13" s="1"/>
  <c r="F42" i="13"/>
  <c r="H42" i="13" s="1"/>
  <c r="F11" i="13"/>
  <c r="H11" i="13" s="1"/>
  <c r="C42" i="11"/>
  <c r="E42" i="11" s="1"/>
  <c r="F42" i="11"/>
  <c r="H42" i="11" s="1"/>
  <c r="G14" i="9"/>
  <c r="J14" i="9" s="1"/>
  <c r="H11" i="9"/>
  <c r="I11" i="9"/>
  <c r="E14" i="9"/>
  <c r="F67" i="8"/>
  <c r="C67" i="8"/>
  <c r="E7" i="7"/>
  <c r="F7" i="7" s="1"/>
  <c r="G12" i="7"/>
  <c r="G42" i="7"/>
  <c r="E48" i="7"/>
  <c r="G7" i="7"/>
  <c r="G48" i="7"/>
  <c r="H68" i="7"/>
  <c r="E12" i="7"/>
  <c r="F12" i="7" s="1"/>
  <c r="E42" i="7"/>
  <c r="F42" i="7" s="1"/>
  <c r="E41" i="6"/>
  <c r="I41" i="6" s="1"/>
  <c r="F47" i="6"/>
  <c r="E12" i="6"/>
  <c r="G7" i="5"/>
  <c r="H8" i="5"/>
  <c r="F15" i="5"/>
  <c r="H17" i="5"/>
  <c r="H18" i="5"/>
  <c r="G42" i="5"/>
  <c r="H51" i="5"/>
  <c r="I66" i="5"/>
  <c r="D12" i="5"/>
  <c r="F14" i="5"/>
  <c r="H16" i="5"/>
  <c r="F20" i="5"/>
  <c r="H21" i="5"/>
  <c r="F49" i="5"/>
  <c r="H57" i="5"/>
  <c r="H58" i="5"/>
  <c r="G12" i="5"/>
  <c r="E42" i="5"/>
  <c r="F42" i="5" s="1"/>
  <c r="E7" i="4"/>
  <c r="I7" i="4" s="1"/>
  <c r="G12" i="4"/>
  <c r="G12" i="3"/>
  <c r="I22" i="3"/>
  <c r="E42" i="3"/>
  <c r="D7" i="3"/>
  <c r="G42" i="3"/>
  <c r="F22" i="3"/>
  <c r="H24" i="3"/>
  <c r="H25" i="3"/>
  <c r="H26" i="3"/>
  <c r="H27" i="3"/>
  <c r="H28" i="3"/>
  <c r="H29" i="3"/>
  <c r="H30" i="3"/>
  <c r="H31" i="3"/>
  <c r="H32" i="3"/>
  <c r="H43" i="3"/>
  <c r="H44" i="3"/>
  <c r="H4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E7" i="2"/>
  <c r="E12" i="2"/>
  <c r="G12" i="2" s="1"/>
  <c r="C41" i="2"/>
  <c r="H67" i="2"/>
  <c r="F8" i="1"/>
  <c r="F9" i="1"/>
  <c r="F10" i="1"/>
  <c r="F21" i="1"/>
  <c r="F33" i="1"/>
  <c r="F34" i="1"/>
  <c r="H49" i="1"/>
  <c r="H50" i="1"/>
  <c r="H51" i="1"/>
  <c r="E12" i="1"/>
  <c r="H22" i="1"/>
  <c r="H42" i="1"/>
  <c r="H43" i="1"/>
  <c r="F59" i="1"/>
  <c r="H59" i="1"/>
  <c r="H60" i="1"/>
  <c r="H61" i="1"/>
  <c r="H62" i="1"/>
  <c r="H63" i="1"/>
  <c r="H64" i="1"/>
  <c r="H65" i="1"/>
  <c r="J67" i="2" l="1"/>
  <c r="D66" i="1"/>
  <c r="D12" i="2"/>
  <c r="J14" i="13"/>
  <c r="J14" i="11"/>
  <c r="C14" i="11"/>
  <c r="E14" i="11" s="1"/>
  <c r="I11" i="11"/>
  <c r="K11" i="11" s="1"/>
  <c r="H42" i="16"/>
  <c r="J42" i="16" s="1"/>
  <c r="H12" i="2"/>
  <c r="H12" i="8"/>
  <c r="J12" i="8" s="1"/>
  <c r="H7" i="8"/>
  <c r="J7" i="8" s="1"/>
  <c r="H8" i="16"/>
  <c r="J8" i="16" s="1"/>
  <c r="F7" i="1"/>
  <c r="I7" i="1"/>
  <c r="E64" i="5"/>
  <c r="E48" i="5" s="1"/>
  <c r="F48" i="5" s="1"/>
  <c r="D64" i="4"/>
  <c r="F13" i="14"/>
  <c r="I13" i="14"/>
  <c r="F41" i="1"/>
  <c r="I41" i="1"/>
  <c r="I7" i="6"/>
  <c r="D67" i="6"/>
  <c r="I67" i="8"/>
  <c r="F12" i="1"/>
  <c r="I12" i="1"/>
  <c r="D41" i="2"/>
  <c r="I41" i="2"/>
  <c r="I42" i="14"/>
  <c r="D63" i="14"/>
  <c r="F12" i="6"/>
  <c r="I12" i="6"/>
  <c r="I63" i="16"/>
  <c r="F8" i="14"/>
  <c r="I8" i="14"/>
  <c r="F12" i="4"/>
  <c r="I12" i="4"/>
  <c r="H13" i="16"/>
  <c r="J13" i="16" s="1"/>
  <c r="I12" i="2"/>
  <c r="H7" i="2"/>
  <c r="I41" i="4"/>
  <c r="H41" i="2"/>
  <c r="E67" i="8"/>
  <c r="G67" i="8" s="1"/>
  <c r="G64" i="5"/>
  <c r="G48" i="5" s="1"/>
  <c r="H48" i="5" s="1"/>
  <c r="H41" i="4"/>
  <c r="H13" i="14"/>
  <c r="G63" i="14"/>
  <c r="F42" i="14"/>
  <c r="E63" i="14"/>
  <c r="F7" i="6"/>
  <c r="D63" i="15"/>
  <c r="F41" i="6"/>
  <c r="F41" i="4"/>
  <c r="D66" i="3"/>
  <c r="B66" i="2"/>
  <c r="D67" i="7"/>
  <c r="D65" i="5"/>
  <c r="C14" i="13"/>
  <c r="E14" i="13" s="1"/>
  <c r="E66" i="2"/>
  <c r="F14" i="11"/>
  <c r="H14" i="11" s="1"/>
  <c r="F48" i="14"/>
  <c r="I48" i="3"/>
  <c r="I8" i="15"/>
  <c r="B67" i="8"/>
  <c r="D67" i="8" s="1"/>
  <c r="C66" i="2"/>
  <c r="G66" i="1"/>
  <c r="H66" i="1" s="1"/>
  <c r="G67" i="6"/>
  <c r="H7" i="6"/>
  <c r="I7" i="3"/>
  <c r="H7" i="3"/>
  <c r="B63" i="16"/>
  <c r="D63" i="16" s="1"/>
  <c r="I13" i="15"/>
  <c r="H13" i="15"/>
  <c r="E63" i="15"/>
  <c r="F63" i="15" s="1"/>
  <c r="G63" i="15"/>
  <c r="H49" i="15"/>
  <c r="I49" i="15"/>
  <c r="H43" i="15"/>
  <c r="I43" i="15"/>
  <c r="H48" i="14"/>
  <c r="F14" i="13"/>
  <c r="H14" i="13" s="1"/>
  <c r="I11" i="13"/>
  <c r="K11" i="13" s="1"/>
  <c r="H14" i="9"/>
  <c r="I42" i="7"/>
  <c r="H42" i="7"/>
  <c r="I12" i="7"/>
  <c r="H12" i="7"/>
  <c r="I48" i="7"/>
  <c r="H48" i="7"/>
  <c r="G67" i="7"/>
  <c r="I7" i="7"/>
  <c r="H7" i="7"/>
  <c r="F48" i="7"/>
  <c r="E67" i="7"/>
  <c r="F67" i="7" s="1"/>
  <c r="E67" i="6"/>
  <c r="I7" i="5"/>
  <c r="H7" i="5"/>
  <c r="I12" i="5"/>
  <c r="H12" i="5"/>
  <c r="I42" i="5"/>
  <c r="H42" i="5"/>
  <c r="F7" i="4"/>
  <c r="E64" i="4"/>
  <c r="H12" i="4"/>
  <c r="G64" i="4"/>
  <c r="H47" i="4"/>
  <c r="I42" i="3"/>
  <c r="H42" i="3"/>
  <c r="E66" i="3"/>
  <c r="F66" i="3" s="1"/>
  <c r="F42" i="3"/>
  <c r="I12" i="3"/>
  <c r="H12" i="3"/>
  <c r="G66" i="3"/>
  <c r="E66" i="1"/>
  <c r="J12" i="2" l="1"/>
  <c r="D66" i="2"/>
  <c r="J41" i="2"/>
  <c r="E65" i="5"/>
  <c r="F65" i="5" s="1"/>
  <c r="F64" i="5"/>
  <c r="I66" i="1"/>
  <c r="H66" i="2"/>
  <c r="I63" i="14"/>
  <c r="F67" i="6"/>
  <c r="I67" i="6"/>
  <c r="H67" i="8"/>
  <c r="J67" i="8" s="1"/>
  <c r="F64" i="4"/>
  <c r="I64" i="4"/>
  <c r="I64" i="5"/>
  <c r="H64" i="5"/>
  <c r="H67" i="6"/>
  <c r="H64" i="4"/>
  <c r="F63" i="14"/>
  <c r="G65" i="5"/>
  <c r="H65" i="5" s="1"/>
  <c r="I48" i="5"/>
  <c r="I14" i="11"/>
  <c r="K14" i="11" s="1"/>
  <c r="I63" i="15"/>
  <c r="H63" i="15"/>
  <c r="H63" i="14"/>
  <c r="I14" i="13"/>
  <c r="K14" i="13" s="1"/>
  <c r="I67" i="7"/>
  <c r="H67" i="7"/>
  <c r="H66" i="3"/>
  <c r="I66" i="3"/>
  <c r="F66" i="1"/>
  <c r="I65" i="5" l="1"/>
  <c r="F7" i="2"/>
  <c r="G7" i="2" l="1"/>
  <c r="I7" i="2"/>
  <c r="J7" i="2" s="1"/>
  <c r="F66" i="2"/>
  <c r="G66" i="2" s="1"/>
  <c r="I66" i="2" l="1"/>
  <c r="J66" i="2" s="1"/>
  <c r="E63" i="16"/>
  <c r="G63" i="16" s="1"/>
  <c r="H63" i="16" l="1"/>
  <c r="J63" i="16" s="1"/>
</calcChain>
</file>

<file path=xl/sharedStrings.xml><?xml version="1.0" encoding="utf-8"?>
<sst xmlns="http://schemas.openxmlformats.org/spreadsheetml/2006/main" count="2041" uniqueCount="549">
  <si>
    <t>CCC CODE: 87120010 (Bicycles)</t>
    <phoneticPr fontId="6" type="noConversion"/>
  </si>
  <si>
    <t>平均單價</t>
  </si>
  <si>
    <t>(%)</t>
  </si>
  <si>
    <t>(台)</t>
    <phoneticPr fontId="6" type="noConversion"/>
  </si>
  <si>
    <t>(US$)</t>
  </si>
  <si>
    <t>(台)</t>
  </si>
  <si>
    <t>北美自由貿易區</t>
  </si>
  <si>
    <t>(NAFTA)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</si>
  <si>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</si>
  <si>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</si>
  <si>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</si>
  <si>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</si>
  <si>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</si>
  <si>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</si>
  <si>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</si>
  <si>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</si>
  <si>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</si>
  <si>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</si>
  <si>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</si>
  <si>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  <phoneticPr fontId="6" type="noConversion"/>
  </si>
  <si>
    <t>希  臘</t>
  </si>
  <si>
    <t>愛爾蘭</t>
  </si>
  <si>
    <t>盧森堡</t>
  </si>
  <si>
    <t>奧地利</t>
  </si>
  <si>
    <t>瑞  典</t>
  </si>
  <si>
    <t>芬  蘭</t>
  </si>
  <si>
    <t>匈牙利</t>
    <phoneticPr fontId="6" type="noConversion"/>
  </si>
  <si>
    <t>馬爾他</t>
    <phoneticPr fontId="6" type="noConversion"/>
  </si>
  <si>
    <t>斯洛維尼亞</t>
    <phoneticPr fontId="6" type="noConversion"/>
  </si>
  <si>
    <t>斯洛伐克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</si>
  <si>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</si>
  <si>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</si>
  <si>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</si>
  <si>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</si>
  <si>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</si>
  <si>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</si>
  <si>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</si>
  <si>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</si>
  <si>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</si>
  <si>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</si>
  <si>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</si>
  <si>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</si>
  <si>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</si>
  <si>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</si>
  <si>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</si>
  <si>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</si>
  <si>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</si>
  <si>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</si>
  <si>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6" type="noConversion"/>
  </si>
  <si>
    <t>以色列</t>
  </si>
  <si>
    <t>中國大陸</t>
    <phoneticPr fontId="6" type="noConversion"/>
  </si>
  <si>
    <t>俄羅斯</t>
    <phoneticPr fontId="12" type="noConversion"/>
  </si>
  <si>
    <t>烏克蘭</t>
    <phoneticPr fontId="12" type="noConversion"/>
  </si>
  <si>
    <t>紐西蘭</t>
    <phoneticPr fontId="12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</si>
  <si>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</si>
  <si>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</si>
  <si>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</si>
  <si>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</si>
  <si>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CCC CODE: 87120090004 (Other Cycles)</t>
  </si>
  <si>
    <t>資料來源:經濟部國際貿易局,臺灣自行車輸出業同業公會整理(含復出口)</t>
    <phoneticPr fontId="6" type="noConversion"/>
  </si>
  <si>
    <t xml:space="preserve">      *以上統計為草本資料,正確數據以公布於公會網站為準!!</t>
    <phoneticPr fontId="6" type="noConversion"/>
  </si>
  <si>
    <r>
      <t>增</t>
    </r>
    <r>
      <rPr>
        <sz val="12"/>
        <color indexed="10"/>
        <rFont val="華康仿宋體"/>
        <family val="1"/>
        <charset val="136"/>
      </rPr>
      <t>/減</t>
    </r>
    <phoneticPr fontId="6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</si>
  <si>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</si>
  <si>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</si>
  <si>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</si>
  <si>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</si>
  <si>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美  國</t>
  </si>
  <si>
    <t>葡萄牙</t>
  </si>
  <si>
    <t>匈牙利</t>
    <phoneticPr fontId="4" type="noConversion"/>
  </si>
  <si>
    <t>馬爾他</t>
    <phoneticPr fontId="4" type="noConversion"/>
  </si>
  <si>
    <t>斯洛維尼亞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</si>
  <si>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</si>
  <si>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</si>
  <si>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</si>
  <si>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</si>
  <si>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資料來源: 經濟部國際貿易局,臺灣自行車輸出業同業公會整理(含復出口)</t>
    <phoneticPr fontId="6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</si>
  <si>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蘭</t>
    </r>
    <phoneticPr fontId="6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</si>
  <si>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克</t>
    </r>
    <phoneticPr fontId="6" type="noConversion"/>
  </si>
  <si>
    <t>賽普路斯</t>
    <phoneticPr fontId="6" type="noConversion"/>
  </si>
  <si>
    <t>克羅埃西亞</t>
    <phoneticPr fontId="6" type="noConversion"/>
  </si>
  <si>
    <t>澳  洲</t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</si>
  <si>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2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</si>
  <si>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2" type="noConversion"/>
  </si>
  <si>
    <t>哥倫比亞</t>
    <phoneticPr fontId="6" type="noConversion"/>
  </si>
  <si>
    <t>印  尼</t>
    <phoneticPr fontId="6" type="noConversion"/>
  </si>
  <si>
    <t>馬來西亞</t>
    <phoneticPr fontId="6" type="noConversion"/>
  </si>
  <si>
    <t>泰  國</t>
    <phoneticPr fontId="6" type="noConversion"/>
  </si>
  <si>
    <t>(US$)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</si>
  <si>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中華民國海關草本資料</t>
    </r>
    <r>
      <rPr>
        <sz val="12"/>
        <rFont val="細明體-ExtB"/>
        <family val="1"/>
        <charset val="136"/>
      </rPr>
      <t>,臺</t>
    </r>
    <r>
      <rPr>
        <sz val="12"/>
        <rFont val="MS Gothic"/>
        <family val="3"/>
        <charset val="128"/>
      </rPr>
      <t>灣自行車輸出業同業公會整理</t>
    </r>
    <phoneticPr fontId="6" type="noConversion"/>
  </si>
  <si>
    <r>
      <t xml:space="preserve">                   </t>
    </r>
    <r>
      <rPr>
        <b/>
        <sz val="11"/>
        <rFont val="Times New Roman"/>
        <family val="1"/>
      </rPr>
      <t xml:space="preserve">  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正確統計數據以每月公佈於公會會訊及公會網站為準</t>
    </r>
    <r>
      <rPr>
        <b/>
        <sz val="11"/>
        <rFont val="Times New Roman"/>
        <family val="1"/>
      </rPr>
      <t>!!</t>
    </r>
    <phoneticPr fontId="6" type="noConversion"/>
  </si>
  <si>
    <t>累計平均單價</t>
    <phoneticPr fontId="4" type="noConversion"/>
  </si>
  <si>
    <t>羅馬尼亞</t>
    <phoneticPr fontId="4" type="noConversion"/>
  </si>
  <si>
    <t>保加利亞</t>
    <phoneticPr fontId="4" type="noConversion"/>
  </si>
  <si>
    <t>越  南</t>
    <phoneticPr fontId="12" type="noConversion"/>
  </si>
  <si>
    <t>柬埔寨</t>
    <phoneticPr fontId="12" type="noConversion"/>
  </si>
  <si>
    <t>中國大陸</t>
    <phoneticPr fontId="4" type="noConversion"/>
  </si>
  <si>
    <t>澳  門</t>
    <phoneticPr fontId="6" type="noConversion"/>
  </si>
  <si>
    <t>其他國家</t>
    <phoneticPr fontId="6" type="noConversion"/>
  </si>
  <si>
    <t>資料來源:經濟部國際貿易局,臺灣自行車輸出業同業公會整理(含復進口)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</si>
  <si>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</si>
  <si>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</si>
  <si>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斯洛法尼亞</t>
    <phoneticPr fontId="4" type="noConversion"/>
  </si>
  <si>
    <t>印尼</t>
    <phoneticPr fontId="4" type="noConversion"/>
  </si>
  <si>
    <t>香  港</t>
    <phoneticPr fontId="6" type="noConversion"/>
  </si>
  <si>
    <t>資料來源: 財政部關稅總局,台灣區自行車輸出業同業公會整理(含復進口)</t>
    <phoneticPr fontId="4" type="noConversion"/>
  </si>
  <si>
    <t>CCC CODE:  87120010109 (Folding Bicycles)</t>
    <phoneticPr fontId="6" type="noConversion"/>
  </si>
  <si>
    <t>其他主要國家</t>
    <phoneticPr fontId="6" type="noConversion"/>
  </si>
  <si>
    <t>印尼</t>
    <phoneticPr fontId="6" type="noConversion"/>
  </si>
  <si>
    <t>泰國</t>
    <phoneticPr fontId="6" type="noConversion"/>
  </si>
  <si>
    <t>CCC CODE:  87120010109 (Folding Bicycles)</t>
    <phoneticPr fontId="4" type="noConversion"/>
  </si>
  <si>
    <t>稅則號列</t>
    <phoneticPr fontId="4" type="noConversion"/>
  </si>
  <si>
    <t>品名</t>
    <phoneticPr fontId="4" type="noConversion"/>
  </si>
  <si>
    <t>差</t>
    <phoneticPr fontId="4" type="noConversion"/>
  </si>
  <si>
    <t>順/逆差</t>
    <phoneticPr fontId="4" type="noConversion"/>
  </si>
  <si>
    <t>出口平均單價</t>
    <phoneticPr fontId="4" type="noConversion"/>
  </si>
  <si>
    <t>87120010902</t>
    <phoneticPr fontId="4" type="noConversion"/>
  </si>
  <si>
    <t>其他二輪腳踏車</t>
    <phoneticPr fontId="4" type="noConversion"/>
  </si>
  <si>
    <t>87120010109</t>
    <phoneticPr fontId="4" type="noConversion"/>
  </si>
  <si>
    <t>摺疊二輪腳踏車</t>
    <phoneticPr fontId="4" type="noConversion"/>
  </si>
  <si>
    <t>87120010207</t>
    <phoneticPr fontId="6" type="noConversion"/>
  </si>
  <si>
    <t>兒童用二輪腳踏車</t>
    <phoneticPr fontId="6" type="noConversion"/>
  </si>
  <si>
    <t>87120010305</t>
    <phoneticPr fontId="6" type="noConversion"/>
  </si>
  <si>
    <t>城市與旅行用二輪腳踏車</t>
    <phoneticPr fontId="6" type="noConversion"/>
  </si>
  <si>
    <t>87120010403</t>
    <phoneticPr fontId="6" type="noConversion"/>
  </si>
  <si>
    <t>登山用二輪腳踏車</t>
    <phoneticPr fontId="6" type="noConversion"/>
  </si>
  <si>
    <t>87120010500</t>
    <phoneticPr fontId="6" type="noConversion"/>
  </si>
  <si>
    <t>公路用二輪腳踏車</t>
    <phoneticPr fontId="6" type="noConversion"/>
  </si>
  <si>
    <t>87120010</t>
    <phoneticPr fontId="4" type="noConversion"/>
  </si>
  <si>
    <t>二輪腳踏車</t>
    <phoneticPr fontId="4" type="noConversion"/>
  </si>
  <si>
    <t>87120090004</t>
    <phoneticPr fontId="4" type="noConversion"/>
  </si>
  <si>
    <t>其他腳踏車</t>
    <phoneticPr fontId="4" type="noConversion"/>
  </si>
  <si>
    <t>總   計</t>
    <phoneticPr fontId="4" type="noConversion"/>
  </si>
  <si>
    <t>(其他腳踏車+二輪腳踏車)</t>
    <phoneticPr fontId="4" type="noConversion"/>
  </si>
  <si>
    <t>(公斤)</t>
    <phoneticPr fontId="4" type="noConversion"/>
  </si>
  <si>
    <t>85121010001</t>
    <phoneticPr fontId="4" type="noConversion"/>
  </si>
  <si>
    <t>腳踏車用電器照明設備　</t>
    <phoneticPr fontId="4" type="noConversion"/>
  </si>
  <si>
    <t>85121020009</t>
    <phoneticPr fontId="4" type="noConversion"/>
  </si>
  <si>
    <t>腳踏車照明視覺信號設備</t>
    <phoneticPr fontId="4" type="noConversion"/>
  </si>
  <si>
    <t>87149120007</t>
    <phoneticPr fontId="4" type="noConversion"/>
  </si>
  <si>
    <t>其他車架.前叉及相關零件</t>
    <phoneticPr fontId="4" type="noConversion"/>
  </si>
  <si>
    <t>87149200108</t>
    <phoneticPr fontId="4" type="noConversion"/>
  </si>
  <si>
    <t>輪圈</t>
    <phoneticPr fontId="4" type="noConversion"/>
  </si>
  <si>
    <t>87149200206</t>
    <phoneticPr fontId="4" type="noConversion"/>
  </si>
  <si>
    <t>輪幅</t>
    <phoneticPr fontId="4" type="noConversion"/>
  </si>
  <si>
    <t>87149200304</t>
    <phoneticPr fontId="4" type="noConversion"/>
  </si>
  <si>
    <t>輪圈及輪幅</t>
    <phoneticPr fontId="4" type="noConversion"/>
  </si>
  <si>
    <t>87149310007</t>
    <phoneticPr fontId="4" type="noConversion"/>
  </si>
  <si>
    <t>輪轂(倒煞車輪及輪轂煞車除外)</t>
    <phoneticPr fontId="4" type="noConversion"/>
  </si>
  <si>
    <t>87149320005</t>
    <phoneticPr fontId="4" type="noConversion"/>
  </si>
  <si>
    <t>飛輪之鏈輪</t>
    <phoneticPr fontId="4" type="noConversion"/>
  </si>
  <si>
    <t>87149410006</t>
    <phoneticPr fontId="4" type="noConversion"/>
  </si>
  <si>
    <t>煞車鋼線及其零件</t>
    <phoneticPr fontId="4" type="noConversion"/>
  </si>
  <si>
    <t>87149490009</t>
    <phoneticPr fontId="4" type="noConversion"/>
  </si>
  <si>
    <t>其他煞車器及其零件</t>
    <phoneticPr fontId="4" type="noConversion"/>
  </si>
  <si>
    <t>87149500007</t>
    <phoneticPr fontId="4" type="noConversion"/>
  </si>
  <si>
    <t>腳踏車車座</t>
    <phoneticPr fontId="4" type="noConversion"/>
  </si>
  <si>
    <t>87149610004</t>
    <phoneticPr fontId="4" type="noConversion"/>
  </si>
  <si>
    <t>踏板及其零件</t>
    <phoneticPr fontId="4" type="noConversion"/>
  </si>
  <si>
    <t>87149620002</t>
    <phoneticPr fontId="4" type="noConversion"/>
  </si>
  <si>
    <t>曲柄齒輪及其零件</t>
    <phoneticPr fontId="4" type="noConversion"/>
  </si>
  <si>
    <t>73151100209</t>
    <phoneticPr fontId="4" type="noConversion"/>
  </si>
  <si>
    <t>腳踏車用滾子鏈</t>
    <phoneticPr fontId="4" type="noConversion"/>
  </si>
  <si>
    <t>87149990111</t>
    <phoneticPr fontId="4" type="noConversion"/>
  </si>
  <si>
    <t>腳踏車用變速器　</t>
    <phoneticPr fontId="4" type="noConversion"/>
  </si>
  <si>
    <t>87149990120</t>
    <phoneticPr fontId="4" type="noConversion"/>
  </si>
  <si>
    <t>腳踏車用飛輪</t>
    <phoneticPr fontId="4" type="noConversion"/>
  </si>
  <si>
    <t>87149990139</t>
    <phoneticPr fontId="4" type="noConversion"/>
  </si>
  <si>
    <t>腳踏車用軸心</t>
    <phoneticPr fontId="4" type="noConversion"/>
  </si>
  <si>
    <t>87149990148</t>
    <phoneticPr fontId="4" type="noConversion"/>
  </si>
  <si>
    <t>腳踏車用把手豎管　</t>
    <phoneticPr fontId="4" type="noConversion"/>
  </si>
  <si>
    <t>87149990157</t>
    <phoneticPr fontId="4" type="noConversion"/>
  </si>
  <si>
    <t>腳踏車用座管及上下管</t>
    <phoneticPr fontId="4" type="noConversion"/>
  </si>
  <si>
    <t>87149990166</t>
    <phoneticPr fontId="4" type="noConversion"/>
  </si>
  <si>
    <t>腳踏車用把手　</t>
    <phoneticPr fontId="4" type="noConversion"/>
  </si>
  <si>
    <t>40115000008</t>
    <phoneticPr fontId="4" type="noConversion"/>
  </si>
  <si>
    <t>腳踏用新橡膠氣胎</t>
    <phoneticPr fontId="4" type="noConversion"/>
  </si>
  <si>
    <t>40132000003</t>
    <phoneticPr fontId="4" type="noConversion"/>
  </si>
  <si>
    <t>腳踏車用橡膠內胎　</t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</si>
  <si>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經濟部國際貿易局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</si>
  <si>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 xml:space="preserve"> </t>
    </r>
    <r>
      <rPr>
        <b/>
        <sz val="11"/>
        <rFont val="Times New Roman"/>
        <family val="1"/>
      </rPr>
      <t>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正確統計數據以公佈於公會網站為準</t>
    </r>
    <r>
      <rPr>
        <b/>
        <sz val="11"/>
        <rFont val="Times New Roman"/>
        <family val="1"/>
      </rPr>
      <t>!!</t>
    </r>
    <phoneticPr fontId="6" type="noConversion"/>
  </si>
  <si>
    <t>數量(台)</t>
    <phoneticPr fontId="6" type="noConversion"/>
  </si>
  <si>
    <t>金額(US$)</t>
    <phoneticPr fontId="6" type="noConversion"/>
  </si>
  <si>
    <t>二輪腳踏車(其他二輪+摺疊二輪)</t>
    <phoneticPr fontId="4" type="noConversion"/>
  </si>
  <si>
    <t>(其他腳踏車+其他二輪+摺疊二輪)</t>
    <phoneticPr fontId="4" type="noConversion"/>
  </si>
  <si>
    <t>數量(公斤)</t>
    <phoneticPr fontId="6" type="noConversion"/>
  </si>
  <si>
    <t>資料來源: 財政部關稅總局,台灣區自行車輸出業同業公會整理(含復出口)</t>
    <phoneticPr fontId="4" type="noConversion"/>
  </si>
  <si>
    <r>
      <t xml:space="preserve">     </t>
    </r>
    <r>
      <rPr>
        <b/>
        <sz val="11"/>
        <rFont val="Times New Roman"/>
        <family val="1"/>
      </rPr>
      <t xml:space="preserve"> *</t>
    </r>
    <r>
      <rPr>
        <b/>
        <sz val="11"/>
        <rFont val="華康仿宋體"/>
        <family val="1"/>
        <charset val="136"/>
      </rPr>
      <t>以上統計為草本資料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正確數據以公布於公會網站為準</t>
    </r>
    <r>
      <rPr>
        <b/>
        <sz val="11"/>
        <rFont val="Times New Roman"/>
        <family val="1"/>
      </rPr>
      <t>!!</t>
    </r>
    <phoneticPr fontId="6" type="noConversion"/>
  </si>
  <si>
    <t>同期出口</t>
    <phoneticPr fontId="4" type="noConversion"/>
  </si>
  <si>
    <t>同期出口　</t>
    <phoneticPr fontId="6" type="noConversion"/>
  </si>
  <si>
    <t>數量比較</t>
    <phoneticPr fontId="6" type="noConversion"/>
  </si>
  <si>
    <t>金額比較</t>
    <phoneticPr fontId="6" type="noConversion"/>
  </si>
  <si>
    <t>平均單價比較</t>
    <phoneticPr fontId="6" type="noConversion"/>
  </si>
  <si>
    <t>金額比較　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</si>
  <si>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>:經濟部國際貿易局,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</si>
  <si>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資料來源:財政部關稅總局,台灣區自行車輸出業同業公會整理(含復進口)</t>
    <phoneticPr fontId="4" type="noConversion"/>
  </si>
  <si>
    <t>同期進口</t>
    <phoneticPr fontId="4" type="noConversion"/>
  </si>
  <si>
    <t xml:space="preserve">ccc code : </t>
    <phoneticPr fontId="6" type="noConversion"/>
  </si>
  <si>
    <t xml:space="preserve">ccc code : 87119030107 ( Other cycles fitted with a battery auxiliary motor )  &amp; </t>
    <phoneticPr fontId="12" type="noConversion"/>
  </si>
  <si>
    <t xml:space="preserve">                   87119030900 ( Other cycles fitted with other auxiliary motor )</t>
    <phoneticPr fontId="12" type="noConversion"/>
  </si>
  <si>
    <t>以色列</t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</si>
  <si>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</si>
  <si>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</si>
  <si>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</si>
  <si>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</si>
  <si>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</si>
  <si>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</si>
  <si>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 xml:space="preserve"> set)</t>
    <phoneticPr fontId="6" type="noConversion"/>
  </si>
  <si>
    <t xml:space="preserve"> set)</t>
  </si>
  <si>
    <t>腳踏車照明視</t>
  </si>
  <si>
    <t>覺信號設備</t>
  </si>
  <si>
    <t>其他車架.前叉</t>
  </si>
  <si>
    <t>及相關零件</t>
  </si>
  <si>
    <t>輪圈</t>
  </si>
  <si>
    <t>pce)</t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</si>
  <si>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</si>
  <si>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</si>
  <si>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</si>
  <si>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</si>
  <si>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</si>
  <si>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</si>
  <si>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</si>
  <si>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</si>
  <si>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</si>
  <si>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</si>
  <si>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</si>
  <si>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</si>
  <si>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</si>
  <si>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</si>
  <si>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</si>
  <si>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</si>
  <si>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</si>
  <si>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</si>
  <si>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</si>
  <si>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</si>
  <si>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</si>
  <si>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</si>
  <si>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</si>
  <si>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pce)</t>
    <phoneticPr fontId="6" type="noConversion"/>
  </si>
  <si>
    <t>腳踏車用橡膠</t>
  </si>
  <si>
    <t>內胎</t>
  </si>
  <si>
    <t>總    計</t>
  </si>
  <si>
    <t>set)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</si>
  <si>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1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</si>
  <si>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</si>
  <si>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</si>
  <si>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年度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</si>
  <si>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</si>
  <si>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二月</t>
    <phoneticPr fontId="6" type="noConversion"/>
  </si>
  <si>
    <t>三月</t>
    <phoneticPr fontId="6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</si>
  <si>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</si>
  <si>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</si>
  <si>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</si>
  <si>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七月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</si>
  <si>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</si>
  <si>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</si>
  <si>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</si>
  <si>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</si>
  <si>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年度平均單價</t>
    <phoneticPr fontId="6" type="noConversion"/>
  </si>
  <si>
    <t>2003年</t>
    <phoneticPr fontId="6" type="noConversion"/>
  </si>
  <si>
    <t>2005年</t>
    <phoneticPr fontId="6" type="noConversion"/>
  </si>
  <si>
    <t>2007年</t>
    <phoneticPr fontId="6" type="noConversion"/>
  </si>
  <si>
    <t>2008年</t>
    <phoneticPr fontId="6" type="noConversion"/>
  </si>
  <si>
    <t>2009年</t>
    <phoneticPr fontId="6" type="noConversion"/>
  </si>
  <si>
    <t>2010年</t>
    <phoneticPr fontId="6" type="noConversion"/>
  </si>
  <si>
    <t>2011年</t>
    <phoneticPr fontId="6" type="noConversion"/>
  </si>
  <si>
    <t>合計</t>
    <phoneticPr fontId="6" type="noConversion"/>
  </si>
  <si>
    <t xml:space="preserve">ccc code : </t>
    <phoneticPr fontId="12" type="noConversion"/>
  </si>
  <si>
    <t>1-5月數量</t>
    <phoneticPr fontId="4" type="noConversion"/>
  </si>
  <si>
    <t>1-5月金額</t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</si>
  <si>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</si>
  <si>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</si>
  <si>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</si>
  <si>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</si>
  <si>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平均單價</t>
    <phoneticPr fontId="3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</si>
  <si>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</si>
  <si>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月出口金額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</si>
  <si>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</si>
  <si>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</si>
  <si>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</si>
  <si>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</si>
  <si>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月金額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</si>
  <si>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1-6</t>
    </r>
    <r>
      <rPr>
        <sz val="12"/>
        <rFont val="MS Gothic"/>
        <family val="3"/>
        <charset val="128"/>
      </rPr>
      <t>月</t>
    </r>
    <phoneticPr fontId="4" type="noConversion"/>
  </si>
  <si>
    <t>1-6月數量</t>
    <phoneticPr fontId="4" type="noConversion"/>
  </si>
  <si>
    <r>
      <t>1-6</t>
    </r>
    <r>
      <rPr>
        <sz val="12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</si>
  <si>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rFont val="MS Gothic"/>
        <family val="3"/>
        <charset val="128"/>
      </rPr>
      <t>月數量</t>
    </r>
    <phoneticPr fontId="4" type="noConversion"/>
  </si>
  <si>
    <r>
      <t>20</t>
    </r>
    <r>
      <rPr>
        <sz val="12"/>
        <rFont val="細明體"/>
        <family val="3"/>
        <charset val="136"/>
      </rPr>
      <t>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</si>
  <si>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</si>
  <si>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</si>
  <si>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20</t>
    </r>
    <r>
      <rPr>
        <b/>
        <sz val="14"/>
        <rFont val="細明體"/>
        <family val="3"/>
        <charset val="136"/>
      </rPr>
      <t>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</si>
  <si>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</si>
  <si>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</si>
  <si>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62"/>
        <rFont val="細明體"/>
        <family val="3"/>
        <charset val="136"/>
      </rPr>
      <t>年1-5月</t>
    </r>
    <phoneticPr fontId="4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</si>
  <si>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</si>
  <si>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</t>
    </r>
    <r>
      <rPr>
        <sz val="11"/>
        <color indexed="25"/>
        <rFont val="細明體"/>
        <family val="3"/>
        <charset val="136"/>
      </rPr>
      <t>1-5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</si>
  <si>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</si>
  <si>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華康仿宋體"/>
        <family val="3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</si>
  <si>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30"/>
        <rFont val="細明體"/>
        <family val="3"/>
        <charset val="136"/>
      </rPr>
      <t>年1-5月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</si>
  <si>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</si>
  <si>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</si>
  <si>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</si>
  <si>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pce)</t>
    <phoneticPr fontId="3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</si>
  <si>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"/>
        <family val="3"/>
        <charset val="136"/>
      </rPr>
      <t>1-6</t>
    </r>
    <r>
      <rPr>
        <b/>
        <sz val="14"/>
        <rFont val="MS Gothic"/>
        <family val="3"/>
        <charset val="128"/>
      </rPr>
      <t>月份自行車主要零件進出口統計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</si>
  <si>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</si>
  <si>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月出口金額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</si>
  <si>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</si>
  <si>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</si>
  <si>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</si>
  <si>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月進口金額</t>
    </r>
    <phoneticPr fontId="4" type="noConversion"/>
  </si>
  <si>
    <t>CCC CODE: 87120090004 (Other Cycles)</t>
    <phoneticPr fontId="3" type="noConversion"/>
  </si>
  <si>
    <t>2020年</t>
  </si>
  <si>
    <t>其他車架.前叉及相關零件</t>
    <phoneticPr fontId="4" type="noConversion"/>
  </si>
  <si>
    <t>87116020007 (Cycles with electric motor for propulsion) &amp; 87119030900 (Other cycles fitted with other auxiliary motor)</t>
    <phoneticPr fontId="6" type="noConversion"/>
  </si>
  <si>
    <t>賽普勒斯</t>
    <phoneticPr fontId="4" type="noConversion"/>
  </si>
  <si>
    <t>CCC CODE:87120010109 (Folding Bicycles)</t>
    <phoneticPr fontId="6" type="noConversion"/>
  </si>
  <si>
    <t xml:space="preserve"> set)</t>
    <phoneticPr fontId="3" type="noConversion"/>
  </si>
  <si>
    <t xml:space="preserve"> set)</t>
    <phoneticPr fontId="3" type="noConversion"/>
  </si>
  <si>
    <t>pce)</t>
    <phoneticPr fontId="3" type="noConversion"/>
  </si>
  <si>
    <t>pce)</t>
    <phoneticPr fontId="3" type="noConversion"/>
  </si>
  <si>
    <t>輪幅</t>
    <phoneticPr fontId="4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</si>
  <si>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</si>
  <si>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</si>
  <si>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</si>
  <si>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英國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</si>
  <si>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</si>
  <si>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</si>
  <si>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</si>
  <si>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</si>
  <si>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</si>
  <si>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</si>
  <si>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</si>
  <si>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</si>
  <si>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</si>
  <si>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</si>
  <si>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</si>
  <si>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</si>
  <si>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</si>
  <si>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南非</t>
    <phoneticPr fontId="12" type="noConversion"/>
  </si>
  <si>
    <t>泰國</t>
    <phoneticPr fontId="4" type="noConversion"/>
  </si>
  <si>
    <t>韓國</t>
    <phoneticPr fontId="12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</si>
  <si>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</si>
  <si>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</si>
  <si>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捷克</t>
    <phoneticPr fontId="4" type="noConversion"/>
  </si>
  <si>
    <t>波蘭</t>
    <phoneticPr fontId="4" type="noConversion"/>
  </si>
  <si>
    <t>越南</t>
    <phoneticPr fontId="12" type="noConversion"/>
  </si>
  <si>
    <t>澳門</t>
    <phoneticPr fontId="6" type="noConversion"/>
  </si>
  <si>
    <t>香港</t>
    <phoneticPr fontId="6" type="noConversion"/>
  </si>
  <si>
    <r>
      <rPr>
        <b/>
        <sz val="12"/>
        <rFont val="新細明體"/>
        <family val="1"/>
        <charset val="136"/>
      </rPr>
      <t>美國</t>
    </r>
    <phoneticPr fontId="3" type="noConversion"/>
  </si>
  <si>
    <r>
      <rPr>
        <b/>
        <sz val="12"/>
        <rFont val="新細明體"/>
        <family val="1"/>
        <charset val="136"/>
      </rPr>
      <t>荷蘭</t>
    </r>
    <phoneticPr fontId="3" type="noConversion"/>
  </si>
  <si>
    <r>
      <rPr>
        <b/>
        <sz val="12"/>
        <rFont val="新細明體"/>
        <family val="1"/>
        <charset val="136"/>
      </rPr>
      <t>德國</t>
    </r>
    <phoneticPr fontId="3" type="noConversion"/>
  </si>
  <si>
    <r>
      <rPr>
        <b/>
        <sz val="12"/>
        <rFont val="新細明體"/>
        <family val="1"/>
        <charset val="136"/>
      </rPr>
      <t>英國</t>
    </r>
    <phoneticPr fontId="3" type="noConversion"/>
  </si>
  <si>
    <r>
      <rPr>
        <b/>
        <sz val="12"/>
        <rFont val="新細明體"/>
        <family val="1"/>
        <charset val="136"/>
      </rPr>
      <t>法國</t>
    </r>
    <phoneticPr fontId="3" type="noConversion"/>
  </si>
  <si>
    <r>
      <rPr>
        <b/>
        <sz val="12"/>
        <rFont val="新細明體"/>
        <family val="1"/>
        <charset val="136"/>
      </rPr>
      <t>丹麥</t>
    </r>
    <phoneticPr fontId="3" type="noConversion"/>
  </si>
  <si>
    <r>
      <rPr>
        <b/>
        <sz val="12"/>
        <rFont val="新細明體"/>
        <family val="1"/>
        <charset val="136"/>
      </rPr>
      <t>希臘</t>
    </r>
    <phoneticPr fontId="3" type="noConversion"/>
  </si>
  <si>
    <r>
      <rPr>
        <b/>
        <sz val="12"/>
        <rFont val="新細明體"/>
        <family val="1"/>
        <charset val="136"/>
      </rPr>
      <t>瑞典</t>
    </r>
    <phoneticPr fontId="3" type="noConversion"/>
  </si>
  <si>
    <r>
      <rPr>
        <b/>
        <sz val="12"/>
        <rFont val="新細明體"/>
        <family val="1"/>
        <charset val="136"/>
      </rPr>
      <t>芬蘭</t>
    </r>
    <phoneticPr fontId="3" type="noConversion"/>
  </si>
  <si>
    <t>波蘭</t>
  </si>
  <si>
    <t>捷克</t>
  </si>
  <si>
    <r>
      <rPr>
        <b/>
        <sz val="12"/>
        <rFont val="新細明體"/>
        <family val="1"/>
        <charset val="136"/>
      </rPr>
      <t>瑞士</t>
    </r>
    <phoneticPr fontId="3" type="noConversion"/>
  </si>
  <si>
    <r>
      <rPr>
        <b/>
        <sz val="12"/>
        <rFont val="新細明體"/>
        <family val="1"/>
        <charset val="136"/>
      </rPr>
      <t>挪威</t>
    </r>
    <phoneticPr fontId="3" type="noConversion"/>
  </si>
  <si>
    <r>
      <rPr>
        <b/>
        <sz val="12"/>
        <rFont val="新細明體"/>
        <family val="1"/>
        <charset val="136"/>
      </rPr>
      <t>冰島</t>
    </r>
    <phoneticPr fontId="3" type="noConversion"/>
  </si>
  <si>
    <r>
      <rPr>
        <b/>
        <sz val="12"/>
        <rFont val="新細明體"/>
        <family val="1"/>
        <charset val="136"/>
      </rPr>
      <t>日本</t>
    </r>
    <phoneticPr fontId="3" type="noConversion"/>
  </si>
  <si>
    <r>
      <rPr>
        <b/>
        <sz val="12"/>
        <rFont val="新細明體"/>
        <family val="1"/>
        <charset val="136"/>
      </rPr>
      <t>巴西</t>
    </r>
    <phoneticPr fontId="3" type="noConversion"/>
  </si>
  <si>
    <r>
      <rPr>
        <b/>
        <sz val="12"/>
        <rFont val="新細明體"/>
        <family val="1"/>
        <charset val="136"/>
      </rPr>
      <t>智利</t>
    </r>
    <phoneticPr fontId="3" type="noConversion"/>
  </si>
  <si>
    <t>南非</t>
  </si>
  <si>
    <t>韓國</t>
  </si>
  <si>
    <t>荷蘭</t>
  </si>
  <si>
    <t>德國</t>
  </si>
  <si>
    <t>英國</t>
  </si>
  <si>
    <t>法國</t>
  </si>
  <si>
    <t>丹麥</t>
  </si>
  <si>
    <t>希臘</t>
  </si>
  <si>
    <t>瑞典</t>
  </si>
  <si>
    <t>芬蘭</t>
  </si>
  <si>
    <t>匈牙利</t>
  </si>
  <si>
    <t>馬爾他</t>
  </si>
  <si>
    <t>斯洛維尼亞</t>
  </si>
  <si>
    <t>斯洛伐克</t>
  </si>
  <si>
    <t>愛沙尼亞</t>
  </si>
  <si>
    <t>拉脫維亞</t>
  </si>
  <si>
    <t>立陶宛</t>
  </si>
  <si>
    <t>賽普路斯</t>
  </si>
  <si>
    <t>羅馬尼亞</t>
  </si>
  <si>
    <t>保加利亞</t>
  </si>
  <si>
    <t>克羅埃西亞</t>
  </si>
  <si>
    <t>瑞士</t>
  </si>
  <si>
    <t>挪威</t>
  </si>
  <si>
    <t>冰島</t>
  </si>
  <si>
    <t>日本</t>
  </si>
  <si>
    <t>巴西</t>
  </si>
  <si>
    <t>智利</t>
  </si>
  <si>
    <t>澳大利亞</t>
  </si>
  <si>
    <t>中國大陸</t>
  </si>
  <si>
    <t>俄羅斯</t>
  </si>
  <si>
    <t>烏克蘭</t>
  </si>
  <si>
    <t>紐西蘭</t>
  </si>
  <si>
    <r>
      <rPr>
        <sz val="12"/>
        <rFont val="新細明體"/>
        <family val="1"/>
        <charset val="136"/>
      </rPr>
      <t>阿拉伯聯合大公國</t>
    </r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</si>
  <si>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</si>
  <si>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</si>
  <si>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</si>
  <si>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2021年</t>
  </si>
  <si>
    <t>裝有棘輪機構之單一鏈輪</t>
    <phoneticPr fontId="4" type="noConversion"/>
  </si>
  <si>
    <t>其他飛輪之鏈輪</t>
    <phoneticPr fontId="4" type="noConversion"/>
  </si>
  <si>
    <t>其他飛輪之鏈輪</t>
    <phoneticPr fontId="4" type="noConversion"/>
  </si>
  <si>
    <t>裝有棘輪機構之單一鏈輪</t>
    <phoneticPr fontId="4" type="noConversion"/>
  </si>
  <si>
    <t>裝有棘輪機構之單一鏈輪</t>
    <phoneticPr fontId="4" type="noConversion"/>
  </si>
  <si>
    <t>裝有棘輪機構之單一鏈輪</t>
    <phoneticPr fontId="3" type="noConversion"/>
  </si>
  <si>
    <t>其他飛輪之鏈輪</t>
    <phoneticPr fontId="3" type="noConversion"/>
  </si>
  <si>
    <t xml:space="preserve">  87116020007 ( Cycles with electric motor for propulsion )&amp;87119030900 ( Other cycles fitted with other auxiliary motor )</t>
    <phoneticPr fontId="6" type="noConversion"/>
  </si>
  <si>
    <t>同期進口</t>
    <phoneticPr fontId="4" type="noConversion"/>
  </si>
  <si>
    <t>同期進口　</t>
    <phoneticPr fontId="6" type="noConversion"/>
  </si>
  <si>
    <t>累計平均單價</t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</si>
  <si>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</si>
  <si>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</si>
  <si>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t>累計平均單價</t>
  </si>
  <si>
    <t>資料來源: 經濟部國際貿易局&amp;財政部關稅署,臺灣自行車輸出業同業公會整理</t>
  </si>
  <si>
    <t>同期出口</t>
  </si>
  <si>
    <t>台灣自行車出口歐盟數量(草本統計)</t>
    <phoneticPr fontId="6" type="noConversion"/>
  </si>
  <si>
    <t>八月</t>
    <phoneticPr fontId="6" type="noConversion"/>
  </si>
  <si>
    <t>2004年</t>
    <phoneticPr fontId="6" type="noConversion"/>
  </si>
  <si>
    <t>2006年</t>
    <phoneticPr fontId="6" type="noConversion"/>
  </si>
  <si>
    <t>2008年</t>
    <phoneticPr fontId="6" type="noConversion"/>
  </si>
  <si>
    <t>2012年</t>
    <phoneticPr fontId="6" type="noConversion"/>
  </si>
  <si>
    <t>2013年</t>
    <phoneticPr fontId="6" type="noConversion"/>
  </si>
  <si>
    <t>2014年</t>
    <phoneticPr fontId="6" type="noConversion"/>
  </si>
  <si>
    <t>2015年</t>
    <phoneticPr fontId="6" type="noConversion"/>
  </si>
  <si>
    <t>2016年</t>
    <phoneticPr fontId="6" type="noConversion"/>
  </si>
  <si>
    <t>2017年</t>
    <phoneticPr fontId="6" type="noConversion"/>
  </si>
  <si>
    <t>2018年</t>
    <phoneticPr fontId="6" type="noConversion"/>
  </si>
  <si>
    <t>2019年</t>
    <phoneticPr fontId="6" type="noConversion"/>
  </si>
  <si>
    <r>
      <t>2020</t>
    </r>
    <r>
      <rPr>
        <sz val="12"/>
        <color indexed="36"/>
        <rFont val="Microsoft JhengHei UI"/>
        <family val="2"/>
        <charset val="136"/>
      </rPr>
      <t>年</t>
    </r>
    <phoneticPr fontId="6" type="noConversion"/>
  </si>
  <si>
    <r>
      <t>2021</t>
    </r>
    <r>
      <rPr>
        <sz val="12"/>
        <color rgb="FF005696"/>
        <rFont val="新細明體"/>
        <family val="1"/>
        <charset val="136"/>
      </rPr>
      <t>年</t>
    </r>
    <phoneticPr fontId="3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</si>
  <si>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</si>
  <si>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t>2023年</t>
    <phoneticPr fontId="3" type="noConversion"/>
  </si>
  <si>
    <t>2024年</t>
    <phoneticPr fontId="3" type="noConversion"/>
  </si>
  <si>
    <t>2025年</t>
    <phoneticPr fontId="3" type="noConversion"/>
  </si>
  <si>
    <t>2025年</t>
    <phoneticPr fontId="3" type="noConversion"/>
  </si>
  <si>
    <t>*自2021年1月起英國退出歐盟</t>
    <phoneticPr fontId="6" type="noConversion"/>
  </si>
  <si>
    <t>*英國</t>
    <phoneticPr fontId="3" type="noConversion"/>
  </si>
  <si>
    <t>二月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</si>
  <si>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</si>
  <si>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</si>
  <si>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九月</t>
    <phoneticPr fontId="6" type="noConversion"/>
  </si>
  <si>
    <r>
      <t>2022</t>
    </r>
    <r>
      <rPr>
        <sz val="11"/>
        <rFont val="新細明體"/>
        <family val="1"/>
        <charset val="136"/>
      </rPr>
      <t>年</t>
    </r>
    <phoneticPr fontId="6" type="noConversion"/>
  </si>
  <si>
    <t>2023年</t>
    <phoneticPr fontId="3" type="noConversion"/>
  </si>
  <si>
    <t>2024年</t>
    <phoneticPr fontId="3" type="noConversion"/>
  </si>
  <si>
    <t>資料來源: 經濟部國際貿易局&amp;財政部關稅署,臺灣自行車輸出業同業公會整理</t>
    <phoneticPr fontId="6" type="noConversion"/>
  </si>
  <si>
    <t>台灣自行車出口歐盟金額(草本統計)</t>
    <phoneticPr fontId="6" type="noConversion"/>
  </si>
  <si>
    <t>十月</t>
    <phoneticPr fontId="6" type="noConversion"/>
  </si>
  <si>
    <t>2004年</t>
    <phoneticPr fontId="6" type="noConversion"/>
  </si>
  <si>
    <t>2005年</t>
    <phoneticPr fontId="6" type="noConversion"/>
  </si>
  <si>
    <t>2006年</t>
    <phoneticPr fontId="6" type="noConversion"/>
  </si>
  <si>
    <t>2007年</t>
    <phoneticPr fontId="6" type="noConversion"/>
  </si>
  <si>
    <t>2009年</t>
    <phoneticPr fontId="6" type="noConversion"/>
  </si>
  <si>
    <t>2012年</t>
    <phoneticPr fontId="6" type="noConversion"/>
  </si>
  <si>
    <t>2013年</t>
    <phoneticPr fontId="6" type="noConversion"/>
  </si>
  <si>
    <t>2014年</t>
    <phoneticPr fontId="6" type="noConversion"/>
  </si>
  <si>
    <t>2016年</t>
    <phoneticPr fontId="6" type="noConversion"/>
  </si>
  <si>
    <t>2018年</t>
    <phoneticPr fontId="6" type="noConversion"/>
  </si>
  <si>
    <t>2019年</t>
    <phoneticPr fontId="6" type="noConversion"/>
  </si>
  <si>
    <t>2020年</t>
    <phoneticPr fontId="6" type="noConversion"/>
  </si>
  <si>
    <t>2021年</t>
    <phoneticPr fontId="6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</si>
  <si>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</si>
  <si>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t>*自2021年1月起英國退出歐盟</t>
    <phoneticPr fontId="6" type="noConversion"/>
  </si>
  <si>
    <t>*英國</t>
    <phoneticPr fontId="3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</si>
  <si>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</si>
  <si>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</si>
  <si>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九月</t>
    <phoneticPr fontId="6" type="noConversion"/>
  </si>
  <si>
    <t>十一月</t>
    <phoneticPr fontId="6" type="noConversion"/>
  </si>
  <si>
    <t>2023年</t>
    <phoneticPr fontId="3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</si>
  <si>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</si>
  <si>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t>資料來源: 經濟部國際貿易局&amp;財政部關稅署,臺灣自行車輸出業同業公會整理</t>
    <phoneticPr fontId="6" type="noConversion"/>
  </si>
  <si>
    <t>台灣自行車出口歐盟平均單價(草本統計)</t>
    <phoneticPr fontId="6" type="noConversion"/>
  </si>
  <si>
    <t>六月</t>
    <phoneticPr fontId="6" type="noConversion"/>
  </si>
  <si>
    <t>2006年</t>
    <phoneticPr fontId="6" type="noConversion"/>
  </si>
  <si>
    <t>2007年</t>
    <phoneticPr fontId="6" type="noConversion"/>
  </si>
  <si>
    <t>2012年</t>
    <phoneticPr fontId="6" type="noConversion"/>
  </si>
  <si>
    <t>2014年</t>
    <phoneticPr fontId="6" type="noConversion"/>
  </si>
  <si>
    <t>2018年</t>
    <phoneticPr fontId="6" type="noConversion"/>
  </si>
  <si>
    <r>
      <t>2022</t>
    </r>
    <r>
      <rPr>
        <sz val="11"/>
        <color rgb="FFCC3300"/>
        <rFont val="新細明體"/>
        <family val="1"/>
        <charset val="136"/>
      </rPr>
      <t>年</t>
    </r>
    <phoneticPr fontId="6" type="noConversion"/>
  </si>
  <si>
    <r>
      <t>*自2021年1月起</t>
    </r>
    <r>
      <rPr>
        <b/>
        <sz val="12"/>
        <rFont val="新細明體"/>
        <family val="1"/>
        <charset val="136"/>
        <scheme val="minor"/>
      </rPr>
      <t>英國</t>
    </r>
    <r>
      <rPr>
        <sz val="12"/>
        <rFont val="新細明體"/>
        <family val="1"/>
        <charset val="136"/>
        <scheme val="minor"/>
      </rPr>
      <t>退出歐盟</t>
    </r>
    <phoneticPr fontId="6" type="noConversion"/>
  </si>
  <si>
    <r>
      <t>*</t>
    </r>
    <r>
      <rPr>
        <b/>
        <sz val="12"/>
        <rFont val="新細明體"/>
        <family val="1"/>
        <charset val="136"/>
        <scheme val="minor"/>
      </rPr>
      <t>英國</t>
    </r>
    <phoneticPr fontId="6" type="noConversion"/>
  </si>
  <si>
    <t>三月</t>
    <phoneticPr fontId="6" type="noConversion"/>
  </si>
  <si>
    <t>2024年</t>
    <phoneticPr fontId="3" type="noConversion"/>
  </si>
  <si>
    <r>
      <t>資料來源</t>
    </r>
    <r>
      <rPr>
        <sz val="12"/>
        <rFont val="新細明體"/>
        <family val="3"/>
        <charset val="136"/>
      </rPr>
      <t>: 經濟部</t>
    </r>
    <r>
      <rPr>
        <sz val="12"/>
        <color theme="1"/>
        <rFont val="新細明體"/>
        <family val="2"/>
        <charset val="136"/>
        <scheme val="minor"/>
      </rPr>
      <t>國際貿易局&amp;財政部關稅署</t>
    </r>
    <r>
      <rPr>
        <sz val="12"/>
        <rFont val="新細明體"/>
        <family val="3"/>
        <charset val="136"/>
      </rPr>
      <t>,</t>
    </r>
    <r>
      <rPr>
        <sz val="12"/>
        <color theme="1"/>
        <rFont val="新細明體"/>
        <family val="2"/>
        <charset val="136"/>
        <scheme val="minor"/>
      </rPr>
      <t>臺灣自行車輸出業同業公會整理</t>
    </r>
    <phoneticPr fontId="6" type="noConversion"/>
  </si>
  <si>
    <t>台灣電動輔助自行車出口歐盟數量</t>
    <phoneticPr fontId="6" type="noConversion"/>
  </si>
  <si>
    <t>十一月</t>
    <phoneticPr fontId="6" type="noConversion"/>
  </si>
  <si>
    <t>十二月</t>
    <phoneticPr fontId="6" type="noConversion"/>
  </si>
  <si>
    <t>八月</t>
    <phoneticPr fontId="6" type="noConversion"/>
  </si>
  <si>
    <r>
      <t>2025</t>
    </r>
    <r>
      <rPr>
        <sz val="12"/>
        <rFont val="Microsoft JhengHei"/>
        <family val="1"/>
      </rPr>
      <t>年</t>
    </r>
    <phoneticPr fontId="3" type="noConversion"/>
  </si>
  <si>
    <t>資料來源: 經濟部國際貿易署&amp;財政部關稅署,臺灣自行車輸出業同業公會整理</t>
    <phoneticPr fontId="6" type="noConversion"/>
  </si>
  <si>
    <t>台灣電動輔助自行車出口歐盟金額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</si>
  <si>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</si>
  <si>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七月</t>
    <phoneticPr fontId="6" type="noConversion"/>
  </si>
  <si>
    <t>八月</t>
    <phoneticPr fontId="6" type="noConversion"/>
  </si>
  <si>
    <t>資料來源: 經濟部國際貿易署&amp;財政部關稅署,臺灣自行車輸出業同業公會整理</t>
    <phoneticPr fontId="3" type="noConversion"/>
  </si>
  <si>
    <t>台灣電動輔助自行車出口歐盟平均單價</t>
    <phoneticPr fontId="6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</si>
  <si>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</si>
  <si>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rFont val="MS Gothic"/>
        <family val="3"/>
        <charset val="128"/>
      </rPr>
      <t>年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</si>
  <si>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</si>
  <si>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2025</t>
    </r>
    <r>
      <rPr>
        <sz val="12"/>
        <rFont val="MS Gothic"/>
        <family val="3"/>
        <charset val="128"/>
      </rPr>
      <t>年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</si>
  <si>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</si>
  <si>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t>同期進口</t>
    <phoneticPr fontId="3" type="noConversion"/>
  </si>
  <si>
    <r>
      <t>2025</t>
    </r>
    <r>
      <rPr>
        <sz val="8"/>
        <color rgb="FF008000"/>
        <rFont val="MS Gothic"/>
        <family val="3"/>
        <charset val="128"/>
      </rPr>
      <t>年平均單價</t>
    </r>
    <phoneticPr fontId="4" type="noConversion"/>
  </si>
  <si>
    <r>
      <t>2024</t>
    </r>
    <r>
      <rPr>
        <sz val="8"/>
        <color rgb="FF008000"/>
        <rFont val="MS Gothic"/>
        <family val="3"/>
        <charset val="128"/>
      </rPr>
      <t>年平均單價　</t>
    </r>
    <phoneticPr fontId="4" type="noConversion"/>
  </si>
  <si>
    <r>
      <t>2025</t>
    </r>
    <r>
      <rPr>
        <sz val="14"/>
        <rFont val="新細明體"/>
        <family val="1"/>
        <charset val="136"/>
      </rPr>
      <t>年</t>
    </r>
    <r>
      <rPr>
        <sz val="14"/>
        <rFont val="細明體-ExtB"/>
        <family val="1"/>
        <charset val="136"/>
      </rPr>
      <t>1-12</t>
    </r>
    <r>
      <rPr>
        <sz val="14"/>
        <rFont val="新細明體"/>
        <family val="1"/>
        <charset val="136"/>
      </rPr>
      <t>月台灣自行車主要出口國家統計</t>
    </r>
    <r>
      <rPr>
        <sz val="14"/>
        <rFont val="細明體-ExtB"/>
        <family val="1"/>
        <charset val="136"/>
      </rPr>
      <t>(</t>
    </r>
    <r>
      <rPr>
        <sz val="14"/>
        <rFont val="新細明體"/>
        <family val="1"/>
        <charset val="136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</si>
  <si>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</t>
    </r>
    <r>
      <rPr>
        <sz val="12"/>
        <rFont val="MS Gothic"/>
        <family val="3"/>
        <charset val="128"/>
      </rPr>
      <t>年</t>
    </r>
    <r>
      <rPr>
        <sz val="12"/>
        <rFont val="華康仿宋體"/>
        <family val="1"/>
        <charset val="136"/>
      </rPr>
      <t>12</t>
    </r>
    <r>
      <rPr>
        <sz val="12"/>
        <rFont val="MS Gothic"/>
        <family val="3"/>
        <charset val="128"/>
      </rPr>
      <t>月</t>
    </r>
    <phoneticPr fontId="4" type="noConversion"/>
  </si>
  <si>
    <t>12月數量</t>
    <phoneticPr fontId="4" type="noConversion"/>
  </si>
  <si>
    <t>12月金額</t>
    <phoneticPr fontId="4" type="noConversion"/>
  </si>
  <si>
    <r>
      <t>1-12</t>
    </r>
    <r>
      <rPr>
        <b/>
        <sz val="12"/>
        <rFont val="MS Gothic"/>
        <family val="3"/>
        <charset val="128"/>
      </rPr>
      <t>月數量</t>
    </r>
    <phoneticPr fontId="4" type="noConversion"/>
  </si>
  <si>
    <r>
      <t>1-12</t>
    </r>
    <r>
      <rPr>
        <b/>
        <sz val="12"/>
        <rFont val="MS Gothic"/>
        <family val="3"/>
        <charset val="128"/>
      </rPr>
      <t>月金額</t>
    </r>
    <phoneticPr fontId="4" type="noConversion"/>
  </si>
  <si>
    <r>
      <t>1-12</t>
    </r>
    <r>
      <rPr>
        <b/>
        <sz val="12"/>
        <rFont val="MS Gothic"/>
        <family val="3"/>
        <charset val="128"/>
      </rPr>
      <t>月</t>
    </r>
    <r>
      <rPr>
        <b/>
        <sz val="12"/>
        <rFont val="Microsoft JhengHei"/>
        <family val="3"/>
      </rPr>
      <t>金額</t>
    </r>
    <phoneticPr fontId="4" type="noConversion"/>
  </si>
  <si>
    <r>
      <t xml:space="preserve">2025/2024 </t>
    </r>
    <r>
      <rPr>
        <sz val="14"/>
        <rFont val="細明體-ExtB"/>
        <family val="1"/>
        <charset val="136"/>
      </rPr>
      <t>1-12</t>
    </r>
    <r>
      <rPr>
        <sz val="14"/>
        <rFont val="MS Gothic"/>
        <family val="3"/>
        <charset val="128"/>
      </rPr>
      <t>月台灣自行車</t>
    </r>
    <r>
      <rPr>
        <sz val="14"/>
        <color indexed="1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</si>
  <si>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2025/2024 1-12</t>
    </r>
    <r>
      <rPr>
        <sz val="9"/>
        <rFont val="新細明體"/>
        <family val="1"/>
        <charset val="136"/>
      </rPr>
      <t>月</t>
    </r>
    <phoneticPr fontId="3" type="noConversion"/>
  </si>
  <si>
    <r>
      <rPr>
        <b/>
        <sz val="14"/>
        <rFont val="華康仿宋體"/>
        <family val="1"/>
      </rPr>
      <t>2025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華康仿宋體"/>
        <family val="1"/>
        <charset val="136"/>
      </rPr>
      <t>月</t>
    </r>
    <r>
      <rPr>
        <b/>
        <sz val="14"/>
        <rFont val="MS Gothic"/>
        <family val="3"/>
        <charset val="128"/>
      </rPr>
      <t>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</si>
  <si>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2025/2024 1-12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台灣自行車</t>
    </r>
    <r>
      <rPr>
        <sz val="14"/>
        <color indexed="10"/>
        <rFont val="MS Gothic"/>
        <family val="3"/>
        <charset val="128"/>
      </rPr>
      <t>進口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</si>
  <si>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  <charset val="136"/>
      </rPr>
      <t>12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</si>
  <si>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2025/2024 1-12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國家比較</t>
    </r>
    <r>
      <rPr>
        <b/>
        <sz val="14"/>
        <rFont val="Times New Roman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</si>
  <si>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rPr>
        <b/>
        <sz val="14"/>
        <rFont val="華康仿宋體"/>
        <family val="1"/>
      </rPr>
      <t>2025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華康仿宋體"/>
        <family val="1"/>
        <charset val="136"/>
      </rPr>
      <t>月</t>
    </r>
    <r>
      <rPr>
        <b/>
        <sz val="14"/>
        <rFont val="MS Gothic"/>
        <family val="3"/>
        <charset val="128"/>
      </rPr>
      <t>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</si>
  <si>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t>12月數量</t>
    <phoneticPr fontId="3" type="noConversion"/>
  </si>
  <si>
    <t>12月金額</t>
    <phoneticPr fontId="3" type="noConversion"/>
  </si>
  <si>
    <t>1-12月數量</t>
    <phoneticPr fontId="3" type="noConversion"/>
  </si>
  <si>
    <t>1-12月金額</t>
    <phoneticPr fontId="3" type="noConversion"/>
  </si>
  <si>
    <r>
      <rPr>
        <sz val="14"/>
        <rFont val="細明體-ExtB"/>
        <family val="1"/>
        <charset val="136"/>
      </rPr>
      <t>2025/2024 1-12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台灣折疊式自行車主要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國家比較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</si>
  <si>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</t>
    </r>
    <r>
      <rPr>
        <b/>
        <sz val="14"/>
        <rFont val="華康"/>
        <family val="3"/>
        <charset val="136"/>
      </rPr>
      <t>年</t>
    </r>
    <r>
      <rPr>
        <b/>
        <sz val="14"/>
        <rFont val="Times New Roman"/>
        <family val="1"/>
      </rPr>
      <t>12</t>
    </r>
    <r>
      <rPr>
        <b/>
        <sz val="14"/>
        <rFont val="華康"/>
        <family val="3"/>
        <charset val="136"/>
      </rPr>
      <t>月</t>
    </r>
    <r>
      <rPr>
        <b/>
        <sz val="14"/>
        <color indexed="56"/>
        <rFont val="華康"/>
        <family val="3"/>
        <charset val="136"/>
      </rPr>
      <t>台灣</t>
    </r>
    <r>
      <rPr>
        <b/>
        <sz val="14"/>
        <rFont val="華康"/>
        <family val="3"/>
        <charset val="136"/>
      </rPr>
      <t>自行車</t>
    </r>
    <r>
      <rPr>
        <b/>
        <sz val="14"/>
        <color indexed="56"/>
        <rFont val="華康"/>
        <family val="3"/>
        <charset val="136"/>
      </rPr>
      <t>對中國大陸</t>
    </r>
    <r>
      <rPr>
        <b/>
        <sz val="14"/>
        <rFont val="華康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華康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華康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</si>
  <si>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12</t>
    </r>
    <r>
      <rPr>
        <sz val="11"/>
        <rFont val="細明體"/>
        <family val="3"/>
        <charset val="136"/>
      </rPr>
      <t>月</t>
    </r>
    <r>
      <rPr>
        <sz val="11"/>
        <rFont val="MS Gothic"/>
        <family val="3"/>
        <charset val="128"/>
      </rPr>
      <t>出口數量</t>
    </r>
    <phoneticPr fontId="4" type="noConversion"/>
  </si>
  <si>
    <r>
      <t>12</t>
    </r>
    <r>
      <rPr>
        <sz val="11"/>
        <color rgb="FF0000FF"/>
        <rFont val="新細明體"/>
        <family val="1"/>
        <charset val="136"/>
      </rPr>
      <t>月</t>
    </r>
    <r>
      <rPr>
        <sz val="11"/>
        <color indexed="12"/>
        <rFont val="MS Gothic"/>
        <family val="3"/>
        <charset val="128"/>
      </rPr>
      <t>進口數量</t>
    </r>
    <phoneticPr fontId="4" type="noConversion"/>
  </si>
  <si>
    <r>
      <t>12月出口</t>
    </r>
    <r>
      <rPr>
        <sz val="11"/>
        <rFont val="細明體"/>
        <family val="3"/>
        <charset val="136"/>
      </rPr>
      <t>金額</t>
    </r>
    <phoneticPr fontId="4" type="noConversion"/>
  </si>
  <si>
    <r>
      <t>12</t>
    </r>
    <r>
      <rPr>
        <sz val="11"/>
        <color rgb="FF0000FF"/>
        <rFont val="新細明體"/>
        <family val="1"/>
        <charset val="136"/>
      </rPr>
      <t>月</t>
    </r>
    <r>
      <rPr>
        <sz val="11"/>
        <color indexed="12"/>
        <rFont val="MS Gothic"/>
        <family val="3"/>
        <charset val="128"/>
      </rPr>
      <t>進口</t>
    </r>
    <r>
      <rPr>
        <sz val="11"/>
        <color rgb="FF0000FF"/>
        <rFont val="新細明體"/>
        <family val="1"/>
        <charset val="136"/>
      </rPr>
      <t>金額</t>
    </r>
    <phoneticPr fontId="4" type="noConversion"/>
  </si>
  <si>
    <r>
      <t>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</si>
  <si>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2025/2024 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</si>
  <si>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1-12</t>
    </r>
    <r>
      <rPr>
        <sz val="11"/>
        <rFont val="新細明體"/>
        <family val="1"/>
        <charset val="136"/>
      </rPr>
      <t>月</t>
    </r>
    <phoneticPr fontId="3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</si>
  <si>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1-12</t>
    </r>
    <r>
      <rPr>
        <sz val="11"/>
        <rFont val="新細明體"/>
        <family val="1"/>
        <charset val="136"/>
      </rPr>
      <t>月</t>
    </r>
    <phoneticPr fontId="3" type="noConversion"/>
  </si>
  <si>
    <r>
      <t>2025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1-12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</si>
  <si>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2024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1-12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</si>
  <si>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2025/2024 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</si>
  <si>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2025/2024 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</si>
  <si>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2025/2024 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</si>
  <si>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MS Gothic"/>
        <family val="3"/>
        <charset val="128"/>
      </rPr>
      <t>月</t>
    </r>
    <r>
      <rPr>
        <b/>
        <sz val="14"/>
        <rFont val="細明體"/>
        <family val="3"/>
        <charset val="136"/>
      </rPr>
      <t>份</t>
    </r>
    <r>
      <rPr>
        <b/>
        <sz val="14"/>
        <rFont val="MS Gothic"/>
        <family val="3"/>
        <charset val="128"/>
      </rPr>
      <t>自行車主要零件</t>
    </r>
    <r>
      <rPr>
        <b/>
        <sz val="14"/>
        <color indexed="10"/>
        <rFont val="MS Gothic"/>
        <family val="3"/>
        <charset val="128"/>
      </rPr>
      <t>出進口</t>
    </r>
    <r>
      <rPr>
        <b/>
        <sz val="14"/>
        <rFont val="MS Gothic"/>
        <family val="3"/>
        <charset val="128"/>
      </rPr>
      <t>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</si>
  <si>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t>12月出口量</t>
    <phoneticPr fontId="3" type="noConversion"/>
  </si>
  <si>
    <t>12月出口金額</t>
    <phoneticPr fontId="3" type="noConversion"/>
  </si>
  <si>
    <r>
      <t>1-12</t>
    </r>
    <r>
      <rPr>
        <b/>
        <sz val="12"/>
        <rFont val="細明體"/>
        <family val="3"/>
        <charset val="136"/>
      </rPr>
      <t>月出口量</t>
    </r>
    <phoneticPr fontId="3" type="noConversion"/>
  </si>
  <si>
    <r>
      <t>1-12</t>
    </r>
    <r>
      <rPr>
        <b/>
        <sz val="12"/>
        <rFont val="細明體"/>
        <family val="3"/>
        <charset val="136"/>
      </rPr>
      <t>月出口金額</t>
    </r>
    <phoneticPr fontId="3" type="noConversion"/>
  </si>
  <si>
    <t>12月進口量</t>
    <phoneticPr fontId="3" type="noConversion"/>
  </si>
  <si>
    <t>12月進口金額</t>
    <phoneticPr fontId="3" type="noConversion"/>
  </si>
  <si>
    <r>
      <t>1-12</t>
    </r>
    <r>
      <rPr>
        <b/>
        <sz val="12"/>
        <rFont val="細明體"/>
        <family val="3"/>
        <charset val="136"/>
      </rPr>
      <t>月進口量</t>
    </r>
    <phoneticPr fontId="3" type="noConversion"/>
  </si>
  <si>
    <r>
      <t>1-12</t>
    </r>
    <r>
      <rPr>
        <b/>
        <sz val="12"/>
        <rFont val="細明體"/>
        <family val="3"/>
        <charset val="136"/>
      </rPr>
      <t>月進口金額</t>
    </r>
    <phoneticPr fontId="3" type="noConversion"/>
  </si>
  <si>
    <t>2025/2024 1-12月同期自行車主要零件出口統計比較(草本統計)</t>
    <phoneticPr fontId="3" type="noConversion"/>
  </si>
  <si>
    <t xml:space="preserve"> 進口平均單價　</t>
    <phoneticPr fontId="4" type="noConversion"/>
  </si>
  <si>
    <r>
      <t>2025/2024 1-12月同期自行車主要零件</t>
    </r>
    <r>
      <rPr>
        <b/>
        <sz val="16"/>
        <rFont val="Microsoft JhengHei"/>
        <family val="3"/>
      </rPr>
      <t>進</t>
    </r>
    <r>
      <rPr>
        <b/>
        <sz val="16"/>
        <rFont val="華康仿宋體"/>
        <family val="3"/>
        <charset val="136"/>
      </rPr>
      <t>口統計比較(草本統計)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</si>
</sst>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#,##0_ ;[Red]\-#,##0\ "/>
    <numFmt numFmtId="178" formatCode="_(&quot;$&quot;* #,##0_);_(&quot;$&quot;* \(#,##0\);_(&quot;$&quot;* &quot;-&quot;??_);_(@_)"/>
    <numFmt numFmtId="179" formatCode="_-* #,##0.0000_-;\-* #,##0.0000_-;_-* &quot;-&quot;_-;_-@_-"/>
    <numFmt numFmtId="180" formatCode="0.00%;[Red]\-0.00%;&quot;- &quot;"/>
    <numFmt numFmtId="181" formatCode="#,##0.00_ "/>
    <numFmt numFmtId="182" formatCode="#,##0_ "/>
    <numFmt numFmtId="183" formatCode="#,##0_);[Red]\(#,##0\)"/>
    <numFmt numFmtId="184" formatCode="#,##0.00_);[Red]\(#,##0.00\)"/>
  </numFmts>
  <fonts count="21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華康仿宋體"/>
      <family val="1"/>
      <charset val="136"/>
    </font>
    <font>
      <sz val="9"/>
      <name val="新細明體"/>
      <family val="1"/>
      <charset val="136"/>
    </font>
    <font>
      <sz val="12"/>
      <name val="MS Gothic"/>
      <family val="3"/>
      <charset val="128"/>
    </font>
    <font>
      <b/>
      <sz val="12"/>
      <name val="華康仿宋體"/>
      <family val="1"/>
      <charset val="136"/>
    </font>
    <font>
      <b/>
      <sz val="12"/>
      <name val="MS Gothic"/>
      <family val="3"/>
      <charset val="128"/>
    </font>
    <font>
      <b/>
      <sz val="10"/>
      <name val="華康仿宋體"/>
      <family val="1"/>
      <charset val="136"/>
    </font>
    <font>
      <sz val="12"/>
      <name val="新細明體"/>
      <family val="1"/>
      <charset val="136"/>
    </font>
    <font>
      <sz val="9"/>
      <name val="華康仿宋體W4"/>
      <family val="3"/>
      <charset val="136"/>
    </font>
    <font>
      <sz val="10"/>
      <name val="華康仿宋體"/>
      <family val="1"/>
      <charset val="136"/>
    </font>
    <font>
      <sz val="11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1"/>
      <color indexed="10"/>
      <name val="華康仿宋體"/>
      <family val="1"/>
      <charset val="136"/>
    </font>
    <font>
      <sz val="14"/>
      <name val="MS Gothic"/>
      <family val="3"/>
      <charset val="128"/>
    </font>
    <font>
      <sz val="14"/>
      <name val="細明體-ExtB"/>
      <family val="1"/>
      <charset val="136"/>
    </font>
    <font>
      <sz val="14"/>
      <color indexed="10"/>
      <name val="MS Gothic"/>
      <family val="3"/>
      <charset val="128"/>
    </font>
    <font>
      <b/>
      <sz val="14"/>
      <name val="華康仿宋體"/>
      <family val="1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9"/>
      <name val="華康仿宋體"/>
      <family val="1"/>
      <charset val="136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0"/>
      <name val="華康仿宋體"/>
      <family val="1"/>
      <charset val="136"/>
    </font>
    <font>
      <sz val="9"/>
      <color indexed="8"/>
      <name val="華康仿宋體"/>
      <family val="1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1"/>
      <charset val="136"/>
    </font>
    <font>
      <sz val="12"/>
      <color rgb="FFFF0000"/>
      <name val="Times New Roman"/>
      <family val="1"/>
    </font>
    <font>
      <b/>
      <sz val="14"/>
      <name val="MS Gothic"/>
      <family val="3"/>
      <charset val="128"/>
    </font>
    <font>
      <b/>
      <sz val="14"/>
      <name val="細明體-ExtB"/>
      <family val="1"/>
      <charset val="136"/>
    </font>
    <font>
      <b/>
      <sz val="14"/>
      <color indexed="10"/>
      <name val="MS Gothic"/>
      <family val="3"/>
      <charset val="128"/>
    </font>
    <font>
      <sz val="14"/>
      <color indexed="12"/>
      <name val="華康仿宋體"/>
      <family val="3"/>
      <charset val="136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name val="細明體-ExtB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華康仿宋體"/>
      <family val="1"/>
      <charset val="136"/>
    </font>
    <font>
      <b/>
      <sz val="14"/>
      <name val="華康仿宋體"/>
      <family val="1"/>
    </font>
    <font>
      <b/>
      <sz val="14"/>
      <name val="細明體"/>
      <family val="3"/>
      <charset val="136"/>
    </font>
    <font>
      <sz val="8"/>
      <name val="華康仿宋體"/>
      <family val="1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b/>
      <sz val="12"/>
      <color indexed="8"/>
      <name val="華康仿宋體"/>
      <family val="1"/>
      <charset val="136"/>
    </font>
    <font>
      <sz val="11"/>
      <name val="MS Gothic"/>
      <family val="3"/>
      <charset val="128"/>
    </font>
    <font>
      <sz val="12"/>
      <color indexed="12"/>
      <name val="細明體"/>
      <family val="3"/>
      <charset val="136"/>
    </font>
    <font>
      <b/>
      <sz val="14"/>
      <name val="Times New Roman"/>
      <family val="1"/>
    </font>
    <font>
      <b/>
      <sz val="14"/>
      <name val="華康"/>
      <family val="3"/>
      <charset val="136"/>
    </font>
    <font>
      <b/>
      <sz val="14"/>
      <color indexed="56"/>
      <name val="華康"/>
      <family val="3"/>
      <charset val="136"/>
    </font>
    <font>
      <sz val="11"/>
      <color indexed="12"/>
      <name val="MS Gothic"/>
      <family val="3"/>
      <charset val="128"/>
    </font>
    <font>
      <sz val="11"/>
      <name val="細明體"/>
      <family val="3"/>
      <charset val="136"/>
    </font>
    <font>
      <sz val="7"/>
      <name val="華康仿宋體"/>
      <family val="1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indexed="12"/>
      <name val="Arial Unicode MS"/>
      <family val="1"/>
      <charset val="136"/>
    </font>
    <font>
      <b/>
      <sz val="12"/>
      <color indexed="10"/>
      <name val="Arial Unicode MS"/>
      <family val="1"/>
      <charset val="136"/>
    </font>
    <font>
      <sz val="12"/>
      <color rgb="FF0000FF"/>
      <name val="新細明體"/>
      <family val="1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4"/>
      <color indexed="56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11"/>
      <color indexed="61"/>
      <name val="華康仿宋體"/>
      <family val="1"/>
      <charset val="136"/>
    </font>
    <font>
      <sz val="11"/>
      <color indexed="25"/>
      <name val="細明體"/>
      <family val="3"/>
      <charset val="136"/>
    </font>
    <font>
      <sz val="11"/>
      <color indexed="25"/>
      <name val="MS Gothic"/>
      <family val="3"/>
      <charset val="128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sz val="8"/>
      <name val="新細明體"/>
      <family val="1"/>
      <charset val="136"/>
    </font>
    <font>
      <sz val="11"/>
      <color indexed="62"/>
      <name val="華康仿宋體"/>
      <family val="1"/>
      <charset val="136"/>
    </font>
    <font>
      <sz val="12"/>
      <color indexed="17"/>
      <name val="新細明體"/>
      <family val="1"/>
      <charset val="136"/>
    </font>
    <font>
      <b/>
      <sz val="14"/>
      <color indexed="18"/>
      <name val="細明體"/>
      <family val="3"/>
      <charset val="136"/>
    </font>
    <font>
      <sz val="11"/>
      <color indexed="12"/>
      <name val="Times New Roman"/>
      <family val="1"/>
    </font>
    <font>
      <sz val="11"/>
      <color rgb="FF0000FF"/>
      <name val="Times New Roman"/>
      <family val="1"/>
    </font>
    <font>
      <sz val="8"/>
      <color indexed="17"/>
      <name val="華康仿宋體"/>
      <family val="1"/>
      <charset val="136"/>
    </font>
    <font>
      <sz val="8"/>
      <color indexed="10"/>
      <name val="新細明體"/>
      <family val="1"/>
      <charset val="136"/>
    </font>
    <font>
      <sz val="11"/>
      <color rgb="FF0000FF"/>
      <name val="華康仿宋體"/>
      <family val="1"/>
      <charset val="136"/>
    </font>
    <font>
      <sz val="9"/>
      <color indexed="17"/>
      <name val="華康仿宋體"/>
      <family val="1"/>
      <charset val="136"/>
    </font>
    <font>
      <b/>
      <sz val="12"/>
      <color rgb="FF0000FF"/>
      <name val="Arial Unicode MS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rgb="FF0000FF"/>
      <name val="Times New Roman"/>
      <family val="1"/>
    </font>
    <font>
      <sz val="12"/>
      <color rgb="FFFF0000"/>
      <name val="新細明體"/>
      <family val="1"/>
    </font>
    <font>
      <b/>
      <sz val="12"/>
      <color rgb="FFFF0000"/>
      <name val="Times New Roman"/>
      <family val="1"/>
    </font>
    <font>
      <sz val="12"/>
      <color rgb="FF0033CC"/>
      <name val="新細明體"/>
      <family val="1"/>
    </font>
    <font>
      <sz val="11"/>
      <color indexed="25"/>
      <name val="華康仿宋體"/>
      <family val="3"/>
    </font>
    <font>
      <sz val="11"/>
      <color rgb="FF0033CC"/>
      <name val="Times New Roman"/>
      <family val="1"/>
    </font>
    <font>
      <sz val="11"/>
      <color indexed="30"/>
      <name val="細明體"/>
      <family val="3"/>
      <charset val="136"/>
    </font>
    <font>
      <sz val="11"/>
      <color rgb="FF0033CC"/>
      <name val="華康仿宋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0033CC"/>
      <name val="Arial Unicode MS"/>
      <family val="1"/>
      <charset val="136"/>
    </font>
    <font>
      <b/>
      <sz val="12"/>
      <color rgb="FF0033CC"/>
      <name val="Times New Roman"/>
      <family val="1"/>
    </font>
    <font>
      <sz val="12"/>
      <color rgb="FF0033CC"/>
      <name val="華康仿宋體"/>
      <family val="1"/>
      <charset val="136"/>
    </font>
    <font>
      <sz val="7"/>
      <color indexed="17"/>
      <name val="華康仿宋體"/>
      <family val="1"/>
      <charset val="136"/>
    </font>
    <font>
      <sz val="12"/>
      <name val="新細明體"/>
      <family val="1"/>
    </font>
    <font>
      <b/>
      <sz val="12"/>
      <name val="新細明體"/>
      <family val="1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1"/>
      <charset val="136"/>
    </font>
    <font>
      <sz val="12"/>
      <color indexed="10"/>
      <name val="華康仿宋體W4"/>
      <family val="3"/>
      <charset val="136"/>
    </font>
    <font>
      <sz val="12"/>
      <color indexed="12"/>
      <name val="新細明體"/>
      <family val="1"/>
      <charset val="136"/>
      <scheme val="minor"/>
    </font>
    <font>
      <sz val="12"/>
      <name val="華康仿宋體W4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Abadi MT Condensed Light"/>
      <family val="2"/>
    </font>
    <font>
      <b/>
      <sz val="12"/>
      <color indexed="12"/>
      <name val="MS Gothic"/>
      <family val="3"/>
      <charset val="128"/>
    </font>
    <font>
      <b/>
      <sz val="12"/>
      <color indexed="12"/>
      <name val="細明體"/>
      <family val="3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sz val="12"/>
      <color theme="1"/>
      <name val="Times New Roman"/>
      <family val="1"/>
    </font>
    <font>
      <sz val="12"/>
      <name val="Modern"/>
      <family val="3"/>
      <charset val="255"/>
    </font>
    <font>
      <sz val="11"/>
      <name val="Arial Unicode MS"/>
      <family val="1"/>
      <charset val="136"/>
    </font>
    <font>
      <sz val="11"/>
      <color indexed="14"/>
      <name val="Arial Unicode MS"/>
      <family val="1"/>
      <charset val="136"/>
    </font>
    <font>
      <sz val="11"/>
      <color indexed="12"/>
      <name val="Arial Unicode MS"/>
      <family val="1"/>
      <charset val="136"/>
    </font>
    <font>
      <sz val="11"/>
      <color indexed="53"/>
      <name val="Arial Unicode MS"/>
      <family val="1"/>
      <charset val="136"/>
    </font>
    <font>
      <sz val="11"/>
      <color indexed="52"/>
      <name val="Arial Unicode MS"/>
      <family val="1"/>
      <charset val="136"/>
    </font>
    <font>
      <sz val="11"/>
      <color indexed="10"/>
      <name val="Arial Unicode MS"/>
      <family val="1"/>
      <charset val="136"/>
    </font>
    <font>
      <sz val="11"/>
      <color indexed="17"/>
      <name val="Arial Unicode MS"/>
      <family val="1"/>
      <charset val="136"/>
    </font>
    <font>
      <sz val="11"/>
      <color indexed="20"/>
      <name val="Arial Unicode MS"/>
      <family val="1"/>
      <charset val="136"/>
    </font>
    <font>
      <sz val="11"/>
      <color indexed="60"/>
      <name val="Arial Unicode MS"/>
      <family val="1"/>
      <charset val="136"/>
    </font>
    <font>
      <sz val="11"/>
      <color theme="8" tint="-0.249977111117893"/>
      <name val="Arial Unicode MS"/>
      <family val="1"/>
      <charset val="136"/>
    </font>
    <font>
      <sz val="11"/>
      <color rgb="FF40864F"/>
      <name val="Arial Unicode MS"/>
      <family val="1"/>
      <charset val="136"/>
    </font>
    <font>
      <sz val="11"/>
      <color rgb="FF002060"/>
      <name val="Arial Unicode MS"/>
      <family val="1"/>
      <charset val="136"/>
    </font>
    <font>
      <sz val="11"/>
      <color rgb="FFFF0000"/>
      <name val="Arial Unicode MS"/>
      <family val="1"/>
      <charset val="136"/>
    </font>
    <font>
      <sz val="11"/>
      <color rgb="FF7030A0"/>
      <name val="Arial Unicode MS"/>
      <family val="1"/>
      <charset val="136"/>
    </font>
    <font>
      <sz val="8"/>
      <color indexed="10"/>
      <name val="華康仿宋體"/>
      <family val="1"/>
      <charset val="136"/>
    </font>
    <font>
      <sz val="14"/>
      <color rgb="FFFF0000"/>
      <name val="MS Gothic"/>
      <family val="3"/>
      <charset val="128"/>
    </font>
    <font>
      <sz val="12"/>
      <color rgb="FF0000FF"/>
      <name val="MS Gothic"/>
      <family val="3"/>
      <charset val="128"/>
    </font>
    <font>
      <b/>
      <sz val="14"/>
      <color rgb="FFFF0000"/>
      <name val="MS Gothic"/>
      <family val="3"/>
      <charset val="128"/>
    </font>
    <font>
      <b/>
      <sz val="12"/>
      <name val="MS Gothic"/>
      <family val="3"/>
      <charset val="136"/>
    </font>
    <font>
      <b/>
      <sz val="12"/>
      <name val="Abadi MT Condensed Light"/>
      <family val="3"/>
      <charset val="136"/>
    </font>
    <font>
      <b/>
      <sz val="12"/>
      <color indexed="12"/>
      <name val="MS Gothic"/>
      <family val="3"/>
      <charset val="136"/>
    </font>
    <font>
      <sz val="8"/>
      <color rgb="FF008000"/>
      <name val="MS Gothic"/>
      <family val="3"/>
      <charset val="128"/>
    </font>
    <font>
      <sz val="12"/>
      <color rgb="FFFF0000"/>
      <name val="華康仿宋體"/>
      <family val="1"/>
      <charset val="136"/>
    </font>
    <font>
      <sz val="12"/>
      <name val="新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rgb="FF0066CC"/>
      <name val="Arial Unicode MS"/>
      <family val="1"/>
      <charset val="136"/>
    </font>
    <font>
      <sz val="11"/>
      <color rgb="FF005696"/>
      <name val="Arial Unicode MS"/>
      <family val="1"/>
      <charset val="136"/>
    </font>
    <font>
      <sz val="11"/>
      <color rgb="FF0070C0"/>
      <name val="Arial Unicode MS"/>
      <family val="1"/>
      <charset val="136"/>
    </font>
    <font>
      <sz val="11"/>
      <color rgb="FFCC3300"/>
      <name val="Arial Unicode MS"/>
      <family val="1"/>
      <charset val="136"/>
    </font>
    <font>
      <sz val="11"/>
      <color rgb="FFCC6600"/>
      <name val="Arial Unicode MS"/>
      <family val="1"/>
      <charset val="136"/>
    </font>
    <font>
      <sz val="11"/>
      <color rgb="FFCC3300"/>
      <name val="新細明體"/>
      <family val="1"/>
      <charset val="136"/>
    </font>
    <font>
      <sz val="12"/>
      <color rgb="FFCC3300"/>
      <name val="Arial Unicode MS"/>
      <family val="1"/>
      <charset val="136"/>
    </font>
    <font>
      <sz val="12"/>
      <color rgb="FFCC3300"/>
      <name val="新細明體"/>
      <family val="1"/>
      <charset val="136"/>
    </font>
    <font>
      <sz val="12"/>
      <color rgb="FF005696"/>
      <name val="Arial Unicode MS"/>
      <family val="1"/>
      <charset val="136"/>
    </font>
    <font>
      <sz val="12"/>
      <color rgb="FF7030A0"/>
      <name val="Arial Unicode MS"/>
      <family val="1"/>
      <charset val="136"/>
    </font>
    <font>
      <sz val="12"/>
      <color indexed="36"/>
      <name val="Microsoft JhengHei UI"/>
      <family val="2"/>
      <charset val="136"/>
    </font>
    <font>
      <sz val="12"/>
      <name val="Arial Unicode MS"/>
      <family val="1"/>
      <charset val="136"/>
    </font>
    <font>
      <sz val="12"/>
      <color rgb="FFFF0000"/>
      <name val="Arial Unicode MS"/>
      <family val="1"/>
      <charset val="136"/>
    </font>
    <font>
      <sz val="12"/>
      <color rgb="FF002060"/>
      <name val="Arial Unicode MS"/>
      <family val="1"/>
      <charset val="136"/>
    </font>
    <font>
      <sz val="12"/>
      <color rgb="FF40864F"/>
      <name val="Arial Unicode MS"/>
      <family val="1"/>
      <charset val="136"/>
    </font>
    <font>
      <sz val="12"/>
      <color theme="8" tint="-0.249977111117893"/>
      <name val="Arial Unicode MS"/>
      <family val="1"/>
      <charset val="136"/>
    </font>
    <font>
      <sz val="12"/>
      <color indexed="60"/>
      <name val="Arial Unicode MS"/>
      <family val="1"/>
      <charset val="136"/>
    </font>
    <font>
      <sz val="12"/>
      <color indexed="20"/>
      <name val="Arial Unicode MS"/>
      <family val="1"/>
      <charset val="136"/>
    </font>
    <font>
      <sz val="12"/>
      <color indexed="21"/>
      <name val="Arial Unicode MS"/>
      <family val="1"/>
      <charset val="136"/>
    </font>
    <font>
      <sz val="12"/>
      <color indexed="53"/>
      <name val="Arial Unicode MS"/>
      <family val="1"/>
      <charset val="136"/>
    </font>
    <font>
      <sz val="12"/>
      <color indexed="14"/>
      <name val="Arial Unicode MS"/>
      <family val="1"/>
      <charset val="136"/>
    </font>
    <font>
      <sz val="12"/>
      <color indexed="12"/>
      <name val="Arial Unicode MS"/>
      <family val="1"/>
      <charset val="136"/>
    </font>
    <font>
      <sz val="12"/>
      <color indexed="61"/>
      <name val="Arial Unicode MS"/>
      <family val="1"/>
      <charset val="136"/>
    </font>
    <font>
      <sz val="12"/>
      <color indexed="8"/>
      <name val="Arial Unicode MS"/>
      <family val="1"/>
      <charset val="136"/>
    </font>
    <font>
      <sz val="12"/>
      <color indexed="17"/>
      <name val="Arial Unicode MS"/>
      <family val="1"/>
      <charset val="136"/>
    </font>
    <font>
      <sz val="12"/>
      <color rgb="FF0066CC"/>
      <name val="Arial Unicode MS"/>
      <family val="1"/>
      <charset val="136"/>
    </font>
    <font>
      <sz val="12"/>
      <color rgb="FF00B050"/>
      <name val="Arial Unicode MS"/>
      <family val="1"/>
      <charset val="136"/>
    </font>
    <font>
      <sz val="12"/>
      <color indexed="18"/>
      <name val="Arial Unicode MS"/>
      <family val="1"/>
      <charset val="136"/>
    </font>
    <font>
      <sz val="12"/>
      <color indexed="54"/>
      <name val="Arial Unicode MS"/>
      <family val="1"/>
      <charset val="136"/>
    </font>
    <font>
      <sz val="12"/>
      <color indexed="10"/>
      <name val="Arial Unicode MS"/>
      <family val="1"/>
      <charset val="136"/>
    </font>
    <font>
      <b/>
      <sz val="12"/>
      <color theme="1"/>
      <name val="Times New Roman"/>
      <family val="1"/>
    </font>
    <font>
      <sz val="12"/>
      <color rgb="FFF99707"/>
      <name val="Arial Unicode MS"/>
      <family val="2"/>
      <charset val="136"/>
    </font>
    <font>
      <sz val="12"/>
      <color theme="9" tint="-0.249977111117893"/>
      <name val="Arial Unicode MS"/>
      <family val="2"/>
      <charset val="136"/>
    </font>
    <font>
      <sz val="11"/>
      <color theme="9" tint="-0.249977111117893"/>
      <name val="Arial Unicode MS"/>
      <family val="2"/>
      <charset val="136"/>
    </font>
    <font>
      <sz val="11"/>
      <color theme="5" tint="-0.499984740745262"/>
      <name val="Arial Unicode MS"/>
      <family val="1"/>
      <charset val="136"/>
    </font>
    <font>
      <sz val="11"/>
      <color theme="9" tint="-0.249977111117893"/>
      <name val="Arial Unicode MS"/>
      <family val="1"/>
      <charset val="136"/>
    </font>
    <font>
      <sz val="11"/>
      <color theme="4" tint="-0.499984740745262"/>
      <name val="Arial Unicode MS"/>
      <family val="1"/>
      <charset val="136"/>
    </font>
    <font>
      <sz val="12"/>
      <color rgb="FF9966FF"/>
      <name val="Times New Roman"/>
      <family val="1"/>
    </font>
    <font>
      <sz val="12"/>
      <color rgb="FFF78DEA"/>
      <name val="Arial Unicode MS"/>
      <family val="2"/>
      <charset val="136"/>
    </font>
    <font>
      <sz val="12"/>
      <color rgb="FFF78DEA"/>
      <name val="新細明體"/>
      <family val="2"/>
      <charset val="136"/>
      <scheme val="minor"/>
    </font>
    <font>
      <sz val="12"/>
      <color theme="0" tint="-0.499984740745262"/>
      <name val="Arial Unicode MS"/>
      <family val="1"/>
      <charset val="136"/>
    </font>
    <font>
      <sz val="12"/>
      <color theme="0" tint="-0.499984740745262"/>
      <name val="新細明體"/>
      <family val="2"/>
      <charset val="136"/>
      <scheme val="minor"/>
    </font>
    <font>
      <sz val="12"/>
      <color theme="9"/>
      <name val="Arial Unicode MS"/>
      <family val="1"/>
      <charset val="136"/>
    </font>
    <font>
      <sz val="12"/>
      <color theme="9"/>
      <name val="新細明體"/>
      <family val="2"/>
      <charset val="136"/>
      <scheme val="minor"/>
    </font>
    <font>
      <sz val="11"/>
      <color rgb="FFF78DEA"/>
      <name val="Arial Unicode MS"/>
      <family val="2"/>
      <charset val="136"/>
    </font>
    <font>
      <sz val="11"/>
      <color rgb="FFF78DEA"/>
      <name val="Arial Unicode MS"/>
      <family val="1"/>
      <charset val="136"/>
    </font>
    <font>
      <sz val="11"/>
      <color theme="9"/>
      <name val="Arial Unicode MS"/>
      <family val="1"/>
      <charset val="136"/>
    </font>
    <font>
      <sz val="11"/>
      <color theme="0" tint="-0.499984740745262"/>
      <name val="Arial Unicode MS"/>
      <family val="1"/>
      <charset val="136"/>
    </font>
    <font>
      <sz val="12"/>
      <color theme="1"/>
      <name val="Arial Unicode MS"/>
      <family val="2"/>
      <charset val="136"/>
    </font>
    <font>
      <sz val="11"/>
      <color rgb="FFA40C92"/>
      <name val="Arial Unicode MS"/>
      <family val="2"/>
      <charset val="136"/>
    </font>
    <font>
      <sz val="12"/>
      <color rgb="FFA40C92"/>
      <name val="Arial Unicode MS"/>
      <family val="2"/>
      <charset val="136"/>
    </font>
    <font>
      <sz val="11"/>
      <color rgb="FFA40C92"/>
      <name val="Arial Unicode MS"/>
      <family val="1"/>
      <charset val="136"/>
    </font>
    <font>
      <sz val="12"/>
      <name val="新細明體"/>
      <family val="2"/>
      <charset val="136"/>
      <scheme val="minor"/>
    </font>
    <font>
      <sz val="12"/>
      <color rgb="FF005696"/>
      <name val="新細明體"/>
      <family val="1"/>
      <charset val="136"/>
    </font>
    <font>
      <sz val="12"/>
      <color theme="4" tint="-0.499984740745262"/>
      <name val="Arial Unicode MS"/>
      <family val="2"/>
      <charset val="136"/>
    </font>
    <font>
      <sz val="12"/>
      <color theme="4" tint="-0.499984740745262"/>
      <name val="Arial Unicode MS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1"/>
      <name val="Arial Unicode MS"/>
      <family val="2"/>
      <charset val="136"/>
    </font>
    <font>
      <sz val="11"/>
      <color theme="4" tint="-0.499984740745262"/>
      <name val="Arial Unicode MS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Microsoft JhengHei"/>
      <family val="1"/>
    </font>
    <font>
      <b/>
      <sz val="16"/>
      <color rgb="FF000000"/>
      <name val="新細明體"/>
      <family val="1"/>
      <charset val="136"/>
      <scheme val="minor"/>
    </font>
    <font>
      <b/>
      <sz val="18"/>
      <color rgb="FF000000"/>
      <name val="新細明體"/>
      <family val="1"/>
      <charset val="136"/>
      <scheme val="minor"/>
    </font>
    <font>
      <sz val="14"/>
      <name val="新細明體"/>
      <family val="1"/>
      <charset val="136"/>
    </font>
    <font>
      <b/>
      <sz val="12"/>
      <name val="Microsoft JhengHei"/>
      <family val="3"/>
    </font>
    <font>
      <sz val="11"/>
      <color rgb="FF0000FF"/>
      <name val="新細明體"/>
      <family val="1"/>
      <charset val="136"/>
    </font>
    <font>
      <sz val="11"/>
      <name val="細明體-ExtB"/>
      <family val="1"/>
      <charset val="136"/>
    </font>
    <font>
      <sz val="11"/>
      <color indexed="10"/>
      <name val="新細明體"/>
      <family val="1"/>
      <charset val="136"/>
    </font>
    <font>
      <b/>
      <sz val="11"/>
      <color rgb="FF242424"/>
      <name val="微軟正黑體"/>
      <family val="2"/>
      <charset val="136"/>
    </font>
    <font>
      <sz val="12"/>
      <color theme="4" tint="-0.499984740745262"/>
      <name val="Arial Unicode MS"/>
      <charset val="136"/>
    </font>
    <font>
      <b/>
      <sz val="16"/>
      <name val="Microsoft JhengHei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4" fillId="0" borderId="0">
      <alignment vertical="center"/>
    </xf>
    <xf numFmtId="0" fontId="27" fillId="0" borderId="0"/>
  </cellStyleXfs>
  <cellXfs count="78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5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0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43" fontId="0" fillId="2" borderId="8" xfId="0" applyNumberFormat="1" applyFill="1" applyBorder="1" applyAlignment="1"/>
    <xf numFmtId="43" fontId="0" fillId="2" borderId="5" xfId="0" applyNumberFormat="1" applyFill="1" applyBorder="1" applyAlignment="1"/>
    <xf numFmtId="0" fontId="5" fillId="2" borderId="7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10" fontId="0" fillId="2" borderId="6" xfId="2" applyNumberFormat="1" applyFont="1" applyFill="1" applyBorder="1" applyAlignment="1"/>
    <xf numFmtId="43" fontId="0" fillId="2" borderId="9" xfId="0" applyNumberFormat="1" applyFill="1" applyBorder="1" applyAlignment="1"/>
    <xf numFmtId="0" fontId="5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2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0" fontId="5" fillId="2" borderId="10" xfId="0" applyFont="1" applyFill="1" applyBorder="1" applyAlignment="1">
      <alignment horizontal="center"/>
    </xf>
    <xf numFmtId="43" fontId="0" fillId="0" borderId="10" xfId="0" applyNumberFormat="1" applyBorder="1" applyAlignment="1"/>
    <xf numFmtId="0" fontId="5" fillId="0" borderId="0" xfId="0" applyFont="1" applyAlignment="1">
      <alignment horizontal="center"/>
    </xf>
    <xf numFmtId="176" fontId="0" fillId="0" borderId="0" xfId="0" applyNumberFormat="1" applyAlignment="1"/>
    <xf numFmtId="10" fontId="0" fillId="0" borderId="0" xfId="0" applyNumberFormat="1" applyAlignment="1"/>
    <xf numFmtId="10" fontId="0" fillId="0" borderId="0" xfId="2" applyNumberFormat="1" applyFont="1" applyAlignment="1"/>
    <xf numFmtId="0" fontId="5" fillId="2" borderId="1" xfId="0" applyFont="1" applyFill="1" applyBorder="1" applyAlignment="1">
      <alignment horizontal="left"/>
    </xf>
    <xf numFmtId="176" fontId="0" fillId="2" borderId="2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2" applyNumberFormat="1" applyFont="1" applyFill="1" applyBorder="1" applyAlignment="1"/>
    <xf numFmtId="43" fontId="0" fillId="2" borderId="3" xfId="0" applyNumberFormat="1" applyFill="1" applyBorder="1" applyAlignment="1"/>
    <xf numFmtId="0" fontId="5" fillId="0" borderId="5" xfId="0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9" xfId="0" quotePrefix="1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1" xfId="0" quotePrefix="1" applyNumberFormat="1" applyFont="1" applyBorder="1" applyAlignment="1">
      <alignment horizontal="center"/>
    </xf>
    <xf numFmtId="10" fontId="5" fillId="0" borderId="11" xfId="2" quotePrefix="1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2" applyNumberFormat="1" applyFont="1" applyFill="1" applyBorder="1" applyAlignment="1"/>
    <xf numFmtId="0" fontId="5" fillId="0" borderId="0" xfId="0" quotePrefix="1" applyFont="1" applyAlignment="1">
      <alignment horizontal="left"/>
    </xf>
    <xf numFmtId="176" fontId="0" fillId="2" borderId="0" xfId="0" applyNumberFormat="1" applyFill="1" applyAlignment="1"/>
    <xf numFmtId="43" fontId="5" fillId="0" borderId="0" xfId="0" applyNumberFormat="1" applyFont="1" applyAlignment="1"/>
    <xf numFmtId="0" fontId="14" fillId="0" borderId="0" xfId="0" applyFont="1" applyAlignment="1"/>
    <xf numFmtId="176" fontId="14" fillId="0" borderId="0" xfId="0" applyNumberFormat="1" applyFont="1" applyAlignment="1"/>
    <xf numFmtId="176" fontId="15" fillId="0" borderId="0" xfId="0" applyNumberFormat="1" applyFont="1" applyAlignment="1"/>
    <xf numFmtId="43" fontId="16" fillId="0" borderId="0" xfId="0" applyNumberFormat="1" applyFont="1" applyAlignment="1"/>
    <xf numFmtId="176" fontId="16" fillId="0" borderId="0" xfId="0" applyNumberFormat="1" applyFont="1" applyAlignment="1"/>
    <xf numFmtId="43" fontId="14" fillId="0" borderId="0" xfId="0" applyNumberFormat="1" applyFont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0" applyNumberFormat="1" applyFont="1" applyAlignment="1">
      <alignment horizontal="centerContinuous"/>
    </xf>
    <xf numFmtId="43" fontId="23" fillId="0" borderId="0" xfId="0" applyNumberFormat="1" applyFont="1" applyAlignment="1">
      <alignment horizontal="centerContinuous"/>
    </xf>
    <xf numFmtId="43" fontId="21" fillId="0" borderId="0" xfId="0" applyNumberFormat="1" applyFont="1" applyAlignment="1">
      <alignment horizontal="centerContinuous"/>
    </xf>
    <xf numFmtId="0" fontId="24" fillId="0" borderId="0" xfId="0" applyFont="1" applyAlignment="1"/>
    <xf numFmtId="10" fontId="25" fillId="0" borderId="0" xfId="0" applyNumberFormat="1" applyFont="1" applyAlignment="1"/>
    <xf numFmtId="43" fontId="26" fillId="0" borderId="0" xfId="0" applyNumberFormat="1" applyFont="1" applyAlignment="1"/>
    <xf numFmtId="43" fontId="24" fillId="0" borderId="0" xfId="0" applyNumberFormat="1" applyFont="1" applyAlignment="1"/>
    <xf numFmtId="0" fontId="28" fillId="0" borderId="4" xfId="0" quotePrefix="1" applyFont="1" applyBorder="1" applyAlignment="1">
      <alignment horizontal="center"/>
    </xf>
    <xf numFmtId="0" fontId="29" fillId="0" borderId="5" xfId="0" quotePrefix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5" xfId="0" quotePrefix="1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0" fontId="31" fillId="0" borderId="9" xfId="0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43" fontId="32" fillId="0" borderId="9" xfId="0" applyNumberFormat="1" applyFont="1" applyBorder="1" applyAlignment="1">
      <alignment horizontal="center"/>
    </xf>
    <xf numFmtId="43" fontId="34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4" fillId="2" borderId="5" xfId="0" applyFont="1" applyFill="1" applyBorder="1" applyAlignment="1"/>
    <xf numFmtId="10" fontId="25" fillId="2" borderId="5" xfId="0" applyNumberFormat="1" applyFont="1" applyFill="1" applyBorder="1" applyAlignment="1"/>
    <xf numFmtId="43" fontId="26" fillId="2" borderId="5" xfId="0" applyNumberFormat="1" applyFont="1" applyFill="1" applyBorder="1" applyAlignment="1"/>
    <xf numFmtId="43" fontId="24" fillId="2" borderId="5" xfId="0" applyNumberFormat="1" applyFont="1" applyFill="1" applyBorder="1" applyAlignment="1"/>
    <xf numFmtId="176" fontId="24" fillId="2" borderId="6" xfId="0" applyNumberFormat="1" applyFont="1" applyFill="1" applyBorder="1" applyAlignment="1"/>
    <xf numFmtId="10" fontId="35" fillId="2" borderId="9" xfId="2" applyNumberFormat="1" applyFont="1" applyFill="1" applyBorder="1" applyAlignment="1"/>
    <xf numFmtId="43" fontId="26" fillId="0" borderId="6" xfId="0" applyNumberFormat="1" applyFont="1" applyBorder="1" applyAlignment="1"/>
    <xf numFmtId="43" fontId="24" fillId="2" borderId="6" xfId="0" applyNumberFormat="1" applyFont="1" applyFill="1" applyBorder="1" applyAlignment="1"/>
    <xf numFmtId="176" fontId="24" fillId="0" borderId="6" xfId="0" applyNumberFormat="1" applyFont="1" applyBorder="1" applyAlignment="1"/>
    <xf numFmtId="10" fontId="27" fillId="2" borderId="9" xfId="2" applyNumberFormat="1" applyFont="1" applyFill="1" applyBorder="1" applyAlignment="1"/>
    <xf numFmtId="176" fontId="24" fillId="0" borderId="10" xfId="0" applyNumberFormat="1" applyFont="1" applyBorder="1" applyAlignment="1"/>
    <xf numFmtId="43" fontId="26" fillId="0" borderId="9" xfId="0" applyNumberFormat="1" applyFont="1" applyBorder="1" applyAlignment="1"/>
    <xf numFmtId="43" fontId="24" fillId="0" borderId="9" xfId="0" applyNumberFormat="1" applyFont="1" applyBorder="1" applyAlignment="1"/>
    <xf numFmtId="176" fontId="24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/>
    </xf>
    <xf numFmtId="176" fontId="5" fillId="0" borderId="10" xfId="0" quotePrefix="1" applyNumberFormat="1" applyFont="1" applyBorder="1" applyAlignment="1">
      <alignment horizontal="center"/>
    </xf>
    <xf numFmtId="176" fontId="24" fillId="2" borderId="2" xfId="0" applyNumberFormat="1" applyFont="1" applyFill="1" applyBorder="1" applyAlignment="1"/>
    <xf numFmtId="10" fontId="25" fillId="0" borderId="0" xfId="2" applyNumberFormat="1" applyFont="1" applyAlignment="1"/>
    <xf numFmtId="43" fontId="26" fillId="2" borderId="0" xfId="0" applyNumberFormat="1" applyFont="1" applyFill="1" applyAlignment="1"/>
    <xf numFmtId="43" fontId="24" fillId="2" borderId="0" xfId="0" applyNumberFormat="1" applyFont="1" applyFill="1" applyAlignment="1"/>
    <xf numFmtId="176" fontId="24" fillId="2" borderId="12" xfId="0" applyNumberFormat="1" applyFont="1" applyFill="1" applyBorder="1" applyAlignment="1"/>
    <xf numFmtId="10" fontId="25" fillId="2" borderId="2" xfId="0" applyNumberFormat="1" applyFont="1" applyFill="1" applyBorder="1" applyAlignment="1"/>
    <xf numFmtId="10" fontId="25" fillId="2" borderId="3" xfId="2" applyNumberFormat="1" applyFont="1" applyFill="1" applyBorder="1" applyAlignment="1"/>
    <xf numFmtId="43" fontId="24" fillId="2" borderId="12" xfId="0" applyNumberFormat="1" applyFont="1" applyFill="1" applyBorder="1" applyAlignment="1"/>
    <xf numFmtId="176" fontId="29" fillId="0" borderId="9" xfId="0" applyNumberFormat="1" applyFont="1" applyBorder="1" applyAlignment="1">
      <alignment horizontal="center"/>
    </xf>
    <xf numFmtId="10" fontId="31" fillId="0" borderId="9" xfId="2" applyNumberFormat="1" applyFont="1" applyBorder="1" applyAlignment="1">
      <alignment horizontal="center"/>
    </xf>
    <xf numFmtId="0" fontId="39" fillId="0" borderId="0" xfId="0" applyFont="1" applyAlignment="1">
      <alignment horizontal="centerContinuous"/>
    </xf>
    <xf numFmtId="0" fontId="27" fillId="0" borderId="0" xfId="0" applyFont="1" applyAlignment="1"/>
    <xf numFmtId="0" fontId="40" fillId="0" borderId="0" xfId="0" applyFont="1" applyAlignment="1"/>
    <xf numFmtId="0" fontId="27" fillId="3" borderId="1" xfId="0" applyFont="1" applyFill="1" applyBorder="1" applyAlignment="1"/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0" fontId="24" fillId="3" borderId="2" xfId="0" applyFont="1" applyFill="1" applyBorder="1" applyAlignment="1"/>
    <xf numFmtId="0" fontId="29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4" xfId="0" quotePrefix="1" applyFont="1" applyBorder="1" applyAlignment="1">
      <alignment horizontal="center"/>
    </xf>
    <xf numFmtId="0" fontId="40" fillId="2" borderId="8" xfId="0" applyFont="1" applyFill="1" applyBorder="1" applyAlignment="1"/>
    <xf numFmtId="0" fontId="0" fillId="2" borderId="5" xfId="0" applyFill="1" applyBorder="1" applyAlignment="1"/>
    <xf numFmtId="176" fontId="0" fillId="2" borderId="9" xfId="0" applyNumberFormat="1" applyFill="1" applyBorder="1" applyAlignment="1"/>
    <xf numFmtId="2" fontId="0" fillId="2" borderId="6" xfId="0" applyNumberFormat="1" applyFill="1" applyBorder="1" applyAlignment="1"/>
    <xf numFmtId="176" fontId="40" fillId="2" borderId="6" xfId="0" applyNumberFormat="1" applyFont="1" applyFill="1" applyBorder="1" applyAlignment="1"/>
    <xf numFmtId="10" fontId="1" fillId="2" borderId="6" xfId="2" applyNumberFormat="1" applyFill="1" applyBorder="1" applyAlignment="1"/>
    <xf numFmtId="2" fontId="0" fillId="2" borderId="9" xfId="0" applyNumberFormat="1" applyFill="1" applyBorder="1" applyAlignment="1"/>
    <xf numFmtId="2" fontId="0" fillId="0" borderId="6" xfId="0" applyNumberFormat="1" applyBorder="1" applyAlignment="1"/>
    <xf numFmtId="176" fontId="40" fillId="0" borderId="6" xfId="0" applyNumberFormat="1" applyFont="1" applyBorder="1" applyAlignment="1"/>
    <xf numFmtId="10" fontId="1" fillId="0" borderId="6" xfId="2" applyNumberFormat="1" applyBorder="1" applyAlignment="1"/>
    <xf numFmtId="176" fontId="40" fillId="0" borderId="10" xfId="0" applyNumberFormat="1" applyFont="1" applyBorder="1" applyAlignment="1"/>
    <xf numFmtId="2" fontId="0" fillId="0" borderId="9" xfId="0" applyNumberFormat="1" applyBorder="1" applyAlignment="1"/>
    <xf numFmtId="0" fontId="0" fillId="0" borderId="10" xfId="0" applyBorder="1" applyAlignment="1">
      <alignment horizontal="center"/>
    </xf>
    <xf numFmtId="176" fontId="40" fillId="2" borderId="10" xfId="0" applyNumberFormat="1" applyFont="1" applyFill="1" applyBorder="1" applyAlignment="1"/>
    <xf numFmtId="2" fontId="0" fillId="0" borderId="10" xfId="0" applyNumberFormat="1" applyBorder="1" applyAlignment="1"/>
    <xf numFmtId="176" fontId="40" fillId="3" borderId="6" xfId="0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176" fontId="40" fillId="0" borderId="0" xfId="0" applyNumberFormat="1" applyFont="1" applyAlignment="1"/>
    <xf numFmtId="10" fontId="1" fillId="0" borderId="0" xfId="2" applyNumberFormat="1" applyAlignment="1"/>
    <xf numFmtId="0" fontId="0" fillId="2" borderId="1" xfId="0" applyFill="1" applyBorder="1" applyAlignment="1">
      <alignment horizontal="left"/>
    </xf>
    <xf numFmtId="2" fontId="0" fillId="2" borderId="2" xfId="0" applyNumberFormat="1" applyFill="1" applyBorder="1" applyAlignment="1"/>
    <xf numFmtId="176" fontId="40" fillId="2" borderId="2" xfId="0" applyNumberFormat="1" applyFont="1" applyFill="1" applyBorder="1" applyAlignment="1"/>
    <xf numFmtId="10" fontId="1" fillId="2" borderId="2" xfId="2" applyNumberFormat="1" applyFill="1" applyBorder="1" applyAlignment="1"/>
    <xf numFmtId="2" fontId="0" fillId="2" borderId="3" xfId="0" applyNumberFormat="1" applyFill="1" applyBorder="1" applyAlignment="1"/>
    <xf numFmtId="2" fontId="5" fillId="0" borderId="11" xfId="0" applyNumberFormat="1" applyFont="1" applyBorder="1" applyAlignment="1">
      <alignment horizontal="center"/>
    </xf>
    <xf numFmtId="176" fontId="40" fillId="0" borderId="11" xfId="0" applyNumberFormat="1" applyFont="1" applyBorder="1" applyAlignment="1">
      <alignment horizontal="center"/>
    </xf>
    <xf numFmtId="176" fontId="29" fillId="0" borderId="11" xfId="0" quotePrefix="1" applyNumberFormat="1" applyFont="1" applyBorder="1" applyAlignment="1">
      <alignment horizontal="center"/>
    </xf>
    <xf numFmtId="2" fontId="0" fillId="2" borderId="10" xfId="0" applyNumberFormat="1" applyFill="1" applyBorder="1" applyAlignment="1"/>
    <xf numFmtId="10" fontId="1" fillId="2" borderId="10" xfId="2" applyNumberFormat="1" applyFill="1" applyBorder="1" applyAlignment="1"/>
    <xf numFmtId="0" fontId="29" fillId="0" borderId="0" xfId="0" applyFont="1" applyAlignment="1"/>
    <xf numFmtId="0" fontId="43" fillId="0" borderId="0" xfId="0" applyFont="1" applyAlignment="1"/>
    <xf numFmtId="0" fontId="28" fillId="0" borderId="7" xfId="0" applyFont="1" applyBorder="1" applyAlignment="1">
      <alignment horizontal="center"/>
    </xf>
    <xf numFmtId="0" fontId="14" fillId="2" borderId="7" xfId="0" quotePrefix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0" fillId="2" borderId="14" xfId="0" applyNumberFormat="1" applyFill="1" applyBorder="1" applyAlignment="1"/>
    <xf numFmtId="176" fontId="0" fillId="0" borderId="13" xfId="0" applyNumberFormat="1" applyBorder="1" applyAlignment="1"/>
    <xf numFmtId="10" fontId="0" fillId="2" borderId="14" xfId="2" applyNumberFormat="1" applyFont="1" applyFill="1" applyBorder="1" applyAlignment="1"/>
    <xf numFmtId="2" fontId="0" fillId="2" borderId="13" xfId="0" applyNumberFormat="1" applyFill="1" applyBorder="1" applyAlignment="1"/>
    <xf numFmtId="0" fontId="5" fillId="2" borderId="0" xfId="0" quotePrefix="1" applyFont="1" applyFill="1" applyAlignment="1">
      <alignment horizontal="center"/>
    </xf>
    <xf numFmtId="2" fontId="0" fillId="2" borderId="0" xfId="0" applyNumberFormat="1" applyFill="1" applyAlignment="1"/>
    <xf numFmtId="10" fontId="0" fillId="2" borderId="0" xfId="2" applyNumberFormat="1" applyFont="1" applyFill="1" applyBorder="1" applyAlignment="1"/>
    <xf numFmtId="176" fontId="0" fillId="0" borderId="11" xfId="0" applyNumberFormat="1" applyBorder="1" applyAlignment="1">
      <alignment horizontal="center"/>
    </xf>
    <xf numFmtId="176" fontId="41" fillId="0" borderId="10" xfId="0" applyNumberFormat="1" applyFont="1" applyBorder="1" applyAlignment="1">
      <alignment horizontal="center"/>
    </xf>
    <xf numFmtId="176" fontId="41" fillId="0" borderId="10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7" fillId="2" borderId="1" xfId="0" applyFont="1" applyFill="1" applyBorder="1" applyAlignment="1"/>
    <xf numFmtId="0" fontId="27" fillId="2" borderId="2" xfId="0" applyFont="1" applyFill="1" applyBorder="1" applyAlignment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4" fillId="2" borderId="2" xfId="0" applyFont="1" applyFill="1" applyBorder="1" applyAlignment="1"/>
    <xf numFmtId="0" fontId="24" fillId="2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10" fontId="1" fillId="2" borderId="6" xfId="2" applyNumberFormat="1" applyFill="1" applyBorder="1" applyAlignment="1">
      <alignment horizontal="center"/>
    </xf>
    <xf numFmtId="176" fontId="40" fillId="2" borderId="6" xfId="0" applyNumberFormat="1" applyFont="1" applyFill="1" applyBorder="1" applyAlignment="1">
      <alignment horizontal="center"/>
    </xf>
    <xf numFmtId="10" fontId="1" fillId="0" borderId="6" xfId="2" applyNumberFormat="1" applyBorder="1" applyAlignment="1">
      <alignment horizontal="center"/>
    </xf>
    <xf numFmtId="176" fontId="40" fillId="0" borderId="10" xfId="0" applyNumberFormat="1" applyFont="1" applyBorder="1" applyAlignment="1">
      <alignment horizontal="center"/>
    </xf>
    <xf numFmtId="176" fontId="40" fillId="2" borderId="10" xfId="0" applyNumberFormat="1" applyFont="1" applyFill="1" applyBorder="1" applyAlignment="1">
      <alignment horizontal="center"/>
    </xf>
    <xf numFmtId="10" fontId="1" fillId="2" borderId="10" xfId="2" applyNumberFormat="1" applyFill="1" applyBorder="1" applyAlignment="1">
      <alignment horizontal="center"/>
    </xf>
    <xf numFmtId="0" fontId="49" fillId="0" borderId="0" xfId="0" applyFont="1" applyAlignment="1">
      <alignment horizontal="centerContinuous"/>
    </xf>
    <xf numFmtId="10" fontId="50" fillId="0" borderId="0" xfId="0" applyNumberFormat="1" applyFont="1" applyAlignment="1">
      <alignment horizontal="centerContinuous"/>
    </xf>
    <xf numFmtId="43" fontId="51" fillId="0" borderId="0" xfId="0" applyNumberFormat="1" applyFont="1" applyAlignment="1">
      <alignment horizontal="centerContinuous"/>
    </xf>
    <xf numFmtId="43" fontId="49" fillId="0" borderId="0" xfId="0" applyNumberFormat="1" applyFont="1" applyAlignment="1">
      <alignment horizontal="centerContinuous"/>
    </xf>
    <xf numFmtId="0" fontId="0" fillId="2" borderId="7" xfId="0" applyFill="1" applyBorder="1" applyAlignment="1"/>
    <xf numFmtId="0" fontId="24" fillId="0" borderId="5" xfId="0" applyFont="1" applyBorder="1" applyAlignment="1"/>
    <xf numFmtId="10" fontId="25" fillId="2" borderId="7" xfId="0" applyNumberFormat="1" applyFont="1" applyFill="1" applyBorder="1" applyAlignment="1"/>
    <xf numFmtId="0" fontId="0" fillId="2" borderId="11" xfId="0" applyFill="1" applyBorder="1" applyAlignment="1"/>
    <xf numFmtId="43" fontId="26" fillId="2" borderId="16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176" fontId="24" fillId="0" borderId="9" xfId="0" applyNumberFormat="1" applyFont="1" applyBorder="1" applyAlignment="1"/>
    <xf numFmtId="176" fontId="0" fillId="0" borderId="9" xfId="0" applyNumberFormat="1" applyBorder="1" applyAlignment="1"/>
    <xf numFmtId="49" fontId="0" fillId="0" borderId="0" xfId="0" applyNumberFormat="1" applyAlignment="1"/>
    <xf numFmtId="41" fontId="0" fillId="0" borderId="0" xfId="0" applyNumberFormat="1" applyAlignment="1"/>
    <xf numFmtId="49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1" fontId="15" fillId="0" borderId="5" xfId="0" quotePrefix="1" applyNumberFormat="1" applyFont="1" applyBorder="1" applyAlignment="1">
      <alignment horizontal="center"/>
    </xf>
    <xf numFmtId="41" fontId="16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1" fontId="14" fillId="0" borderId="9" xfId="0" applyNumberFormat="1" applyFont="1" applyBorder="1" applyAlignment="1">
      <alignment horizontal="center"/>
    </xf>
    <xf numFmtId="41" fontId="15" fillId="0" borderId="9" xfId="0" applyNumberFormat="1" applyFont="1" applyBorder="1" applyAlignment="1">
      <alignment horizontal="center"/>
    </xf>
    <xf numFmtId="41" fontId="16" fillId="0" borderId="9" xfId="0" applyNumberFormat="1" applyFont="1" applyBorder="1" applyAlignment="1">
      <alignment horizontal="center"/>
    </xf>
    <xf numFmtId="41" fontId="14" fillId="0" borderId="9" xfId="0" quotePrefix="1" applyNumberFormat="1" applyFont="1" applyBorder="1" applyAlignment="1">
      <alignment horizontal="center"/>
    </xf>
    <xf numFmtId="41" fontId="15" fillId="0" borderId="9" xfId="0" quotePrefix="1" applyNumberFormat="1" applyFont="1" applyBorder="1" applyAlignment="1">
      <alignment horizontal="center"/>
    </xf>
    <xf numFmtId="41" fontId="16" fillId="0" borderId="9" xfId="0" quotePrefix="1" applyNumberFormat="1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41" fillId="0" borderId="10" xfId="0" applyNumberFormat="1" applyFont="1" applyBorder="1" applyAlignment="1"/>
    <xf numFmtId="0" fontId="60" fillId="0" borderId="10" xfId="0" applyFont="1" applyBorder="1" applyAlignment="1"/>
    <xf numFmtId="41" fontId="11" fillId="0" borderId="10" xfId="0" applyNumberFormat="1" applyFont="1" applyBorder="1" applyAlignment="1"/>
    <xf numFmtId="41" fontId="40" fillId="0" borderId="10" xfId="0" applyNumberFormat="1" applyFont="1" applyBorder="1" applyAlignment="1"/>
    <xf numFmtId="177" fontId="25" fillId="0" borderId="10" xfId="0" applyNumberFormat="1" applyFont="1" applyBorder="1" applyAlignment="1"/>
    <xf numFmtId="177" fontId="27" fillId="0" borderId="10" xfId="0" applyNumberFormat="1" applyFont="1" applyBorder="1" applyAlignment="1"/>
    <xf numFmtId="49" fontId="41" fillId="0" borderId="5" xfId="0" applyNumberFormat="1" applyFont="1" applyBorder="1" applyAlignment="1"/>
    <xf numFmtId="0" fontId="60" fillId="0" borderId="5" xfId="0" applyFont="1" applyBorder="1" applyAlignment="1"/>
    <xf numFmtId="0" fontId="60" fillId="0" borderId="16" xfId="0" applyFont="1" applyBorder="1" applyAlignment="1"/>
    <xf numFmtId="41" fontId="40" fillId="0" borderId="12" xfId="0" applyNumberFormat="1" applyFont="1" applyBorder="1" applyAlignment="1"/>
    <xf numFmtId="177" fontId="35" fillId="0" borderId="10" xfId="0" applyNumberFormat="1" applyFont="1" applyBorder="1" applyAlignment="1"/>
    <xf numFmtId="49" fontId="61" fillId="0" borderId="17" xfId="0" applyNumberFormat="1" applyFont="1" applyBorder="1" applyAlignment="1"/>
    <xf numFmtId="0" fontId="62" fillId="0" borderId="17" xfId="0" applyFont="1" applyBorder="1" applyAlignment="1"/>
    <xf numFmtId="41" fontId="63" fillId="0" borderId="17" xfId="0" applyNumberFormat="1" applyFont="1" applyBorder="1" applyAlignment="1"/>
    <xf numFmtId="41" fontId="64" fillId="0" borderId="17" xfId="0" applyNumberFormat="1" applyFont="1" applyBorder="1" applyAlignment="1"/>
    <xf numFmtId="177" fontId="63" fillId="0" borderId="17" xfId="0" applyNumberFormat="1" applyFont="1" applyBorder="1" applyAlignment="1"/>
    <xf numFmtId="43" fontId="63" fillId="0" borderId="17" xfId="0" applyNumberFormat="1" applyFont="1" applyBorder="1" applyAlignment="1"/>
    <xf numFmtId="49" fontId="41" fillId="0" borderId="0" xfId="0" applyNumberFormat="1" applyFont="1" applyAlignment="1"/>
    <xf numFmtId="0" fontId="60" fillId="0" borderId="0" xfId="0" applyFont="1" applyAlignment="1"/>
    <xf numFmtId="41" fontId="11" fillId="0" borderId="0" xfId="0" applyNumberFormat="1" applyFont="1" applyAlignment="1"/>
    <xf numFmtId="41" fontId="40" fillId="0" borderId="0" xfId="0" applyNumberFormat="1" applyFont="1" applyAlignment="1"/>
    <xf numFmtId="177" fontId="25" fillId="0" borderId="0" xfId="0" applyNumberFormat="1" applyFont="1" applyAlignment="1"/>
    <xf numFmtId="41" fontId="66" fillId="0" borderId="10" xfId="0" applyNumberFormat="1" applyFont="1" applyBorder="1" applyAlignment="1"/>
    <xf numFmtId="0" fontId="67" fillId="0" borderId="17" xfId="0" applyFont="1" applyBorder="1" applyAlignment="1"/>
    <xf numFmtId="49" fontId="61" fillId="0" borderId="0" xfId="0" applyNumberFormat="1" applyFont="1" applyAlignment="1"/>
    <xf numFmtId="0" fontId="67" fillId="0" borderId="0" xfId="0" applyFont="1" applyAlignment="1"/>
    <xf numFmtId="41" fontId="68" fillId="0" borderId="0" xfId="0" applyNumberFormat="1" applyFont="1" applyAlignment="1"/>
    <xf numFmtId="41" fontId="22" fillId="0" borderId="0" xfId="0" applyNumberFormat="1" applyFont="1" applyAlignment="1"/>
    <xf numFmtId="43" fontId="68" fillId="0" borderId="0" xfId="0" applyNumberFormat="1" applyFont="1" applyAlignment="1"/>
    <xf numFmtId="41" fontId="25" fillId="0" borderId="0" xfId="0" applyNumberFormat="1" applyFont="1" applyAlignment="1"/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49" fontId="0" fillId="0" borderId="10" xfId="0" applyNumberFormat="1" applyBorder="1" applyAlignment="1"/>
    <xf numFmtId="41" fontId="35" fillId="0" borderId="0" xfId="0" applyNumberFormat="1" applyFont="1" applyAlignment="1"/>
    <xf numFmtId="41" fontId="0" fillId="0" borderId="10" xfId="0" applyNumberFormat="1" applyBorder="1" applyAlignment="1"/>
    <xf numFmtId="49" fontId="61" fillId="0" borderId="13" xfId="0" applyNumberFormat="1" applyFont="1" applyBorder="1" applyAlignment="1"/>
    <xf numFmtId="0" fontId="68" fillId="0" borderId="13" xfId="0" applyFont="1" applyBorder="1" applyAlignment="1"/>
    <xf numFmtId="41" fontId="68" fillId="0" borderId="13" xfId="0" applyNumberFormat="1" applyFont="1" applyBorder="1" applyAlignment="1"/>
    <xf numFmtId="41" fontId="21" fillId="0" borderId="13" xfId="0" applyNumberFormat="1" applyFont="1" applyBorder="1" applyAlignment="1"/>
    <xf numFmtId="177" fontId="68" fillId="0" borderId="13" xfId="0" applyNumberFormat="1" applyFont="1" applyBorder="1" applyAlignment="1"/>
    <xf numFmtId="0" fontId="68" fillId="0" borderId="0" xfId="0" applyFont="1" applyAlignment="1"/>
    <xf numFmtId="40" fontId="22" fillId="0" borderId="0" xfId="0" applyNumberFormat="1" applyFont="1" applyAlignment="1"/>
    <xf numFmtId="41" fontId="71" fillId="0" borderId="5" xfId="0" applyNumberFormat="1" applyFont="1" applyBorder="1" applyAlignment="1">
      <alignment horizontal="center"/>
    </xf>
    <xf numFmtId="41" fontId="14" fillId="0" borderId="5" xfId="0" applyNumberFormat="1" applyFont="1" applyBorder="1" applyAlignment="1">
      <alignment horizontal="center"/>
    </xf>
    <xf numFmtId="41" fontId="74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76" fillId="0" borderId="5" xfId="0" applyFont="1" applyBorder="1" applyAlignment="1"/>
    <xf numFmtId="41" fontId="71" fillId="0" borderId="9" xfId="0" applyNumberFormat="1" applyFont="1" applyBorder="1" applyAlignment="1">
      <alignment horizontal="center"/>
    </xf>
    <xf numFmtId="41" fontId="77" fillId="0" borderId="9" xfId="0" applyNumberFormat="1" applyFont="1" applyBorder="1" applyAlignment="1">
      <alignment horizontal="center"/>
    </xf>
    <xf numFmtId="0" fontId="76" fillId="0" borderId="9" xfId="0" applyFont="1" applyBorder="1" applyAlignment="1"/>
    <xf numFmtId="41" fontId="27" fillId="0" borderId="10" xfId="0" applyNumberFormat="1" applyFont="1" applyBorder="1" applyAlignment="1"/>
    <xf numFmtId="43" fontId="27" fillId="0" borderId="10" xfId="0" applyNumberFormat="1" applyFont="1" applyBorder="1" applyAlignment="1"/>
    <xf numFmtId="41" fontId="25" fillId="0" borderId="10" xfId="0" applyNumberFormat="1" applyFont="1" applyBorder="1" applyAlignment="1"/>
    <xf numFmtId="10" fontId="25" fillId="0" borderId="5" xfId="0" applyNumberFormat="1" applyFont="1" applyBorder="1" applyAlignment="1"/>
    <xf numFmtId="43" fontId="78" fillId="0" borderId="12" xfId="0" applyNumberFormat="1" applyFont="1" applyBorder="1" applyAlignment="1"/>
    <xf numFmtId="10" fontId="27" fillId="0" borderId="5" xfId="0" applyNumberFormat="1" applyFont="1" applyBorder="1" applyAlignment="1"/>
    <xf numFmtId="43" fontId="27" fillId="0" borderId="18" xfId="0" applyNumberFormat="1" applyFont="1" applyBorder="1" applyAlignment="1"/>
    <xf numFmtId="43" fontId="11" fillId="0" borderId="17" xfId="0" applyNumberFormat="1" applyFont="1" applyBorder="1" applyAlignment="1"/>
    <xf numFmtId="41" fontId="63" fillId="0" borderId="13" xfId="0" applyNumberFormat="1" applyFont="1" applyBorder="1" applyAlignment="1"/>
    <xf numFmtId="41" fontId="66" fillId="0" borderId="0" xfId="0" applyNumberFormat="1" applyFont="1" applyAlignment="1"/>
    <xf numFmtId="41" fontId="80" fillId="0" borderId="5" xfId="0" applyNumberFormat="1" applyFont="1" applyBorder="1" applyAlignment="1">
      <alignment horizontal="center"/>
    </xf>
    <xf numFmtId="41" fontId="81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41" fontId="84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10" fontId="83" fillId="0" borderId="9" xfId="0" applyNumberFormat="1" applyFont="1" applyBorder="1" applyAlignment="1"/>
    <xf numFmtId="10" fontId="35" fillId="0" borderId="10" xfId="0" applyNumberFormat="1" applyFont="1" applyBorder="1" applyAlignment="1"/>
    <xf numFmtId="43" fontId="78" fillId="0" borderId="10" xfId="0" applyNumberFormat="1" applyFont="1" applyBorder="1" applyAlignment="1"/>
    <xf numFmtId="41" fontId="11" fillId="0" borderId="5" xfId="0" applyNumberFormat="1" applyFont="1" applyBorder="1" applyAlignment="1"/>
    <xf numFmtId="41" fontId="0" fillId="0" borderId="5" xfId="0" applyNumberFormat="1" applyBorder="1" applyAlignment="1"/>
    <xf numFmtId="41" fontId="40" fillId="0" borderId="5" xfId="0" applyNumberFormat="1" applyFont="1" applyBorder="1" applyAlignment="1"/>
    <xf numFmtId="41" fontId="66" fillId="0" borderId="5" xfId="0" applyNumberFormat="1" applyFont="1" applyBorder="1" applyAlignment="1"/>
    <xf numFmtId="43" fontId="78" fillId="0" borderId="5" xfId="0" applyNumberFormat="1" applyFont="1" applyBorder="1" applyAlignment="1"/>
    <xf numFmtId="41" fontId="86" fillId="0" borderId="17" xfId="0" applyNumberFormat="1" applyFont="1" applyBorder="1" applyAlignment="1"/>
    <xf numFmtId="43" fontId="87" fillId="0" borderId="17" xfId="0" applyNumberFormat="1" applyFont="1" applyBorder="1" applyAlignment="1"/>
    <xf numFmtId="43" fontId="78" fillId="0" borderId="0" xfId="0" applyNumberFormat="1" applyFont="1" applyAlignment="1"/>
    <xf numFmtId="41" fontId="89" fillId="0" borderId="0" xfId="0" applyNumberFormat="1" applyFont="1" applyAlignment="1"/>
    <xf numFmtId="10" fontId="22" fillId="0" borderId="0" xfId="0" applyNumberFormat="1" applyFont="1" applyAlignment="1"/>
    <xf numFmtId="49" fontId="54" fillId="0" borderId="0" xfId="0" applyNumberFormat="1" applyFont="1" applyAlignment="1"/>
    <xf numFmtId="41" fontId="90" fillId="0" borderId="0" xfId="0" applyNumberFormat="1" applyFont="1" applyAlignment="1"/>
    <xf numFmtId="41" fontId="63" fillId="3" borderId="13" xfId="0" applyNumberFormat="1" applyFont="1" applyFill="1" applyBorder="1" applyAlignment="1"/>
    <xf numFmtId="10" fontId="91" fillId="0" borderId="13" xfId="0" applyNumberFormat="1" applyFont="1" applyBorder="1" applyAlignment="1"/>
    <xf numFmtId="41" fontId="64" fillId="0" borderId="13" xfId="0" applyNumberFormat="1" applyFont="1" applyBorder="1" applyAlignment="1"/>
    <xf numFmtId="41" fontId="86" fillId="0" borderId="13" xfId="0" applyNumberFormat="1" applyFont="1" applyBorder="1" applyAlignment="1"/>
    <xf numFmtId="176" fontId="84" fillId="0" borderId="0" xfId="0" applyNumberFormat="1" applyFont="1" applyAlignment="1"/>
    <xf numFmtId="10" fontId="14" fillId="0" borderId="0" xfId="0" applyNumberFormat="1" applyFont="1" applyAlignment="1"/>
    <xf numFmtId="41" fontId="92" fillId="0" borderId="0" xfId="0" applyNumberFormat="1" applyFont="1" applyAlignment="1"/>
    <xf numFmtId="41" fontId="94" fillId="0" borderId="5" xfId="0" applyNumberFormat="1" applyFont="1" applyBorder="1" applyAlignment="1">
      <alignment horizontal="center"/>
    </xf>
    <xf numFmtId="0" fontId="48" fillId="0" borderId="8" xfId="0" applyFont="1" applyBorder="1" applyAlignment="1">
      <alignment horizontal="left"/>
    </xf>
    <xf numFmtId="41" fontId="96" fillId="0" borderId="9" xfId="0" applyNumberFormat="1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41" fontId="92" fillId="0" borderId="10" xfId="0" applyNumberFormat="1" applyFont="1" applyBorder="1" applyAlignment="1"/>
    <xf numFmtId="43" fontId="11" fillId="0" borderId="10" xfId="0" applyNumberFormat="1" applyFont="1" applyBorder="1" applyAlignment="1"/>
    <xf numFmtId="43" fontId="97" fillId="0" borderId="10" xfId="0" applyNumberFormat="1" applyFont="1" applyBorder="1" applyAlignment="1"/>
    <xf numFmtId="41" fontId="65" fillId="0" borderId="17" xfId="0" applyNumberFormat="1" applyFont="1" applyBorder="1" applyAlignment="1"/>
    <xf numFmtId="41" fontId="98" fillId="0" borderId="17" xfId="0" applyNumberFormat="1" applyFont="1" applyBorder="1" applyAlignment="1"/>
    <xf numFmtId="41" fontId="99" fillId="0" borderId="0" xfId="0" applyNumberFormat="1" applyFont="1" applyAlignment="1"/>
    <xf numFmtId="41" fontId="65" fillId="0" borderId="13" xfId="0" applyNumberFormat="1" applyFont="1" applyBorder="1" applyAlignment="1"/>
    <xf numFmtId="41" fontId="98" fillId="0" borderId="13" xfId="0" applyNumberFormat="1" applyFont="1" applyBorder="1" applyAlignment="1"/>
    <xf numFmtId="0" fontId="100" fillId="0" borderId="0" xfId="0" applyFont="1" applyAlignment="1"/>
    <xf numFmtId="176" fontId="96" fillId="0" borderId="0" xfId="0" applyNumberFormat="1" applyFont="1" applyAlignment="1"/>
    <xf numFmtId="0" fontId="101" fillId="0" borderId="9" xfId="0" quotePrefix="1" applyFont="1" applyBorder="1" applyAlignment="1">
      <alignment horizontal="center"/>
    </xf>
    <xf numFmtId="0" fontId="101" fillId="0" borderId="6" xfId="0" applyFont="1" applyBorder="1" applyAlignment="1">
      <alignment horizontal="center"/>
    </xf>
    <xf numFmtId="10" fontId="5" fillId="0" borderId="0" xfId="0" applyNumberFormat="1" applyFont="1" applyAlignment="1"/>
    <xf numFmtId="43" fontId="20" fillId="0" borderId="0" xfId="0" applyNumberFormat="1" applyFont="1" applyAlignment="1">
      <alignment horizontal="centerContinuous"/>
    </xf>
    <xf numFmtId="0" fontId="41" fillId="0" borderId="4" xfId="0" quotePrefix="1" applyFont="1" applyBorder="1" applyAlignment="1">
      <alignment horizontal="center"/>
    </xf>
    <xf numFmtId="43" fontId="41" fillId="0" borderId="7" xfId="0" applyNumberFormat="1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43" fontId="41" fillId="2" borderId="7" xfId="0" quotePrefix="1" applyNumberFormat="1" applyFont="1" applyFill="1" applyBorder="1" applyAlignment="1">
      <alignment horizontal="center"/>
    </xf>
    <xf numFmtId="0" fontId="41" fillId="2" borderId="12" xfId="0" applyFont="1" applyFill="1" applyBorder="1" applyAlignment="1"/>
    <xf numFmtId="0" fontId="41" fillId="2" borderId="8" xfId="0" applyFont="1" applyFill="1" applyBorder="1" applyAlignment="1"/>
    <xf numFmtId="43" fontId="41" fillId="2" borderId="5" xfId="0" applyNumberFormat="1" applyFont="1" applyFill="1" applyBorder="1" applyAlignment="1"/>
    <xf numFmtId="0" fontId="8" fillId="2" borderId="7" xfId="0" applyFont="1" applyFill="1" applyBorder="1" applyAlignment="1">
      <alignment horizontal="center"/>
    </xf>
    <xf numFmtId="176" fontId="41" fillId="2" borderId="4" xfId="0" applyNumberFormat="1" applyFont="1" applyFill="1" applyBorder="1" applyAlignment="1">
      <alignment horizontal="center"/>
    </xf>
    <xf numFmtId="43" fontId="41" fillId="2" borderId="9" xfId="0" applyNumberFormat="1" applyFont="1" applyFill="1" applyBorder="1" applyAlignment="1">
      <alignment horizontal="center"/>
    </xf>
    <xf numFmtId="10" fontId="41" fillId="0" borderId="6" xfId="2" applyNumberFormat="1" applyFont="1" applyBorder="1" applyAlignment="1"/>
    <xf numFmtId="10" fontId="41" fillId="2" borderId="6" xfId="2" applyNumberFormat="1" applyFont="1" applyFill="1" applyBorder="1" applyAlignment="1"/>
    <xf numFmtId="0" fontId="8" fillId="0" borderId="10" xfId="0" quotePrefix="1" applyFont="1" applyBorder="1" applyAlignment="1">
      <alignment horizontal="center"/>
    </xf>
    <xf numFmtId="176" fontId="41" fillId="0" borderId="1" xfId="0" quotePrefix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41" fillId="2" borderId="10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45" fillId="0" borderId="0" xfId="0" applyFont="1" applyAlignment="1"/>
    <xf numFmtId="0" fontId="104" fillId="0" borderId="8" xfId="0" applyFont="1" applyBorder="1" applyAlignment="1">
      <alignment horizontal="left"/>
    </xf>
    <xf numFmtId="0" fontId="105" fillId="0" borderId="12" xfId="0" applyFont="1" applyBorder="1" applyAlignment="1">
      <alignment horizontal="centerContinuous"/>
    </xf>
    <xf numFmtId="0" fontId="106" fillId="0" borderId="12" xfId="0" applyFont="1" applyBorder="1" applyAlignment="1">
      <alignment horizontal="centerContinuous"/>
    </xf>
    <xf numFmtId="0" fontId="106" fillId="0" borderId="16" xfId="0" applyFont="1" applyBorder="1" applyAlignment="1">
      <alignment horizontal="centerContinuous"/>
    </xf>
    <xf numFmtId="0" fontId="104" fillId="0" borderId="6" xfId="0" applyFont="1" applyBorder="1" applyAlignment="1">
      <alignment horizontal="left"/>
    </xf>
    <xf numFmtId="0" fontId="105" fillId="0" borderId="19" xfId="0" applyFont="1" applyBorder="1" applyAlignment="1">
      <alignment horizontal="centerContinuous"/>
    </xf>
    <xf numFmtId="0" fontId="106" fillId="0" borderId="19" xfId="0" applyFont="1" applyBorder="1" applyAlignment="1">
      <alignment horizontal="centerContinuous"/>
    </xf>
    <xf numFmtId="0" fontId="106" fillId="0" borderId="15" xfId="0" applyFont="1" applyBorder="1" applyAlignment="1">
      <alignment horizontal="centerContinuous"/>
    </xf>
    <xf numFmtId="0" fontId="41" fillId="0" borderId="10" xfId="0" quotePrefix="1" applyFont="1" applyBorder="1" applyAlignment="1">
      <alignment horizontal="center"/>
    </xf>
    <xf numFmtId="0" fontId="53" fillId="0" borderId="0" xfId="0" applyFont="1" applyAlignment="1"/>
    <xf numFmtId="10" fontId="107" fillId="0" borderId="0" xfId="0" applyNumberFormat="1" applyFont="1" applyAlignment="1"/>
    <xf numFmtId="0" fontId="108" fillId="0" borderId="0" xfId="0" applyFont="1" applyAlignment="1"/>
    <xf numFmtId="10" fontId="107" fillId="0" borderId="0" xfId="0" applyNumberFormat="1" applyFont="1" applyAlignment="1">
      <alignment horizontal="center"/>
    </xf>
    <xf numFmtId="0" fontId="53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53" fillId="0" borderId="5" xfId="0" applyFont="1" applyBorder="1" applyAlignment="1"/>
    <xf numFmtId="10" fontId="109" fillId="2" borderId="5" xfId="0" applyNumberFormat="1" applyFont="1" applyFill="1" applyBorder="1" applyAlignment="1"/>
    <xf numFmtId="0" fontId="108" fillId="0" borderId="5" xfId="0" applyFont="1" applyBorder="1" applyAlignment="1"/>
    <xf numFmtId="10" fontId="109" fillId="2" borderId="5" xfId="0" applyNumberFormat="1" applyFont="1" applyFill="1" applyBorder="1" applyAlignment="1">
      <alignment horizontal="center"/>
    </xf>
    <xf numFmtId="10" fontId="27" fillId="2" borderId="5" xfId="0" applyNumberFormat="1" applyFont="1" applyFill="1" applyBorder="1" applyAlignment="1"/>
    <xf numFmtId="176" fontId="27" fillId="2" borderId="6" xfId="0" applyNumberFormat="1" applyFont="1" applyFill="1" applyBorder="1" applyAlignment="1"/>
    <xf numFmtId="176" fontId="24" fillId="0" borderId="6" xfId="0" applyNumberFormat="1" applyFont="1" applyBorder="1" applyAlignment="1">
      <alignment horizontal="center"/>
    </xf>
    <xf numFmtId="176" fontId="27" fillId="0" borderId="6" xfId="0" applyNumberFormat="1" applyFont="1" applyBorder="1" applyAlignment="1"/>
    <xf numFmtId="176" fontId="27" fillId="0" borderId="10" xfId="0" applyNumberFormat="1" applyFont="1" applyBorder="1" applyAlignment="1"/>
    <xf numFmtId="176" fontId="24" fillId="0" borderId="10" xfId="0" applyNumberFormat="1" applyFont="1" applyBorder="1" applyAlignment="1">
      <alignment horizontal="center"/>
    </xf>
    <xf numFmtId="176" fontId="27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 vertical="center"/>
    </xf>
    <xf numFmtId="176" fontId="5" fillId="0" borderId="10" xfId="0" quotePrefix="1" applyNumberFormat="1" applyFont="1" applyBorder="1" applyAlignment="1">
      <alignment horizontal="center" vertical="center"/>
    </xf>
    <xf numFmtId="176" fontId="41" fillId="0" borderId="0" xfId="0" applyNumberFormat="1" applyFont="1" applyAlignment="1"/>
    <xf numFmtId="0" fontId="110" fillId="0" borderId="0" xfId="0" applyFont="1" applyAlignment="1"/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/>
    <xf numFmtId="176" fontId="8" fillId="0" borderId="0" xfId="0" applyNumberFormat="1" applyFont="1" applyAlignment="1"/>
    <xf numFmtId="176" fontId="5" fillId="0" borderId="0" xfId="0" applyNumberFormat="1" applyFont="1" applyAlignment="1"/>
    <xf numFmtId="0" fontId="8" fillId="0" borderId="1" xfId="0" quotePrefix="1" applyFont="1" applyBorder="1" applyAlignment="1">
      <alignment horizontal="center"/>
    </xf>
    <xf numFmtId="49" fontId="111" fillId="0" borderId="3" xfId="0" applyNumberFormat="1" applyFont="1" applyBorder="1" applyAlignment="1">
      <alignment horizontal="center"/>
    </xf>
    <xf numFmtId="0" fontId="8" fillId="4" borderId="7" xfId="0" quotePrefix="1" applyFont="1" applyFill="1" applyBorder="1" applyAlignment="1">
      <alignment horizontal="left"/>
    </xf>
    <xf numFmtId="0" fontId="8" fillId="4" borderId="0" xfId="0" quotePrefix="1" applyFont="1" applyFill="1" applyAlignment="1">
      <alignment horizontal="left"/>
    </xf>
    <xf numFmtId="176" fontId="5" fillId="4" borderId="0" xfId="0" applyNumberFormat="1" applyFont="1" applyFill="1" applyAlignment="1">
      <alignment horizontal="center"/>
    </xf>
    <xf numFmtId="176" fontId="5" fillId="4" borderId="11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178" fontId="5" fillId="0" borderId="11" xfId="1" applyNumberFormat="1" applyFont="1" applyBorder="1" applyAlignment="1"/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78" fontId="5" fillId="4" borderId="0" xfId="1" applyNumberFormat="1" applyFont="1" applyFill="1" applyBorder="1" applyAlignment="1"/>
    <xf numFmtId="178" fontId="5" fillId="4" borderId="11" xfId="1" applyNumberFormat="1" applyFont="1" applyFill="1" applyBorder="1" applyAlignment="1"/>
    <xf numFmtId="176" fontId="5" fillId="4" borderId="0" xfId="0" applyNumberFormat="1" applyFont="1" applyFill="1" applyAlignment="1"/>
    <xf numFmtId="0" fontId="8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78" fontId="5" fillId="5" borderId="11" xfId="1" applyNumberFormat="1" applyFont="1" applyFill="1" applyBorder="1" applyAlignment="1"/>
    <xf numFmtId="176" fontId="5" fillId="5" borderId="0" xfId="0" applyNumberFormat="1" applyFont="1" applyFill="1" applyAlignment="1"/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78" fontId="11" fillId="0" borderId="11" xfId="1" applyNumberFormat="1" applyFont="1" applyBorder="1" applyAlignment="1"/>
    <xf numFmtId="0" fontId="8" fillId="0" borderId="2" xfId="0" quotePrefix="1" applyFont="1" applyBorder="1" applyAlignment="1">
      <alignment horizontal="center"/>
    </xf>
    <xf numFmtId="176" fontId="5" fillId="0" borderId="2" xfId="0" applyNumberFormat="1" applyFont="1" applyBorder="1" applyAlignment="1"/>
    <xf numFmtId="178" fontId="14" fillId="0" borderId="3" xfId="1" applyNumberFormat="1" applyFont="1" applyBorder="1" applyAlignment="1"/>
    <xf numFmtId="176" fontId="49" fillId="0" borderId="0" xfId="0" applyNumberFormat="1" applyFont="1" applyAlignment="1">
      <alignment horizontal="centerContinuous"/>
    </xf>
    <xf numFmtId="176" fontId="29" fillId="0" borderId="0" xfId="0" applyNumberFormat="1" applyFont="1" applyAlignment="1"/>
    <xf numFmtId="0" fontId="49" fillId="0" borderId="1" xfId="0" quotePrefix="1" applyFont="1" applyBorder="1" applyAlignment="1">
      <alignment horizontal="center"/>
    </xf>
    <xf numFmtId="176" fontId="29" fillId="4" borderId="0" xfId="0" applyNumberFormat="1" applyFont="1" applyFill="1" applyAlignment="1">
      <alignment horizontal="center"/>
    </xf>
    <xf numFmtId="176" fontId="29" fillId="4" borderId="11" xfId="0" applyNumberFormat="1" applyFont="1" applyFill="1" applyBorder="1" applyAlignment="1">
      <alignment horizontal="center"/>
    </xf>
    <xf numFmtId="178" fontId="29" fillId="0" borderId="11" xfId="1" applyNumberFormat="1" applyFont="1" applyBorder="1" applyAlignment="1"/>
    <xf numFmtId="176" fontId="29" fillId="4" borderId="0" xfId="0" applyNumberFormat="1" applyFont="1" applyFill="1" applyAlignment="1"/>
    <xf numFmtId="178" fontId="29" fillId="4" borderId="11" xfId="1" applyNumberFormat="1" applyFont="1" applyFill="1" applyBorder="1" applyAlignment="1"/>
    <xf numFmtId="176" fontId="29" fillId="5" borderId="0" xfId="0" applyNumberFormat="1" applyFont="1" applyFill="1" applyAlignment="1"/>
    <xf numFmtId="178" fontId="29" fillId="5" borderId="11" xfId="1" applyNumberFormat="1" applyFont="1" applyFill="1" applyBorder="1" applyAlignment="1"/>
    <xf numFmtId="176" fontId="29" fillId="0" borderId="2" xfId="0" applyNumberFormat="1" applyFont="1" applyBorder="1" applyAlignment="1"/>
    <xf numFmtId="178" fontId="15" fillId="0" borderId="3" xfId="1" applyNumberFormat="1" applyFont="1" applyBorder="1" applyAlignment="1"/>
    <xf numFmtId="0" fontId="15" fillId="0" borderId="0" xfId="0" applyFont="1" applyAlignment="1"/>
    <xf numFmtId="0" fontId="114" fillId="0" borderId="0" xfId="0" applyFont="1" applyAlignment="1">
      <alignment horizontal="centerContinuous"/>
    </xf>
    <xf numFmtId="176" fontId="114" fillId="0" borderId="0" xfId="0" applyNumberFormat="1" applyFont="1" applyAlignment="1">
      <alignment horizontal="centerContinuous"/>
    </xf>
    <xf numFmtId="176" fontId="115" fillId="0" borderId="0" xfId="0" applyNumberFormat="1" applyFont="1" applyAlignment="1">
      <alignment horizontal="centerContinuous"/>
    </xf>
    <xf numFmtId="176" fontId="116" fillId="0" borderId="0" xfId="0" applyNumberFormat="1" applyFont="1" applyAlignment="1">
      <alignment horizontal="centerContinuous"/>
    </xf>
    <xf numFmtId="0" fontId="20" fillId="0" borderId="0" xfId="0" quotePrefix="1" applyFont="1" applyAlignment="1">
      <alignment horizontal="left"/>
    </xf>
    <xf numFmtId="176" fontId="20" fillId="0" borderId="0" xfId="0" applyNumberFormat="1" applyFont="1" applyAlignment="1"/>
    <xf numFmtId="176" fontId="49" fillId="0" borderId="0" xfId="0" applyNumberFormat="1" applyFont="1" applyAlignment="1"/>
    <xf numFmtId="176" fontId="50" fillId="0" borderId="0" xfId="0" applyNumberFormat="1" applyFont="1" applyAlignment="1"/>
    <xf numFmtId="0" fontId="8" fillId="4" borderId="5" xfId="0" quotePrefix="1" applyFont="1" applyFill="1" applyBorder="1" applyAlignment="1">
      <alignment horizontal="left"/>
    </xf>
    <xf numFmtId="176" fontId="27" fillId="4" borderId="5" xfId="0" applyNumberFormat="1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176" fontId="25" fillId="4" borderId="5" xfId="0" applyNumberFormat="1" applyFont="1" applyFill="1" applyBorder="1" applyAlignment="1">
      <alignment horizontal="center"/>
    </xf>
    <xf numFmtId="176" fontId="25" fillId="4" borderId="7" xfId="0" applyNumberFormat="1" applyFont="1" applyFill="1" applyBorder="1" applyAlignment="1">
      <alignment horizontal="center"/>
    </xf>
    <xf numFmtId="176" fontId="27" fillId="0" borderId="7" xfId="0" applyNumberFormat="1" applyFont="1" applyBorder="1" applyAlignment="1"/>
    <xf numFmtId="176" fontId="24" fillId="0" borderId="7" xfId="0" applyNumberFormat="1" applyFont="1" applyBorder="1" applyAlignment="1"/>
    <xf numFmtId="10" fontId="35" fillId="2" borderId="7" xfId="2" applyNumberFormat="1" applyFont="1" applyFill="1" applyBorder="1" applyAlignment="1"/>
    <xf numFmtId="178" fontId="24" fillId="0" borderId="7" xfId="1" applyNumberFormat="1" applyFont="1" applyBorder="1" applyAlignment="1"/>
    <xf numFmtId="176" fontId="35" fillId="0" borderId="7" xfId="0" applyNumberFormat="1" applyFont="1" applyBorder="1" applyAlignment="1">
      <alignment horizontal="left"/>
    </xf>
    <xf numFmtId="178" fontId="27" fillId="0" borderId="7" xfId="1" applyNumberFormat="1" applyFont="1" applyBorder="1" applyAlignment="1"/>
    <xf numFmtId="178" fontId="27" fillId="4" borderId="7" xfId="1" applyNumberFormat="1" applyFont="1" applyFill="1" applyBorder="1" applyAlignment="1"/>
    <xf numFmtId="178" fontId="24" fillId="4" borderId="7" xfId="1" applyNumberFormat="1" applyFont="1" applyFill="1" applyBorder="1" applyAlignment="1"/>
    <xf numFmtId="176" fontId="35" fillId="4" borderId="7" xfId="0" applyNumberFormat="1" applyFont="1" applyFill="1" applyBorder="1" applyAlignment="1"/>
    <xf numFmtId="176" fontId="24" fillId="4" borderId="7" xfId="0" applyNumberFormat="1" applyFont="1" applyFill="1" applyBorder="1" applyAlignment="1"/>
    <xf numFmtId="10" fontId="27" fillId="2" borderId="7" xfId="2" applyNumberFormat="1" applyFont="1" applyFill="1" applyBorder="1" applyAlignment="1"/>
    <xf numFmtId="176" fontId="35" fillId="0" borderId="7" xfId="0" applyNumberFormat="1" applyFont="1" applyBorder="1" applyAlignment="1">
      <alignment horizontal="right"/>
    </xf>
    <xf numFmtId="178" fontId="24" fillId="5" borderId="7" xfId="1" applyNumberFormat="1" applyFont="1" applyFill="1" applyBorder="1" applyAlignment="1"/>
    <xf numFmtId="176" fontId="35" fillId="5" borderId="7" xfId="0" applyNumberFormat="1" applyFont="1" applyFill="1" applyBorder="1" applyAlignment="1"/>
    <xf numFmtId="178" fontId="27" fillId="5" borderId="7" xfId="1" applyNumberFormat="1" applyFont="1" applyFill="1" applyBorder="1" applyAlignment="1"/>
    <xf numFmtId="176" fontId="24" fillId="5" borderId="7" xfId="0" applyNumberFormat="1" applyFont="1" applyFill="1" applyBorder="1" applyAlignment="1"/>
    <xf numFmtId="176" fontId="27" fillId="0" borderId="7" xfId="0" applyNumberFormat="1" applyFont="1" applyBorder="1" applyAlignment="1">
      <alignment horizontal="right"/>
    </xf>
    <xf numFmtId="176" fontId="35" fillId="0" borderId="7" xfId="0" applyNumberFormat="1" applyFont="1" applyBorder="1" applyAlignment="1"/>
    <xf numFmtId="176" fontId="27" fillId="5" borderId="7" xfId="0" applyNumberFormat="1" applyFont="1" applyFill="1" applyBorder="1" applyAlignment="1"/>
    <xf numFmtId="178" fontId="25" fillId="0" borderId="7" xfId="1" applyNumberFormat="1" applyFont="1" applyBorder="1" applyAlignment="1"/>
    <xf numFmtId="178" fontId="25" fillId="5" borderId="7" xfId="1" applyNumberFormat="1" applyFont="1" applyFill="1" applyBorder="1" applyAlignment="1"/>
    <xf numFmtId="176" fontId="25" fillId="5" borderId="7" xfId="0" applyNumberFormat="1" applyFont="1" applyFill="1" applyBorder="1" applyAlignment="1"/>
    <xf numFmtId="178" fontId="35" fillId="0" borderId="7" xfId="1" applyNumberFormat="1" applyFont="1" applyBorder="1" applyAlignment="1"/>
    <xf numFmtId="178" fontId="35" fillId="5" borderId="7" xfId="1" applyNumberFormat="1" applyFont="1" applyFill="1" applyBorder="1" applyAlignment="1"/>
    <xf numFmtId="176" fontId="25" fillId="0" borderId="7" xfId="0" applyNumberFormat="1" applyFont="1" applyBorder="1" applyAlignment="1"/>
    <xf numFmtId="0" fontId="8" fillId="0" borderId="9" xfId="0" quotePrefix="1" applyFont="1" applyBorder="1" applyAlignment="1">
      <alignment horizontal="center"/>
    </xf>
    <xf numFmtId="176" fontId="27" fillId="0" borderId="9" xfId="0" applyNumberFormat="1" applyFont="1" applyBorder="1" applyAlignment="1"/>
    <xf numFmtId="176" fontId="41" fillId="0" borderId="7" xfId="0" applyNumberFormat="1" applyFont="1" applyBorder="1" applyAlignment="1"/>
    <xf numFmtId="176" fontId="27" fillId="0" borderId="7" xfId="0" applyNumberFormat="1" applyFont="1" applyBorder="1" applyAlignment="1">
      <alignment horizontal="left"/>
    </xf>
    <xf numFmtId="176" fontId="27" fillId="4" borderId="7" xfId="0" applyNumberFormat="1" applyFont="1" applyFill="1" applyBorder="1" applyAlignment="1"/>
    <xf numFmtId="178" fontId="24" fillId="0" borderId="7" xfId="1" applyNumberFormat="1" applyFont="1" applyFill="1" applyBorder="1" applyAlignment="1"/>
    <xf numFmtId="0" fontId="76" fillId="0" borderId="10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43" fontId="119" fillId="0" borderId="10" xfId="0" applyNumberFormat="1" applyFont="1" applyBorder="1" applyAlignment="1"/>
    <xf numFmtId="0" fontId="120" fillId="0" borderId="10" xfId="0" applyFont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2" fillId="0" borderId="10" xfId="0" applyFont="1" applyBorder="1" applyAlignment="1">
      <alignment horizontal="center"/>
    </xf>
    <xf numFmtId="43" fontId="122" fillId="0" borderId="10" xfId="0" applyNumberFormat="1" applyFont="1" applyBorder="1" applyAlignment="1">
      <alignment horizontal="center"/>
    </xf>
    <xf numFmtId="0" fontId="124" fillId="0" borderId="10" xfId="0" applyFont="1" applyBorder="1" applyAlignment="1">
      <alignment horizontal="center"/>
    </xf>
    <xf numFmtId="0" fontId="124" fillId="0" borderId="5" xfId="0" applyFont="1" applyBorder="1" applyAlignment="1">
      <alignment horizontal="center"/>
    </xf>
    <xf numFmtId="0" fontId="125" fillId="0" borderId="10" xfId="0" applyFont="1" applyBorder="1" applyAlignment="1">
      <alignment horizontal="center"/>
    </xf>
    <xf numFmtId="0" fontId="126" fillId="0" borderId="10" xfId="0" applyFont="1" applyBorder="1" applyAlignment="1">
      <alignment horizontal="center"/>
    </xf>
    <xf numFmtId="0" fontId="127" fillId="0" borderId="10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30" fillId="0" borderId="10" xfId="0" applyFont="1" applyBorder="1" applyAlignment="1">
      <alignment horizontal="center"/>
    </xf>
    <xf numFmtId="0" fontId="131" fillId="0" borderId="10" xfId="0" applyFont="1" applyBorder="1" applyAlignment="1">
      <alignment horizontal="center"/>
    </xf>
    <xf numFmtId="43" fontId="131" fillId="0" borderId="10" xfId="0" applyNumberFormat="1" applyFont="1" applyBorder="1" applyAlignment="1"/>
    <xf numFmtId="0" fontId="132" fillId="0" borderId="10" xfId="0" applyFont="1" applyBorder="1" applyAlignment="1">
      <alignment horizontal="center"/>
    </xf>
    <xf numFmtId="43" fontId="132" fillId="0" borderId="10" xfId="0" applyNumberFormat="1" applyFont="1" applyBorder="1" applyAlignment="1"/>
    <xf numFmtId="10" fontId="133" fillId="0" borderId="5" xfId="0" applyNumberFormat="1" applyFont="1" applyBorder="1" applyAlignment="1">
      <alignment horizontal="center" vertical="center"/>
    </xf>
    <xf numFmtId="10" fontId="133" fillId="0" borderId="9" xfId="0" applyNumberFormat="1" applyFont="1" applyBorder="1" applyAlignment="1">
      <alignment horizontal="center" vertical="center"/>
    </xf>
    <xf numFmtId="49" fontId="138" fillId="0" borderId="3" xfId="0" applyNumberFormat="1" applyFont="1" applyBorder="1" applyAlignment="1">
      <alignment horizontal="center"/>
    </xf>
    <xf numFmtId="49" fontId="138" fillId="0" borderId="10" xfId="0" applyNumberFormat="1" applyFont="1" applyBorder="1" applyAlignment="1">
      <alignment horizontal="center"/>
    </xf>
    <xf numFmtId="49" fontId="137" fillId="0" borderId="3" xfId="0" applyNumberFormat="1" applyFont="1" applyBorder="1" applyAlignment="1">
      <alignment horizontal="center"/>
    </xf>
    <xf numFmtId="49" fontId="137" fillId="0" borderId="10" xfId="0" applyNumberFormat="1" applyFont="1" applyBorder="1" applyAlignment="1">
      <alignment horizontal="center"/>
    </xf>
    <xf numFmtId="49" fontId="139" fillId="0" borderId="3" xfId="0" applyNumberFormat="1" applyFont="1" applyBorder="1" applyAlignment="1">
      <alignment horizontal="center"/>
    </xf>
    <xf numFmtId="49" fontId="139" fillId="0" borderId="10" xfId="0" applyNumberFormat="1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7" fillId="0" borderId="2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176" fontId="0" fillId="0" borderId="2" xfId="0" applyNumberFormat="1" applyBorder="1" applyAlignment="1"/>
    <xf numFmtId="176" fontId="7" fillId="0" borderId="11" xfId="0" applyNumberFormat="1" applyFont="1" applyBorder="1" applyAlignment="1">
      <alignment horizontal="center"/>
    </xf>
    <xf numFmtId="176" fontId="0" fillId="0" borderId="4" xfId="0" applyNumberFormat="1" applyBorder="1" applyAlignment="1"/>
    <xf numFmtId="176" fontId="11" fillId="0" borderId="10" xfId="0" applyNumberFormat="1" applyFont="1" applyBorder="1" applyAlignment="1"/>
    <xf numFmtId="176" fontId="5" fillId="0" borderId="5" xfId="0" quotePrefix="1" applyNumberFormat="1" applyFont="1" applyBorder="1" applyAlignment="1">
      <alignment horizontal="center"/>
    </xf>
    <xf numFmtId="176" fontId="41" fillId="0" borderId="10" xfId="0" quotePrefix="1" applyNumberFormat="1" applyFont="1" applyBorder="1" applyAlignment="1"/>
    <xf numFmtId="0" fontId="0" fillId="0" borderId="8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41" fontId="52" fillId="0" borderId="5" xfId="0" applyNumberFormat="1" applyFont="1" applyBorder="1" applyAlignment="1">
      <alignment horizontal="center"/>
    </xf>
    <xf numFmtId="178" fontId="27" fillId="0" borderId="9" xfId="1" applyNumberFormat="1" applyFont="1" applyBorder="1" applyAlignment="1"/>
    <xf numFmtId="42" fontId="24" fillId="0" borderId="9" xfId="0" applyNumberFormat="1" applyFont="1" applyBorder="1" applyAlignment="1"/>
    <xf numFmtId="41" fontId="24" fillId="0" borderId="15" xfId="1" applyNumberFormat="1" applyFont="1" applyBorder="1" applyAlignment="1"/>
    <xf numFmtId="178" fontId="5" fillId="0" borderId="3" xfId="1" applyNumberFormat="1" applyFont="1" applyBorder="1" applyAlignment="1"/>
    <xf numFmtId="10" fontId="141" fillId="0" borderId="9" xfId="0" applyNumberFormat="1" applyFont="1" applyBorder="1" applyAlignment="1">
      <alignment horizontal="center"/>
    </xf>
    <xf numFmtId="49" fontId="141" fillId="0" borderId="9" xfId="0" applyNumberFormat="1" applyFont="1" applyBorder="1" applyAlignment="1">
      <alignment horizontal="center"/>
    </xf>
    <xf numFmtId="10" fontId="141" fillId="0" borderId="9" xfId="2" applyNumberFormat="1" applyFont="1" applyBorder="1" applyAlignment="1">
      <alignment horizontal="center"/>
    </xf>
    <xf numFmtId="43" fontId="5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2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43" fillId="0" borderId="10" xfId="0" applyFont="1" applyBorder="1" applyAlignment="1">
      <alignment horizontal="center"/>
    </xf>
    <xf numFmtId="0" fontId="143" fillId="0" borderId="10" xfId="0" quotePrefix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0" fontId="145" fillId="0" borderId="10" xfId="0" applyFont="1" applyBorder="1" applyAlignment="1">
      <alignment horizontal="center"/>
    </xf>
    <xf numFmtId="2" fontId="145" fillId="0" borderId="10" xfId="0" applyNumberFormat="1" applyFont="1" applyBorder="1" applyAlignment="1">
      <alignment horizontal="center"/>
    </xf>
    <xf numFmtId="2" fontId="146" fillId="0" borderId="10" xfId="0" applyNumberFormat="1" applyFont="1" applyBorder="1" applyAlignment="1">
      <alignment horizontal="center"/>
    </xf>
    <xf numFmtId="2" fontId="147" fillId="0" borderId="10" xfId="0" applyNumberFormat="1" applyFont="1" applyBorder="1" applyAlignment="1">
      <alignment horizontal="center"/>
    </xf>
    <xf numFmtId="2" fontId="148" fillId="0" borderId="10" xfId="0" applyNumberFormat="1" applyFont="1" applyBorder="1" applyAlignment="1">
      <alignment horizontal="center"/>
    </xf>
    <xf numFmtId="41" fontId="148" fillId="0" borderId="10" xfId="0" applyNumberFormat="1" applyFont="1" applyBorder="1" applyAlignment="1">
      <alignment horizontal="center"/>
    </xf>
    <xf numFmtId="2" fontId="119" fillId="0" borderId="10" xfId="0" applyNumberFormat="1" applyFont="1" applyBorder="1" applyAlignment="1">
      <alignment horizontal="center"/>
    </xf>
    <xf numFmtId="41" fontId="151" fillId="0" borderId="10" xfId="0" applyNumberFormat="1" applyFont="1" applyBorder="1" applyAlignment="1">
      <alignment horizontal="center"/>
    </xf>
    <xf numFmtId="41" fontId="153" fillId="0" borderId="10" xfId="0" applyNumberFormat="1" applyFont="1" applyBorder="1" applyAlignment="1"/>
    <xf numFmtId="41" fontId="153" fillId="0" borderId="10" xfId="0" applyNumberFormat="1" applyFont="1" applyBorder="1" applyAlignment="1">
      <alignment horizontal="center"/>
    </xf>
    <xf numFmtId="0" fontId="153" fillId="0" borderId="10" xfId="0" applyFont="1" applyBorder="1" applyAlignment="1">
      <alignment horizontal="center"/>
    </xf>
    <xf numFmtId="41" fontId="154" fillId="0" borderId="10" xfId="0" applyNumberFormat="1" applyFont="1" applyBorder="1" applyAlignment="1"/>
    <xf numFmtId="41" fontId="154" fillId="0" borderId="10" xfId="0" applyNumberFormat="1" applyFont="1" applyBorder="1" applyAlignment="1">
      <alignment horizontal="center"/>
    </xf>
    <xf numFmtId="0" fontId="154" fillId="0" borderId="10" xfId="0" applyFont="1" applyBorder="1" applyAlignment="1">
      <alignment horizontal="center"/>
    </xf>
    <xf numFmtId="41" fontId="156" fillId="0" borderId="10" xfId="0" applyNumberFormat="1" applyFont="1" applyBorder="1" applyAlignment="1"/>
    <xf numFmtId="41" fontId="156" fillId="0" borderId="10" xfId="0" applyNumberFormat="1" applyFont="1" applyBorder="1" applyAlignment="1">
      <alignment horizontal="center"/>
    </xf>
    <xf numFmtId="0" fontId="156" fillId="0" borderId="10" xfId="0" applyFont="1" applyBorder="1" applyAlignment="1">
      <alignment horizontal="center"/>
    </xf>
    <xf numFmtId="41" fontId="157" fillId="0" borderId="10" xfId="0" applyNumberFormat="1" applyFont="1" applyBorder="1" applyAlignment="1"/>
    <xf numFmtId="41" fontId="157" fillId="0" borderId="10" xfId="0" applyNumberFormat="1" applyFont="1" applyBorder="1" applyAlignment="1">
      <alignment horizontal="center"/>
    </xf>
    <xf numFmtId="0" fontId="157" fillId="0" borderId="10" xfId="0" applyFont="1" applyBorder="1" applyAlignment="1">
      <alignment horizontal="center"/>
    </xf>
    <xf numFmtId="41" fontId="158" fillId="0" borderId="10" xfId="0" applyNumberFormat="1" applyFont="1" applyBorder="1" applyAlignment="1"/>
    <xf numFmtId="41" fontId="158" fillId="0" borderId="10" xfId="0" applyNumberFormat="1" applyFont="1" applyBorder="1" applyAlignment="1">
      <alignment horizontal="center"/>
    </xf>
    <xf numFmtId="0" fontId="158" fillId="0" borderId="10" xfId="0" applyFont="1" applyBorder="1" applyAlignment="1">
      <alignment horizontal="center"/>
    </xf>
    <xf numFmtId="41" fontId="159" fillId="0" borderId="10" xfId="0" applyNumberFormat="1" applyFont="1" applyBorder="1" applyAlignment="1"/>
    <xf numFmtId="41" fontId="159" fillId="0" borderId="10" xfId="0" applyNumberFormat="1" applyFont="1" applyBorder="1" applyAlignment="1">
      <alignment horizontal="center"/>
    </xf>
    <xf numFmtId="0" fontId="159" fillId="0" borderId="10" xfId="0" applyFont="1" applyBorder="1" applyAlignment="1">
      <alignment horizontal="center"/>
    </xf>
    <xf numFmtId="41" fontId="160" fillId="0" borderId="10" xfId="0" applyNumberFormat="1" applyFont="1" applyBorder="1" applyAlignment="1"/>
    <xf numFmtId="41" fontId="160" fillId="0" borderId="10" xfId="0" applyNumberFormat="1" applyFont="1" applyBorder="1" applyAlignment="1">
      <alignment horizontal="center"/>
    </xf>
    <xf numFmtId="0" fontId="160" fillId="0" borderId="10" xfId="0" applyFont="1" applyBorder="1" applyAlignment="1">
      <alignment horizontal="center"/>
    </xf>
    <xf numFmtId="41" fontId="161" fillId="0" borderId="10" xfId="0" applyNumberFormat="1" applyFont="1" applyBorder="1" applyAlignment="1"/>
    <xf numFmtId="41" fontId="161" fillId="0" borderId="10" xfId="0" applyNumberFormat="1" applyFont="1" applyBorder="1" applyAlignment="1">
      <alignment horizontal="center"/>
    </xf>
    <xf numFmtId="0" fontId="161" fillId="0" borderId="10" xfId="0" applyFont="1" applyBorder="1" applyAlignment="1">
      <alignment horizontal="center"/>
    </xf>
    <xf numFmtId="41" fontId="162" fillId="0" borderId="10" xfId="0" applyNumberFormat="1" applyFont="1" applyBorder="1" applyAlignment="1"/>
    <xf numFmtId="41" fontId="162" fillId="0" borderId="10" xfId="0" applyNumberFormat="1" applyFont="1" applyBorder="1" applyAlignment="1">
      <alignment horizontal="center"/>
    </xf>
    <xf numFmtId="0" fontId="162" fillId="0" borderId="10" xfId="0" applyFont="1" applyBorder="1" applyAlignment="1">
      <alignment horizontal="center"/>
    </xf>
    <xf numFmtId="41" fontId="163" fillId="0" borderId="10" xfId="0" applyNumberFormat="1" applyFont="1" applyBorder="1" applyAlignment="1"/>
    <xf numFmtId="41" fontId="163" fillId="0" borderId="10" xfId="0" applyNumberFormat="1" applyFont="1" applyBorder="1" applyAlignment="1">
      <alignment horizontal="center"/>
    </xf>
    <xf numFmtId="0" fontId="163" fillId="0" borderId="10" xfId="0" applyFont="1" applyBorder="1" applyAlignment="1">
      <alignment horizontal="center"/>
    </xf>
    <xf numFmtId="41" fontId="164" fillId="0" borderId="10" xfId="0" applyNumberFormat="1" applyFont="1" applyBorder="1" applyAlignment="1"/>
    <xf numFmtId="41" fontId="164" fillId="0" borderId="10" xfId="0" applyNumberFormat="1" applyFont="1" applyBorder="1" applyAlignment="1">
      <alignment horizontal="center"/>
    </xf>
    <xf numFmtId="0" fontId="164" fillId="0" borderId="10" xfId="0" applyFont="1" applyBorder="1" applyAlignment="1">
      <alignment horizontal="center"/>
    </xf>
    <xf numFmtId="41" fontId="165" fillId="0" borderId="10" xfId="0" applyNumberFormat="1" applyFont="1" applyBorder="1" applyAlignment="1"/>
    <xf numFmtId="41" fontId="165" fillId="0" borderId="10" xfId="0" applyNumberFormat="1" applyFont="1" applyBorder="1" applyAlignment="1">
      <alignment horizontal="center"/>
    </xf>
    <xf numFmtId="0" fontId="165" fillId="0" borderId="10" xfId="0" applyFont="1" applyBorder="1" applyAlignment="1">
      <alignment horizontal="center"/>
    </xf>
    <xf numFmtId="41" fontId="166" fillId="0" borderId="10" xfId="0" applyNumberFormat="1" applyFont="1" applyBorder="1" applyAlignment="1"/>
    <xf numFmtId="41" fontId="166" fillId="0" borderId="10" xfId="0" applyNumberFormat="1" applyFont="1" applyBorder="1" applyAlignment="1">
      <alignment horizontal="center"/>
    </xf>
    <xf numFmtId="0" fontId="166" fillId="0" borderId="10" xfId="0" applyFont="1" applyBorder="1" applyAlignment="1">
      <alignment horizontal="center"/>
    </xf>
    <xf numFmtId="41" fontId="167" fillId="0" borderId="10" xfId="0" applyNumberFormat="1" applyFont="1" applyBorder="1" applyAlignment="1">
      <alignment horizontal="center"/>
    </xf>
    <xf numFmtId="0" fontId="167" fillId="0" borderId="10" xfId="0" applyFont="1" applyBorder="1" applyAlignment="1">
      <alignment horizontal="center"/>
    </xf>
    <xf numFmtId="41" fontId="168" fillId="0" borderId="10" xfId="0" applyNumberFormat="1" applyFont="1" applyBorder="1" applyAlignment="1"/>
    <xf numFmtId="41" fontId="169" fillId="0" borderId="10" xfId="0" applyNumberFormat="1" applyFont="1" applyBorder="1" applyAlignment="1"/>
    <xf numFmtId="41" fontId="169" fillId="0" borderId="10" xfId="0" applyNumberFormat="1" applyFont="1" applyBorder="1" applyAlignment="1">
      <alignment horizontal="center"/>
    </xf>
    <xf numFmtId="0" fontId="169" fillId="0" borderId="10" xfId="0" applyFont="1" applyBorder="1" applyAlignment="1">
      <alignment horizontal="center"/>
    </xf>
    <xf numFmtId="41" fontId="170" fillId="0" borderId="10" xfId="0" applyNumberFormat="1" applyFont="1" applyBorder="1" applyAlignment="1"/>
    <xf numFmtId="41" fontId="170" fillId="0" borderId="10" xfId="0" applyNumberFormat="1" applyFont="1" applyBorder="1" applyAlignment="1">
      <alignment horizontal="center"/>
    </xf>
    <xf numFmtId="41" fontId="171" fillId="0" borderId="10" xfId="0" applyNumberFormat="1" applyFont="1" applyBorder="1" applyAlignment="1"/>
    <xf numFmtId="41" fontId="171" fillId="0" borderId="10" xfId="0" applyNumberFormat="1" applyFont="1" applyBorder="1" applyAlignment="1">
      <alignment horizontal="center"/>
    </xf>
    <xf numFmtId="41" fontId="172" fillId="0" borderId="10" xfId="0" applyNumberFormat="1" applyFont="1" applyBorder="1" applyAlignment="1"/>
    <xf numFmtId="41" fontId="172" fillId="0" borderId="10" xfId="0" applyNumberFormat="1" applyFont="1" applyBorder="1" applyAlignment="1">
      <alignment horizontal="center"/>
    </xf>
    <xf numFmtId="41" fontId="173" fillId="0" borderId="10" xfId="0" applyNumberFormat="1" applyFont="1" applyBorder="1" applyAlignment="1"/>
    <xf numFmtId="41" fontId="173" fillId="0" borderId="10" xfId="0" applyNumberFormat="1" applyFont="1" applyBorder="1" applyAlignment="1">
      <alignment horizontal="center"/>
    </xf>
    <xf numFmtId="41" fontId="174" fillId="0" borderId="10" xfId="0" applyNumberFormat="1" applyFont="1" applyBorder="1" applyAlignment="1"/>
    <xf numFmtId="41" fontId="174" fillId="0" borderId="10" xfId="0" applyNumberFormat="1" applyFont="1" applyBorder="1" applyAlignment="1">
      <alignment horizontal="center"/>
    </xf>
    <xf numFmtId="43" fontId="26" fillId="2" borderId="2" xfId="0" applyNumberFormat="1" applyFont="1" applyFill="1" applyBorder="1" applyAlignment="1"/>
    <xf numFmtId="43" fontId="26" fillId="2" borderId="1" xfId="0" applyNumberFormat="1" applyFont="1" applyFill="1" applyBorder="1" applyAlignment="1"/>
    <xf numFmtId="0" fontId="29" fillId="0" borderId="10" xfId="0" quotePrefix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0" fillId="0" borderId="10" xfId="0" applyBorder="1" applyAlignment="1"/>
    <xf numFmtId="43" fontId="63" fillId="0" borderId="13" xfId="0" applyNumberFormat="1" applyFont="1" applyBorder="1" applyAlignment="1"/>
    <xf numFmtId="43" fontId="63" fillId="0" borderId="18" xfId="0" applyNumberFormat="1" applyFont="1" applyBorder="1" applyAlignment="1"/>
    <xf numFmtId="43" fontId="88" fillId="0" borderId="10" xfId="0" applyNumberFormat="1" applyFont="1" applyBorder="1" applyAlignment="1"/>
    <xf numFmtId="177" fontId="117" fillId="0" borderId="10" xfId="0" applyNumberFormat="1" applyFont="1" applyBorder="1" applyAlignment="1"/>
    <xf numFmtId="179" fontId="0" fillId="0" borderId="0" xfId="0" applyNumberFormat="1" applyAlignment="1"/>
    <xf numFmtId="38" fontId="27" fillId="0" borderId="10" xfId="0" applyNumberFormat="1" applyFont="1" applyBorder="1" applyAlignment="1"/>
    <xf numFmtId="38" fontId="68" fillId="0" borderId="13" xfId="0" applyNumberFormat="1" applyFont="1" applyBorder="1" applyAlignment="1"/>
    <xf numFmtId="0" fontId="176" fillId="0" borderId="10" xfId="0" applyFont="1" applyBorder="1" applyAlignment="1">
      <alignment horizontal="center"/>
    </xf>
    <xf numFmtId="41" fontId="176" fillId="0" borderId="10" xfId="0" applyNumberFormat="1" applyFont="1" applyBorder="1" applyAlignment="1">
      <alignment horizontal="center"/>
    </xf>
    <xf numFmtId="0" fontId="177" fillId="0" borderId="10" xfId="0" applyFont="1" applyBorder="1" applyAlignment="1">
      <alignment horizontal="center"/>
    </xf>
    <xf numFmtId="41" fontId="177" fillId="0" borderId="10" xfId="0" applyNumberFormat="1" applyFont="1" applyBorder="1" applyAlignment="1">
      <alignment horizontal="center"/>
    </xf>
    <xf numFmtId="0" fontId="178" fillId="0" borderId="10" xfId="0" applyFont="1" applyBorder="1" applyAlignment="1">
      <alignment horizontal="center"/>
    </xf>
    <xf numFmtId="2" fontId="178" fillId="0" borderId="10" xfId="0" applyNumberFormat="1" applyFont="1" applyBorder="1" applyAlignment="1">
      <alignment horizontal="center"/>
    </xf>
    <xf numFmtId="177" fontId="27" fillId="0" borderId="1" xfId="0" applyNumberFormat="1" applyFont="1" applyBorder="1" applyAlignment="1"/>
    <xf numFmtId="43" fontId="0" fillId="0" borderId="3" xfId="0" applyNumberFormat="1" applyBorder="1" applyAlignment="1"/>
    <xf numFmtId="43" fontId="63" fillId="0" borderId="12" xfId="0" applyNumberFormat="1" applyFont="1" applyBorder="1" applyAlignment="1"/>
    <xf numFmtId="43" fontId="63" fillId="0" borderId="20" xfId="0" applyNumberFormat="1" applyFont="1" applyBorder="1" applyAlignment="1"/>
    <xf numFmtId="43" fontId="63" fillId="0" borderId="2" xfId="0" applyNumberFormat="1" applyFont="1" applyBorder="1" applyAlignment="1"/>
    <xf numFmtId="180" fontId="35" fillId="2" borderId="9" xfId="2" applyNumberFormat="1" applyFont="1" applyFill="1" applyBorder="1" applyAlignment="1"/>
    <xf numFmtId="180" fontId="27" fillId="2" borderId="9" xfId="2" applyNumberFormat="1" applyFont="1" applyFill="1" applyBorder="1" applyAlignment="1"/>
    <xf numFmtId="180" fontId="35" fillId="0" borderId="10" xfId="0" applyNumberFormat="1" applyFont="1" applyBorder="1" applyAlignment="1"/>
    <xf numFmtId="180" fontId="117" fillId="0" borderId="10" xfId="0" applyNumberFormat="1" applyFont="1" applyBorder="1" applyAlignment="1"/>
    <xf numFmtId="180" fontId="27" fillId="0" borderId="10" xfId="0" applyNumberFormat="1" applyFont="1" applyBorder="1" applyAlignment="1"/>
    <xf numFmtId="180" fontId="102" fillId="0" borderId="10" xfId="0" applyNumberFormat="1" applyFont="1" applyBorder="1" applyAlignment="1"/>
    <xf numFmtId="180" fontId="117" fillId="0" borderId="9" xfId="0" applyNumberFormat="1" applyFont="1" applyBorder="1" applyAlignment="1"/>
    <xf numFmtId="180" fontId="35" fillId="0" borderId="9" xfId="0" applyNumberFormat="1" applyFont="1" applyBorder="1" applyAlignment="1"/>
    <xf numFmtId="180" fontId="175" fillId="0" borderId="13" xfId="0" applyNumberFormat="1" applyFont="1" applyBorder="1" applyAlignment="1"/>
    <xf numFmtId="180" fontId="91" fillId="0" borderId="13" xfId="0" applyNumberFormat="1" applyFont="1" applyBorder="1" applyAlignment="1"/>
    <xf numFmtId="180" fontId="103" fillId="0" borderId="9" xfId="0" applyNumberFormat="1" applyFont="1" applyBorder="1" applyAlignment="1"/>
    <xf numFmtId="180" fontId="103" fillId="0" borderId="13" xfId="0" applyNumberFormat="1" applyFont="1" applyBorder="1" applyAlignment="1"/>
    <xf numFmtId="180" fontId="27" fillId="0" borderId="9" xfId="0" applyNumberFormat="1" applyFont="1" applyBorder="1" applyAlignment="1"/>
    <xf numFmtId="180" fontId="68" fillId="0" borderId="13" xfId="0" applyNumberFormat="1" applyFont="1" applyBorder="1" applyAlignment="1"/>
    <xf numFmtId="180" fontId="27" fillId="2" borderId="9" xfId="2" applyNumberFormat="1" applyFont="1" applyFill="1" applyBorder="1" applyAlignment="1">
      <alignment horizontal="center"/>
    </xf>
    <xf numFmtId="180" fontId="35" fillId="2" borderId="7" xfId="2" applyNumberFormat="1" applyFont="1" applyFill="1" applyBorder="1" applyAlignment="1"/>
    <xf numFmtId="180" fontId="35" fillId="0" borderId="7" xfId="2" applyNumberFormat="1" applyFont="1" applyFill="1" applyBorder="1" applyAlignment="1"/>
    <xf numFmtId="180" fontId="35" fillId="6" borderId="7" xfId="2" applyNumberFormat="1" applyFont="1" applyFill="1" applyBorder="1" applyAlignment="1"/>
    <xf numFmtId="178" fontId="24" fillId="6" borderId="7" xfId="1" applyNumberFormat="1" applyFont="1" applyFill="1" applyBorder="1" applyAlignment="1"/>
    <xf numFmtId="178" fontId="27" fillId="6" borderId="7" xfId="1" applyNumberFormat="1" applyFont="1" applyFill="1" applyBorder="1" applyAlignment="1"/>
    <xf numFmtId="176" fontId="24" fillId="6" borderId="7" xfId="0" applyNumberFormat="1" applyFont="1" applyFill="1" applyBorder="1" applyAlignment="1"/>
    <xf numFmtId="180" fontId="27" fillId="2" borderId="7" xfId="2" applyNumberFormat="1" applyFont="1" applyFill="1" applyBorder="1" applyAlignment="1"/>
    <xf numFmtId="0" fontId="41" fillId="0" borderId="10" xfId="0" applyFont="1" applyBorder="1" applyAlignment="1"/>
    <xf numFmtId="0" fontId="41" fillId="0" borderId="5" xfId="0" applyFont="1" applyBorder="1" applyAlignment="1"/>
    <xf numFmtId="0" fontId="61" fillId="0" borderId="17" xfId="0" applyFont="1" applyBorder="1" applyAlignment="1"/>
    <xf numFmtId="0" fontId="41" fillId="0" borderId="0" xfId="0" applyFont="1" applyAlignment="1"/>
    <xf numFmtId="180" fontId="27" fillId="6" borderId="7" xfId="2" applyNumberFormat="1" applyFont="1" applyFill="1" applyBorder="1" applyAlignment="1"/>
    <xf numFmtId="10" fontId="27" fillId="6" borderId="7" xfId="2" applyNumberFormat="1" applyFont="1" applyFill="1" applyBorder="1" applyAlignment="1"/>
    <xf numFmtId="43" fontId="179" fillId="0" borderId="10" xfId="0" applyNumberFormat="1" applyFont="1" applyBorder="1" applyAlignment="1"/>
    <xf numFmtId="43" fontId="147" fillId="0" borderId="10" xfId="0" applyNumberFormat="1" applyFont="1" applyBorder="1" applyAlignment="1"/>
    <xf numFmtId="43" fontId="180" fillId="0" borderId="10" xfId="0" applyNumberFormat="1" applyFont="1" applyBorder="1" applyAlignment="1"/>
    <xf numFmtId="43" fontId="181" fillId="0" borderId="10" xfId="0" applyNumberFormat="1" applyFont="1" applyBorder="1" applyAlignment="1"/>
    <xf numFmtId="4" fontId="131" fillId="0" borderId="10" xfId="0" applyNumberFormat="1" applyFont="1" applyBorder="1" applyAlignment="1">
      <alignment horizontal="center"/>
    </xf>
    <xf numFmtId="4" fontId="119" fillId="0" borderId="10" xfId="0" applyNumberFormat="1" applyFont="1" applyBorder="1" applyAlignment="1">
      <alignment horizontal="center"/>
    </xf>
    <xf numFmtId="4" fontId="132" fillId="0" borderId="10" xfId="0" applyNumberFormat="1" applyFont="1" applyBorder="1" applyAlignment="1">
      <alignment horizontal="center"/>
    </xf>
    <xf numFmtId="41" fontId="41" fillId="2" borderId="10" xfId="0" quotePrefix="1" applyNumberFormat="1" applyFont="1" applyFill="1" applyBorder="1" applyAlignment="1">
      <alignment horizontal="center"/>
    </xf>
    <xf numFmtId="41" fontId="182" fillId="0" borderId="10" xfId="4" applyNumberFormat="1" applyFont="1" applyBorder="1"/>
    <xf numFmtId="0" fontId="171" fillId="0" borderId="10" xfId="0" applyFont="1" applyBorder="1" applyAlignment="1">
      <alignment horizontal="center"/>
    </xf>
    <xf numFmtId="0" fontId="183" fillId="0" borderId="10" xfId="0" applyFont="1" applyBorder="1" applyAlignment="1">
      <alignment horizontal="center"/>
    </xf>
    <xf numFmtId="41" fontId="183" fillId="0" borderId="10" xfId="0" applyNumberFormat="1" applyFont="1" applyBorder="1" applyAlignment="1">
      <alignment horizontal="center"/>
    </xf>
    <xf numFmtId="0" fontId="184" fillId="0" borderId="0" xfId="0" applyFont="1">
      <alignment vertical="center"/>
    </xf>
    <xf numFmtId="41" fontId="185" fillId="0" borderId="10" xfId="0" applyNumberFormat="1" applyFont="1" applyBorder="1" applyAlignment="1">
      <alignment horizontal="center"/>
    </xf>
    <xf numFmtId="0" fontId="186" fillId="0" borderId="0" xfId="0" applyFont="1">
      <alignment vertical="center"/>
    </xf>
    <xf numFmtId="49" fontId="185" fillId="0" borderId="10" xfId="0" applyNumberFormat="1" applyFont="1" applyBorder="1" applyAlignment="1">
      <alignment horizontal="center"/>
    </xf>
    <xf numFmtId="0" fontId="187" fillId="0" borderId="10" xfId="0" applyFont="1" applyBorder="1" applyAlignment="1">
      <alignment horizontal="center"/>
    </xf>
    <xf numFmtId="41" fontId="187" fillId="0" borderId="10" xfId="0" applyNumberFormat="1" applyFont="1" applyBorder="1" applyAlignment="1">
      <alignment horizontal="center"/>
    </xf>
    <xf numFmtId="41" fontId="187" fillId="0" borderId="10" xfId="0" applyNumberFormat="1" applyFont="1" applyBorder="1" applyAlignment="1"/>
    <xf numFmtId="0" fontId="188" fillId="0" borderId="0" xfId="0" applyFont="1">
      <alignment vertical="center"/>
    </xf>
    <xf numFmtId="0" fontId="189" fillId="0" borderId="10" xfId="0" applyFont="1" applyBorder="1" applyAlignment="1">
      <alignment horizontal="center"/>
    </xf>
    <xf numFmtId="4" fontId="190" fillId="0" borderId="10" xfId="0" applyNumberFormat="1" applyFont="1" applyBorder="1" applyAlignment="1">
      <alignment horizontal="center"/>
    </xf>
    <xf numFmtId="4" fontId="189" fillId="0" borderId="10" xfId="0" applyNumberFormat="1" applyFont="1" applyBorder="1" applyAlignment="1">
      <alignment horizontal="center"/>
    </xf>
    <xf numFmtId="0" fontId="191" fillId="0" borderId="10" xfId="0" applyFont="1" applyBorder="1" applyAlignment="1">
      <alignment horizontal="center"/>
    </xf>
    <xf numFmtId="4" fontId="191" fillId="0" borderId="10" xfId="0" applyNumberFormat="1" applyFont="1" applyBorder="1" applyAlignment="1">
      <alignment horizontal="center"/>
    </xf>
    <xf numFmtId="43" fontId="191" fillId="0" borderId="10" xfId="0" applyNumberFormat="1" applyFont="1" applyBorder="1" applyAlignment="1"/>
    <xf numFmtId="0" fontId="185" fillId="0" borderId="10" xfId="0" applyFont="1" applyBorder="1" applyAlignment="1">
      <alignment horizontal="center"/>
    </xf>
    <xf numFmtId="0" fontId="192" fillId="0" borderId="10" xfId="0" applyFont="1" applyBorder="1" applyAlignment="1">
      <alignment horizontal="center"/>
    </xf>
    <xf numFmtId="4" fontId="192" fillId="0" borderId="10" xfId="0" applyNumberFormat="1" applyFont="1" applyBorder="1" applyAlignment="1">
      <alignment horizontal="center"/>
    </xf>
    <xf numFmtId="43" fontId="192" fillId="0" borderId="10" xfId="0" applyNumberFormat="1" applyFont="1" applyBorder="1" applyAlignment="1"/>
    <xf numFmtId="41" fontId="193" fillId="2" borderId="10" xfId="0" quotePrefix="1" applyNumberFormat="1" applyFont="1" applyFill="1" applyBorder="1" applyAlignment="1">
      <alignment horizontal="center"/>
    </xf>
    <xf numFmtId="10" fontId="83" fillId="0" borderId="5" xfId="0" applyNumberFormat="1" applyFont="1" applyBorder="1" applyAlignment="1">
      <alignment horizontal="center"/>
    </xf>
    <xf numFmtId="0" fontId="194" fillId="0" borderId="10" xfId="0" applyFont="1" applyBorder="1" applyAlignment="1">
      <alignment horizontal="center"/>
    </xf>
    <xf numFmtId="181" fontId="194" fillId="0" borderId="10" xfId="0" applyNumberFormat="1" applyFont="1" applyBorder="1" applyAlignment="1">
      <alignment horizontal="center"/>
    </xf>
    <xf numFmtId="0" fontId="195" fillId="0" borderId="10" xfId="0" applyFont="1" applyBorder="1" applyAlignment="1">
      <alignment horizontal="center"/>
    </xf>
    <xf numFmtId="182" fontId="195" fillId="0" borderId="10" xfId="0" applyNumberFormat="1" applyFont="1" applyBorder="1" applyAlignment="1">
      <alignment horizontal="right"/>
    </xf>
    <xf numFmtId="41" fontId="195" fillId="0" borderId="10" xfId="0" applyNumberFormat="1" applyFont="1" applyBorder="1" applyAlignment="1">
      <alignment horizontal="center"/>
    </xf>
    <xf numFmtId="4" fontId="196" fillId="0" borderId="10" xfId="0" applyNumberFormat="1" applyFont="1" applyBorder="1" applyAlignment="1">
      <alignment horizontal="center"/>
    </xf>
    <xf numFmtId="0" fontId="197" fillId="0" borderId="0" xfId="0" applyFont="1">
      <alignment vertical="center"/>
    </xf>
    <xf numFmtId="0" fontId="199" fillId="0" borderId="10" xfId="0" applyFont="1" applyBorder="1" applyAlignment="1">
      <alignment horizontal="center"/>
    </xf>
    <xf numFmtId="182" fontId="200" fillId="0" borderId="10" xfId="0" applyNumberFormat="1" applyFont="1" applyBorder="1" applyAlignment="1">
      <alignment horizontal="right"/>
    </xf>
    <xf numFmtId="41" fontId="200" fillId="0" borderId="10" xfId="0" applyNumberFormat="1" applyFont="1" applyBorder="1" applyAlignment="1">
      <alignment horizontal="center"/>
    </xf>
    <xf numFmtId="0" fontId="201" fillId="0" borderId="0" xfId="0" applyFont="1" applyAlignment="1"/>
    <xf numFmtId="41" fontId="119" fillId="0" borderId="10" xfId="0" applyNumberFormat="1" applyFont="1" applyBorder="1" applyAlignment="1">
      <alignment horizontal="center"/>
    </xf>
    <xf numFmtId="182" fontId="119" fillId="0" borderId="10" xfId="0" applyNumberFormat="1" applyFont="1" applyBorder="1" applyAlignment="1">
      <alignment horizontal="center"/>
    </xf>
    <xf numFmtId="0" fontId="203" fillId="0" borderId="10" xfId="0" applyFont="1" applyBorder="1" applyAlignment="1">
      <alignment horizontal="center"/>
    </xf>
    <xf numFmtId="182" fontId="203" fillId="0" borderId="10" xfId="0" applyNumberFormat="1" applyFont="1" applyBorder="1" applyAlignment="1">
      <alignment horizontal="center"/>
    </xf>
    <xf numFmtId="0" fontId="76" fillId="0" borderId="10" xfId="0" applyFont="1" applyBorder="1" applyAlignment="1">
      <alignment horizontal="center" vertical="center"/>
    </xf>
    <xf numFmtId="43" fontId="119" fillId="0" borderId="10" xfId="0" applyNumberFormat="1" applyFont="1" applyBorder="1">
      <alignment vertical="center"/>
    </xf>
    <xf numFmtId="43" fontId="120" fillId="0" borderId="10" xfId="0" applyNumberFormat="1" applyFont="1" applyBorder="1">
      <alignment vertical="center"/>
    </xf>
    <xf numFmtId="43" fontId="121" fillId="0" borderId="10" xfId="0" applyNumberFormat="1" applyFont="1" applyBorder="1">
      <alignment vertical="center"/>
    </xf>
    <xf numFmtId="43" fontId="123" fillId="0" borderId="10" xfId="0" applyNumberFormat="1" applyFont="1" applyBorder="1">
      <alignment vertical="center"/>
    </xf>
    <xf numFmtId="43" fontId="124" fillId="0" borderId="10" xfId="0" applyNumberFormat="1" applyFont="1" applyBorder="1">
      <alignment vertical="center"/>
    </xf>
    <xf numFmtId="43" fontId="125" fillId="0" borderId="10" xfId="0" applyNumberFormat="1" applyFont="1" applyBorder="1">
      <alignment vertical="center"/>
    </xf>
    <xf numFmtId="43" fontId="126" fillId="0" borderId="10" xfId="0" applyNumberFormat="1" applyFont="1" applyBorder="1">
      <alignment vertical="center"/>
    </xf>
    <xf numFmtId="43" fontId="127" fillId="0" borderId="10" xfId="0" applyNumberFormat="1" applyFont="1" applyBorder="1">
      <alignment vertical="center"/>
    </xf>
    <xf numFmtId="43" fontId="128" fillId="0" borderId="10" xfId="0" applyNumberFormat="1" applyFont="1" applyBorder="1">
      <alignment vertical="center"/>
    </xf>
    <xf numFmtId="43" fontId="129" fillId="0" borderId="10" xfId="0" applyNumberFormat="1" applyFont="1" applyBorder="1">
      <alignment vertical="center"/>
    </xf>
    <xf numFmtId="43" fontId="130" fillId="0" borderId="10" xfId="0" applyNumberFormat="1" applyFont="1" applyBorder="1">
      <alignment vertical="center"/>
    </xf>
    <xf numFmtId="43" fontId="131" fillId="0" borderId="10" xfId="0" applyNumberFormat="1" applyFont="1" applyBorder="1">
      <alignment vertical="center"/>
    </xf>
    <xf numFmtId="43" fontId="132" fillId="0" borderId="10" xfId="0" applyNumberFormat="1" applyFont="1" applyBorder="1">
      <alignment vertical="center"/>
    </xf>
    <xf numFmtId="43" fontId="145" fillId="0" borderId="10" xfId="1" applyNumberFormat="1" applyFont="1" applyBorder="1" applyAlignment="1">
      <alignment vertical="center"/>
    </xf>
    <xf numFmtId="43" fontId="149" fillId="0" borderId="10" xfId="1" applyNumberFormat="1" applyFont="1" applyBorder="1" applyAlignment="1">
      <alignment vertical="center"/>
    </xf>
    <xf numFmtId="2" fontId="178" fillId="0" borderId="10" xfId="0" applyNumberFormat="1" applyFont="1" applyBorder="1" applyAlignment="1">
      <alignment horizontal="center" vertical="center"/>
    </xf>
    <xf numFmtId="2" fontId="194" fillId="0" borderId="10" xfId="0" applyNumberFormat="1" applyFont="1" applyBorder="1" applyAlignment="1">
      <alignment horizontal="center"/>
    </xf>
    <xf numFmtId="2" fontId="194" fillId="0" borderId="10" xfId="0" applyNumberFormat="1" applyFont="1" applyBorder="1" applyAlignment="1">
      <alignment horizontal="center" vertical="center"/>
    </xf>
    <xf numFmtId="0" fontId="204" fillId="0" borderId="10" xfId="0" applyFont="1" applyBorder="1" applyAlignment="1">
      <alignment horizontal="center"/>
    </xf>
    <xf numFmtId="181" fontId="181" fillId="0" borderId="10" xfId="0" applyNumberFormat="1" applyFont="1" applyBorder="1" applyAlignment="1">
      <alignment horizontal="center"/>
    </xf>
    <xf numFmtId="2" fontId="181" fillId="0" borderId="10" xfId="0" applyNumberFormat="1" applyFont="1" applyBorder="1" applyAlignment="1">
      <alignment horizontal="center"/>
    </xf>
    <xf numFmtId="2" fontId="181" fillId="0" borderId="10" xfId="0" applyNumberFormat="1" applyFont="1" applyBorder="1" applyAlignment="1">
      <alignment horizontal="center" vertical="center"/>
    </xf>
    <xf numFmtId="181" fontId="119" fillId="0" borderId="10" xfId="0" applyNumberFormat="1" applyFont="1" applyBorder="1" applyAlignment="1">
      <alignment horizontal="center" vertical="center"/>
    </xf>
    <xf numFmtId="181" fontId="203" fillId="0" borderId="10" xfId="0" applyNumberFormat="1" applyFont="1" applyBorder="1" applyAlignment="1">
      <alignment horizontal="center" vertical="center"/>
    </xf>
    <xf numFmtId="181" fontId="203" fillId="0" borderId="10" xfId="0" applyNumberFormat="1" applyFont="1" applyBorder="1">
      <alignment vertical="center"/>
    </xf>
    <xf numFmtId="181" fontId="203" fillId="0" borderId="10" xfId="0" applyNumberFormat="1" applyFont="1" applyBorder="1" applyAlignment="1">
      <alignment horizontal="center" vertical="center" wrapText="1"/>
    </xf>
    <xf numFmtId="41" fontId="199" fillId="0" borderId="10" xfId="0" applyNumberFormat="1" applyFont="1" applyBorder="1" applyAlignment="1">
      <alignment horizontal="center"/>
    </xf>
    <xf numFmtId="183" fontId="119" fillId="0" borderId="10" xfId="0" applyNumberFormat="1" applyFont="1" applyBorder="1" applyAlignment="1">
      <alignment horizontal="center"/>
    </xf>
    <xf numFmtId="183" fontId="203" fillId="0" borderId="10" xfId="0" applyNumberFormat="1" applyFont="1" applyBorder="1" applyAlignment="1">
      <alignment horizontal="center"/>
    </xf>
    <xf numFmtId="0" fontId="207" fillId="0" borderId="0" xfId="0" applyFont="1" applyAlignment="1">
      <alignment horizontal="center" vertical="center" readingOrder="1"/>
    </xf>
    <xf numFmtId="4" fontId="194" fillId="0" borderId="10" xfId="0" applyNumberFormat="1" applyFont="1" applyBorder="1" applyAlignment="1">
      <alignment horizontal="center"/>
    </xf>
    <xf numFmtId="184" fontId="204" fillId="0" borderId="10" xfId="0" applyNumberFormat="1" applyFont="1" applyBorder="1" applyAlignment="1">
      <alignment horizontal="center"/>
    </xf>
    <xf numFmtId="181" fontId="119" fillId="0" borderId="10" xfId="0" applyNumberFormat="1" applyFont="1" applyBorder="1" applyAlignment="1">
      <alignment horizontal="center"/>
    </xf>
    <xf numFmtId="181" fontId="203" fillId="0" borderId="10" xfId="0" applyNumberFormat="1" applyFont="1" applyBorder="1" applyAlignment="1">
      <alignment horizontal="center"/>
    </xf>
    <xf numFmtId="0" fontId="208" fillId="0" borderId="0" xfId="0" applyFont="1" applyAlignment="1">
      <alignment horizontal="center" vertical="center" readingOrder="1"/>
    </xf>
    <xf numFmtId="10" fontId="27" fillId="0" borderId="10" xfId="0" applyNumberFormat="1" applyFont="1" applyBorder="1" applyAlignment="1"/>
    <xf numFmtId="10" fontId="68" fillId="0" borderId="13" xfId="0" applyNumberFormat="1" applyFont="1" applyBorder="1" applyAlignment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176" fontId="0" fillId="0" borderId="1" xfId="0" applyNumberFormat="1" applyBorder="1" applyAlignment="1"/>
    <xf numFmtId="2" fontId="0" fillId="2" borderId="1" xfId="0" applyNumberFormat="1" applyFill="1" applyBorder="1" applyAlignment="1"/>
    <xf numFmtId="0" fontId="41" fillId="0" borderId="6" xfId="0" applyFont="1" applyBorder="1" applyAlignment="1">
      <alignment horizontal="center"/>
    </xf>
    <xf numFmtId="0" fontId="41" fillId="0" borderId="6" xfId="0" quotePrefix="1" applyFont="1" applyBorder="1" applyAlignment="1">
      <alignment horizontal="center"/>
    </xf>
    <xf numFmtId="0" fontId="41" fillId="0" borderId="5" xfId="0" quotePrefix="1" applyFont="1" applyBorder="1" applyAlignment="1">
      <alignment horizontal="center"/>
    </xf>
    <xf numFmtId="41" fontId="202" fillId="0" borderId="5" xfId="0" applyNumberFormat="1" applyFont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10" fontId="213" fillId="0" borderId="9" xfId="0" applyNumberFormat="1" applyFont="1" applyBorder="1" applyAlignment="1">
      <alignment horizontal="center" vertical="center"/>
    </xf>
    <xf numFmtId="10" fontId="213" fillId="0" borderId="5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3" fontId="0" fillId="0" borderId="0" xfId="0" applyNumberFormat="1">
      <alignment vertical="center"/>
    </xf>
    <xf numFmtId="43" fontId="0" fillId="2" borderId="0" xfId="0" applyNumberFormat="1" applyFill="1" applyAlignment="1"/>
    <xf numFmtId="3" fontId="214" fillId="0" borderId="0" xfId="0" applyNumberFormat="1" applyFont="1">
      <alignment vertical="center"/>
    </xf>
    <xf numFmtId="176" fontId="197" fillId="0" borderId="10" xfId="0" applyNumberFormat="1" applyFont="1" applyBorder="1" applyAlignment="1"/>
    <xf numFmtId="176" fontId="197" fillId="0" borderId="6" xfId="0" applyNumberFormat="1" applyFont="1" applyBorder="1" applyAlignment="1"/>
    <xf numFmtId="43" fontId="197" fillId="0" borderId="6" xfId="0" applyNumberFormat="1" applyFont="1" applyBorder="1" applyAlignment="1"/>
    <xf numFmtId="10" fontId="197" fillId="0" borderId="6" xfId="2" applyNumberFormat="1" applyFont="1" applyBorder="1" applyAlignment="1"/>
    <xf numFmtId="43" fontId="197" fillId="2" borderId="9" xfId="0" applyNumberFormat="1" applyFont="1" applyFill="1" applyBorder="1" applyAlignment="1"/>
    <xf numFmtId="0" fontId="76" fillId="0" borderId="5" xfId="0" applyFont="1" applyBorder="1" applyAlignment="1">
      <alignment horizontal="center"/>
    </xf>
    <xf numFmtId="41" fontId="11" fillId="0" borderId="10" xfId="0" applyNumberFormat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76" fontId="27" fillId="0" borderId="0" xfId="0" applyNumberFormat="1" applyFont="1" applyAlignment="1"/>
    <xf numFmtId="41" fontId="24" fillId="0" borderId="0" xfId="1" applyNumberFormat="1" applyFont="1" applyBorder="1" applyAlignment="1"/>
    <xf numFmtId="180" fontId="27" fillId="2" borderId="0" xfId="2" applyNumberFormat="1" applyFont="1" applyFill="1" applyBorder="1" applyAlignment="1"/>
    <xf numFmtId="178" fontId="27" fillId="0" borderId="0" xfId="1" applyNumberFormat="1" applyFont="1" applyBorder="1" applyAlignment="1"/>
    <xf numFmtId="42" fontId="24" fillId="0" borderId="0" xfId="0" applyNumberFormat="1" applyFont="1" applyAlignment="1"/>
    <xf numFmtId="10" fontId="35" fillId="2" borderId="0" xfId="2" applyNumberFormat="1" applyFont="1" applyFill="1" applyBorder="1" applyAlignment="1"/>
    <xf numFmtId="180" fontId="35" fillId="2" borderId="0" xfId="2" applyNumberFormat="1" applyFont="1" applyFill="1" applyBorder="1" applyAlignment="1"/>
    <xf numFmtId="41" fontId="215" fillId="0" borderId="10" xfId="0" applyNumberFormat="1" applyFont="1" applyBorder="1" applyAlignment="1">
      <alignment horizontal="center"/>
    </xf>
    <xf numFmtId="4" fontId="204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68" fillId="0" borderId="8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6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104" fillId="0" borderId="8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104" fillId="0" borderId="16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0" fontId="68" fillId="0" borderId="15" xfId="0" applyFont="1" applyBorder="1" applyAlignment="1">
      <alignment horizontal="left"/>
    </xf>
    <xf numFmtId="49" fontId="54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5">
    <cellStyle name="一般" xfId="0" builtinId="0"/>
    <cellStyle name="一般 2" xfId="3" xr:uid="{00000000-0005-0000-0000-000001000000}"/>
    <cellStyle name="一般 2 3" xfId="4" xr:uid="{00000000-0005-0000-0000-000002000000}"/>
    <cellStyle name="百分比" xfId="2" builtinId="5"/>
    <cellStyle name="貨幣" xfId="1" builtinId="4"/>
  </cellStyles>
  <dxfs count="52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A40C92"/>
      <color rgb="FFF78DEA"/>
      <color rgb="FFCCCCFF"/>
      <color rgb="FF9999FF"/>
      <color rgb="FFF010C5"/>
      <color rgb="FFF99707"/>
      <color rgb="FFF567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29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externalLink" Target="externalLinks/externalLink3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Relationship Id="rId60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台灣自行車出口歐盟數量</a:t>
            </a:r>
          </a:p>
        </c:rich>
      </c:tx>
      <c:layout>
        <c:manualLayout>
          <c:xMode val="edge"/>
          <c:yMode val="edge"/>
          <c:x val="0.35894642886518641"/>
          <c:y val="4.3718121762331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7765625552373888E-2"/>
          <c:y val="0.15364877198805177"/>
          <c:w val="0.7634142231556279"/>
          <c:h val="0.73641570948304635"/>
        </c:manualLayout>
      </c:layout>
      <c:lineChart>
        <c:grouping val="standard"/>
        <c:varyColors val="0"/>
        <c:ser>
          <c:idx val="1"/>
          <c:order val="0"/>
          <c:tx>
            <c:strRef>
              <c:f>'整車-數量 '!$A$21</c:f>
              <c:strCache>
                <c:ptCount val="1"/>
                <c:pt idx="0">
                  <c:v>2021年</c:v>
                </c:pt>
              </c:strCache>
            </c:strRef>
          </c:tx>
          <c:spPr>
            <a:ln w="158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'!$B$21:$M$21</c:f>
              <c:numCache>
                <c:formatCode>_(* #,##0_);_(* \(#,##0\);_(* "-"_);_(@_)</c:formatCode>
                <c:ptCount val="12"/>
                <c:pt idx="0">
                  <c:v>57647</c:v>
                </c:pt>
                <c:pt idx="1">
                  <c:v>37324</c:v>
                </c:pt>
                <c:pt idx="2">
                  <c:v>40790</c:v>
                </c:pt>
                <c:pt idx="3">
                  <c:v>35829</c:v>
                </c:pt>
                <c:pt idx="4">
                  <c:v>57168</c:v>
                </c:pt>
                <c:pt idx="5">
                  <c:v>38807</c:v>
                </c:pt>
                <c:pt idx="6">
                  <c:v>53884</c:v>
                </c:pt>
                <c:pt idx="7">
                  <c:v>50475</c:v>
                </c:pt>
                <c:pt idx="8">
                  <c:v>34783</c:v>
                </c:pt>
                <c:pt idx="9">
                  <c:v>45148</c:v>
                </c:pt>
                <c:pt idx="10">
                  <c:v>53955</c:v>
                </c:pt>
                <c:pt idx="11">
                  <c:v>41823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48-4C1E-92EA-7B98AC245FAE}"/>
            </c:ext>
          </c:extLst>
        </c:ser>
        <c:ser>
          <c:idx val="2"/>
          <c:order val="1"/>
          <c:tx>
            <c:strRef>
              <c:f>'整車-數量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 cap="flat">
                <a:solidFill>
                  <a:srgbClr val="00B0F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'整車-數量 '!$B$22:$M$22</c:f>
              <c:numCache>
                <c:formatCode>_(* #,##0_);_(* \(#,##0\);_(* "-"_);_(@_)</c:formatCode>
                <c:ptCount val="12"/>
                <c:pt idx="0">
                  <c:v>35439</c:v>
                </c:pt>
                <c:pt idx="1">
                  <c:v>50736</c:v>
                </c:pt>
                <c:pt idx="2">
                  <c:v>40712</c:v>
                </c:pt>
                <c:pt idx="3">
                  <c:v>41520</c:v>
                </c:pt>
                <c:pt idx="4">
                  <c:v>45973</c:v>
                </c:pt>
                <c:pt idx="5">
                  <c:v>34459</c:v>
                </c:pt>
                <c:pt idx="6">
                  <c:v>37887</c:v>
                </c:pt>
                <c:pt idx="7">
                  <c:v>43366</c:v>
                </c:pt>
                <c:pt idx="8">
                  <c:v>46652</c:v>
                </c:pt>
                <c:pt idx="9">
                  <c:v>52997</c:v>
                </c:pt>
                <c:pt idx="10">
                  <c:v>58255</c:v>
                </c:pt>
                <c:pt idx="11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B48-4C1E-92EA-7B98AC245FAE}"/>
            </c:ext>
          </c:extLst>
        </c:ser>
        <c:ser>
          <c:idx val="3"/>
          <c:order val="2"/>
          <c:tx>
            <c:strRef>
              <c:f>'整車-數量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 cap="flat">
                <a:solidFill>
                  <a:srgbClr val="CC33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'!$B$23:$M$23</c:f>
              <c:numCache>
                <c:formatCode>_(* #,##0_);_(* \(#,##0\);_(* "-"_);_(@_)</c:formatCode>
                <c:ptCount val="12"/>
                <c:pt idx="0">
                  <c:v>55261</c:v>
                </c:pt>
                <c:pt idx="1">
                  <c:v>33882</c:v>
                </c:pt>
                <c:pt idx="2">
                  <c:v>38590</c:v>
                </c:pt>
                <c:pt idx="3">
                  <c:v>41561</c:v>
                </c:pt>
                <c:pt idx="4">
                  <c:v>41432</c:v>
                </c:pt>
                <c:pt idx="5">
                  <c:v>24646</c:v>
                </c:pt>
                <c:pt idx="6">
                  <c:v>29164</c:v>
                </c:pt>
                <c:pt idx="7">
                  <c:v>31742</c:v>
                </c:pt>
                <c:pt idx="8">
                  <c:v>25773</c:v>
                </c:pt>
                <c:pt idx="9">
                  <c:v>20059</c:v>
                </c:pt>
                <c:pt idx="10">
                  <c:v>18634</c:v>
                </c:pt>
                <c:pt idx="11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CB-4E1B-816C-30BEAFC84089}"/>
            </c:ext>
          </c:extLst>
        </c:ser>
        <c:ser>
          <c:idx val="0"/>
          <c:order val="3"/>
          <c:tx>
            <c:strRef>
              <c:f>'整車-數量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'!$B$24:$M$24</c:f>
              <c:numCache>
                <c:formatCode>_(* #,##0_);_(* \(#,##0\);_(* "-"_);_(@_)</c:formatCode>
                <c:ptCount val="12"/>
                <c:pt idx="0" formatCode="#,##0_ ">
                  <c:v>22597</c:v>
                </c:pt>
                <c:pt idx="1">
                  <c:v>20879</c:v>
                </c:pt>
                <c:pt idx="2">
                  <c:v>27621</c:v>
                </c:pt>
                <c:pt idx="3">
                  <c:v>19678</c:v>
                </c:pt>
                <c:pt idx="4">
                  <c:v>19676</c:v>
                </c:pt>
                <c:pt idx="5">
                  <c:v>24340</c:v>
                </c:pt>
                <c:pt idx="6">
                  <c:v>13085</c:v>
                </c:pt>
                <c:pt idx="7">
                  <c:v>28367</c:v>
                </c:pt>
                <c:pt idx="8">
                  <c:v>15235</c:v>
                </c:pt>
                <c:pt idx="9">
                  <c:v>20020</c:v>
                </c:pt>
                <c:pt idx="10">
                  <c:v>15967</c:v>
                </c:pt>
                <c:pt idx="11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1-40D4-BF5D-2D7081CAE1E4}"/>
            </c:ext>
          </c:extLst>
        </c:ser>
        <c:ser>
          <c:idx val="4"/>
          <c:order val="4"/>
          <c:tx>
            <c:strRef>
              <c:f>'整車-數量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59-4F96-89AD-70867BBEB12A}"/>
              </c:ext>
            </c:extLst>
          </c:dPt>
          <c:dLbls>
            <c:dLbl>
              <c:idx val="10"/>
              <c:layout>
                <c:manualLayout>
                  <c:x val="4.1536863966769493E-3"/>
                  <c:y val="2.190472823045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5-46F5-85F4-32A3EA46F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'!$B$25:$M$25</c:f>
              <c:numCache>
                <c:formatCode>_(* #,##0_);_(* \(#,##0\);_(* "-"_);_(@_)</c:formatCode>
                <c:ptCount val="12"/>
                <c:pt idx="0" formatCode="#,##0_ ">
                  <c:v>13209</c:v>
                </c:pt>
                <c:pt idx="1">
                  <c:v>24798</c:v>
                </c:pt>
                <c:pt idx="2">
                  <c:v>19241</c:v>
                </c:pt>
                <c:pt idx="3">
                  <c:v>13706</c:v>
                </c:pt>
                <c:pt idx="4">
                  <c:v>14490</c:v>
                </c:pt>
                <c:pt idx="5">
                  <c:v>15344</c:v>
                </c:pt>
                <c:pt idx="6">
                  <c:v>18577</c:v>
                </c:pt>
                <c:pt idx="7">
                  <c:v>16961</c:v>
                </c:pt>
                <c:pt idx="8">
                  <c:v>13677</c:v>
                </c:pt>
                <c:pt idx="9">
                  <c:v>11415</c:v>
                </c:pt>
                <c:pt idx="10">
                  <c:v>15329</c:v>
                </c:pt>
                <c:pt idx="11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F96-89AD-70867BBEB1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57655008"/>
        <c:axId val="857654616"/>
      </c:lineChart>
      <c:catAx>
        <c:axId val="85765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4616"/>
        <c:crosses val="autoZero"/>
        <c:auto val="1"/>
        <c:lblAlgn val="ctr"/>
        <c:lblOffset val="100"/>
        <c:noMultiLvlLbl val="0"/>
      </c:catAx>
      <c:valAx>
        <c:axId val="8576546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5008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008000"/>
          </a:solidFill>
        </a:ln>
        <a:effectLst/>
      </c:spPr>
    </c:plotArea>
    <c:legend>
      <c:legendPos val="r"/>
      <c:layout>
        <c:manualLayout>
          <c:xMode val="edge"/>
          <c:yMode val="edge"/>
          <c:x val="0.87601194895181533"/>
          <c:y val="0.52781221848181692"/>
          <c:w val="9.5132481351857756E-2"/>
          <c:h val="0.32108334123559812"/>
        </c:manualLayout>
      </c:layout>
      <c:overlay val="0"/>
      <c:spPr>
        <a:solidFill>
          <a:schemeClr val="bg1"/>
        </a:solidFill>
        <a:ln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台灣自行車出口歐盟金額</a:t>
            </a:r>
          </a:p>
        </c:rich>
      </c:tx>
      <c:layout>
        <c:manualLayout>
          <c:xMode val="edge"/>
          <c:yMode val="edge"/>
          <c:x val="0.3718446601941747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338604983158975"/>
          <c:y val="0.11648412085303018"/>
          <c:w val="0.72186646640841279"/>
          <c:h val="0.75830102695308899"/>
        </c:manualLayout>
      </c:layout>
      <c:lineChart>
        <c:grouping val="standard"/>
        <c:varyColors val="0"/>
        <c:ser>
          <c:idx val="1"/>
          <c:order val="0"/>
          <c:tx>
            <c:strRef>
              <c:f>'整車-金額 '!$A$21</c:f>
              <c:strCache>
                <c:ptCount val="1"/>
                <c:pt idx="0">
                  <c:v> 2021年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99CC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99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A458-4FCB-B21B-28A2F1E18731}"/>
              </c:ext>
            </c:extLst>
          </c:dPt>
          <c:dLbls>
            <c:dLbl>
              <c:idx val="0"/>
              <c:layout>
                <c:manualLayout>
                  <c:x val="-3.5738831615120301E-2"/>
                  <c:y val="-3.693444136657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58-4FCB-B21B-28A2F1E18731}"/>
                </c:ext>
              </c:extLst>
            </c:dLbl>
            <c:dLbl>
              <c:idx val="1"/>
              <c:layout>
                <c:manualLayout>
                  <c:x val="-3.3542782629010608E-2"/>
                  <c:y val="3.32781528451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58-4FCB-B21B-28A2F1E18731}"/>
                </c:ext>
              </c:extLst>
            </c:dLbl>
            <c:dLbl>
              <c:idx val="2"/>
              <c:layout>
                <c:manualLayout>
                  <c:x val="-4.1237113402061855E-2"/>
                  <c:y val="5.909510618651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58-4FCB-B21B-28A2F1E18731}"/>
                </c:ext>
              </c:extLst>
            </c:dLbl>
            <c:dLbl>
              <c:idx val="3"/>
              <c:layout>
                <c:manualLayout>
                  <c:x val="-4.5360824742268088E-2"/>
                  <c:y val="-5.909510618651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58-4FCB-B21B-28A2F1E18731}"/>
                </c:ext>
              </c:extLst>
            </c:dLbl>
            <c:dLbl>
              <c:idx val="4"/>
              <c:layout>
                <c:manualLayout>
                  <c:x val="-3.711340206185567E-2"/>
                  <c:y val="-2.58541089566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58-4FCB-B21B-28A2F1E18731}"/>
                </c:ext>
              </c:extLst>
            </c:dLbl>
            <c:dLbl>
              <c:idx val="5"/>
              <c:layout>
                <c:manualLayout>
                  <c:x val="-4.2611683848797349E-2"/>
                  <c:y val="3.693444136657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458-4FCB-B21B-28A2F1E18731}"/>
                </c:ext>
              </c:extLst>
            </c:dLbl>
            <c:dLbl>
              <c:idx val="6"/>
              <c:layout>
                <c:manualLayout>
                  <c:x val="-2.7491408934707903E-2"/>
                  <c:y val="4.4321329639889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458-4FCB-B21B-28A2F1E18731}"/>
                </c:ext>
              </c:extLst>
            </c:dLbl>
            <c:dLbl>
              <c:idx val="7"/>
              <c:layout>
                <c:manualLayout>
                  <c:x val="-4.9484536082474224E-2"/>
                  <c:y val="4.0627885503231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458-4FCB-B21B-28A2F1E18731}"/>
                </c:ext>
              </c:extLst>
            </c:dLbl>
            <c:dLbl>
              <c:idx val="8"/>
              <c:layout>
                <c:manualLayout>
                  <c:x val="-3.436426116838498E-2"/>
                  <c:y val="3.324099722991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58-4FCB-B21B-28A2F1E18731}"/>
                </c:ext>
              </c:extLst>
            </c:dLbl>
            <c:dLbl>
              <c:idx val="9"/>
              <c:layout>
                <c:manualLayout>
                  <c:x val="-3.711340206185567E-2"/>
                  <c:y val="4.4321329639889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458-4FCB-B21B-28A2F1E18731}"/>
                </c:ext>
              </c:extLst>
            </c:dLbl>
            <c:dLbl>
              <c:idx val="10"/>
              <c:layout>
                <c:manualLayout>
                  <c:x val="-4.9484536082474329E-2"/>
                  <c:y val="-2.216066481994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458-4FCB-B21B-28A2F1E187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'!$B$21:$M$21</c:f>
              <c:numCache>
                <c:formatCode>_(* #,##0_);_(* \(#,##0\);_(* "-"_);_(@_)</c:formatCode>
                <c:ptCount val="12"/>
                <c:pt idx="0">
                  <c:v>31161196</c:v>
                </c:pt>
                <c:pt idx="1">
                  <c:v>20713298</c:v>
                </c:pt>
                <c:pt idx="2">
                  <c:v>26731262</c:v>
                </c:pt>
                <c:pt idx="3">
                  <c:v>21626598</c:v>
                </c:pt>
                <c:pt idx="4">
                  <c:v>29839627</c:v>
                </c:pt>
                <c:pt idx="5">
                  <c:v>21775763</c:v>
                </c:pt>
                <c:pt idx="6">
                  <c:v>26707567</c:v>
                </c:pt>
                <c:pt idx="7">
                  <c:v>23738766</c:v>
                </c:pt>
                <c:pt idx="8">
                  <c:v>23886780</c:v>
                </c:pt>
                <c:pt idx="9">
                  <c:v>29044433</c:v>
                </c:pt>
                <c:pt idx="10">
                  <c:v>32105175</c:v>
                </c:pt>
                <c:pt idx="11">
                  <c:v>27252436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58-4FCB-B21B-28A2F1E18731}"/>
            </c:ext>
          </c:extLst>
        </c:ser>
        <c:ser>
          <c:idx val="0"/>
          <c:order val="1"/>
          <c:tx>
            <c:strRef>
              <c:f>'整車-金額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C3300"/>
              </a:solidFill>
              <a:ln w="9525">
                <a:solidFill>
                  <a:srgbClr val="FF99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C3300"/>
                </a:solidFill>
                <a:ln w="9525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D6C-4B7B-9EBB-F234E1777580}"/>
              </c:ext>
            </c:extLst>
          </c:dPt>
          <c:dLbls>
            <c:dLbl>
              <c:idx val="0"/>
              <c:layout>
                <c:manualLayout>
                  <c:x val="-1.0899182561307902E-2"/>
                  <c:y val="2.193784277879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C-4B7B-9EBB-F234E1777580}"/>
                </c:ext>
              </c:extLst>
            </c:dLbl>
            <c:dLbl>
              <c:idx val="1"/>
              <c:layout>
                <c:manualLayout>
                  <c:x val="-3.1486527399333941E-2"/>
                  <c:y val="2.193784277879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7D-4E01-AA11-C93DBD547693}"/>
                </c:ext>
              </c:extLst>
            </c:dLbl>
            <c:dLbl>
              <c:idx val="8"/>
              <c:layout>
                <c:manualLayout>
                  <c:x val="-8.3507927108347278E-17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'!$B$22:$M$22</c:f>
              <c:numCache>
                <c:formatCode>_(* #,##0_);_(* \(#,##0\);_(* "-"_);_(@_)</c:formatCode>
                <c:ptCount val="12"/>
                <c:pt idx="0">
                  <c:v>22199024</c:v>
                </c:pt>
                <c:pt idx="1">
                  <c:v>25333401</c:v>
                </c:pt>
                <c:pt idx="2">
                  <c:v>22954157</c:v>
                </c:pt>
                <c:pt idx="3">
                  <c:v>23486387</c:v>
                </c:pt>
                <c:pt idx="4">
                  <c:v>27771038</c:v>
                </c:pt>
                <c:pt idx="5">
                  <c:v>20360406</c:v>
                </c:pt>
                <c:pt idx="6">
                  <c:v>31965702</c:v>
                </c:pt>
                <c:pt idx="7">
                  <c:v>29025147</c:v>
                </c:pt>
                <c:pt idx="8">
                  <c:v>35651016</c:v>
                </c:pt>
                <c:pt idx="9">
                  <c:v>36515992</c:v>
                </c:pt>
                <c:pt idx="10">
                  <c:v>44477712</c:v>
                </c:pt>
                <c:pt idx="11">
                  <c:v>29855823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D-49E4-9BAE-D3BD571AA864}"/>
            </c:ext>
          </c:extLst>
        </c:ser>
        <c:ser>
          <c:idx val="2"/>
          <c:order val="2"/>
          <c:tx>
            <c:strRef>
              <c:f>'整車-金額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9358879462506407E-2"/>
                  <c:y val="3.24032403240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'!$B$23:$M$23</c:f>
              <c:numCache>
                <c:formatCode>_(* #,##0_);_(* \(#,##0\);_(* "-"_);_(@_)</c:formatCode>
                <c:ptCount val="12"/>
                <c:pt idx="0">
                  <c:v>46519685</c:v>
                </c:pt>
                <c:pt idx="1">
                  <c:v>30712822</c:v>
                </c:pt>
                <c:pt idx="2">
                  <c:v>26849916</c:v>
                </c:pt>
                <c:pt idx="3">
                  <c:v>34534661</c:v>
                </c:pt>
                <c:pt idx="4">
                  <c:v>36571253</c:v>
                </c:pt>
                <c:pt idx="5">
                  <c:v>28429967</c:v>
                </c:pt>
                <c:pt idx="6">
                  <c:v>30116716</c:v>
                </c:pt>
                <c:pt idx="7">
                  <c:v>38368771</c:v>
                </c:pt>
                <c:pt idx="8">
                  <c:v>30676800</c:v>
                </c:pt>
                <c:pt idx="9">
                  <c:v>21660617</c:v>
                </c:pt>
                <c:pt idx="10">
                  <c:v>22312430</c:v>
                </c:pt>
                <c:pt idx="11">
                  <c:v>26688780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D-49E4-9BAE-D3BD571AA864}"/>
            </c:ext>
          </c:extLst>
        </c:ser>
        <c:ser>
          <c:idx val="3"/>
          <c:order val="3"/>
          <c:tx>
            <c:strRef>
              <c:f>'整車-金額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EA3-4899-9FFE-24136FEAE3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'!$B$24:$M$24</c:f>
              <c:numCache>
                <c:formatCode>_(* #,##0_);_(* \(#,##0\);_(* "-"_);_(@_)</c:formatCode>
                <c:ptCount val="12"/>
                <c:pt idx="0">
                  <c:v>26916095</c:v>
                </c:pt>
                <c:pt idx="1">
                  <c:v>22507201</c:v>
                </c:pt>
                <c:pt idx="2">
                  <c:v>25084191</c:v>
                </c:pt>
                <c:pt idx="3">
                  <c:v>19690715</c:v>
                </c:pt>
                <c:pt idx="4">
                  <c:v>22576900</c:v>
                </c:pt>
                <c:pt idx="5">
                  <c:v>30627406</c:v>
                </c:pt>
                <c:pt idx="6">
                  <c:v>16543352</c:v>
                </c:pt>
                <c:pt idx="7">
                  <c:v>32422394</c:v>
                </c:pt>
                <c:pt idx="8">
                  <c:v>15807907</c:v>
                </c:pt>
                <c:pt idx="9">
                  <c:v>24313565</c:v>
                </c:pt>
                <c:pt idx="10">
                  <c:v>21989333</c:v>
                </c:pt>
                <c:pt idx="11">
                  <c:v>33034391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3-4899-9FFE-24136FEAE31C}"/>
            </c:ext>
          </c:extLst>
        </c:ser>
        <c:ser>
          <c:idx val="4"/>
          <c:order val="4"/>
          <c:tx>
            <c:strRef>
              <c:f>'整車-金額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62889518413599E-2"/>
                  <c:y val="4.680468046804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47-48AC-A5EB-84E8BCE8B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'!$B$25:$M$25</c:f>
              <c:numCache>
                <c:formatCode>_(* #,##0_);_(* \(#,##0\);_(* "-"_);_(@_)</c:formatCode>
                <c:ptCount val="12"/>
                <c:pt idx="0">
                  <c:v>15318880</c:v>
                </c:pt>
                <c:pt idx="1">
                  <c:v>26513908</c:v>
                </c:pt>
                <c:pt idx="2">
                  <c:v>18670330</c:v>
                </c:pt>
                <c:pt idx="3">
                  <c:v>14496754</c:v>
                </c:pt>
                <c:pt idx="4">
                  <c:v>20845557</c:v>
                </c:pt>
                <c:pt idx="5">
                  <c:v>18694572</c:v>
                </c:pt>
                <c:pt idx="6">
                  <c:v>27718839</c:v>
                </c:pt>
                <c:pt idx="7">
                  <c:v>26266089</c:v>
                </c:pt>
                <c:pt idx="8">
                  <c:v>20331217</c:v>
                </c:pt>
                <c:pt idx="9">
                  <c:v>12892846</c:v>
                </c:pt>
                <c:pt idx="10">
                  <c:v>17550973</c:v>
                </c:pt>
                <c:pt idx="11">
                  <c:v>25687277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8AC-A5EB-84E8BCE8B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57655792"/>
        <c:axId val="857653048"/>
      </c:lineChart>
      <c:catAx>
        <c:axId val="85765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3048"/>
        <c:crosses val="autoZero"/>
        <c:auto val="1"/>
        <c:lblAlgn val="ctr"/>
        <c:lblOffset val="100"/>
        <c:noMultiLvlLbl val="0"/>
      </c:catAx>
      <c:valAx>
        <c:axId val="857653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579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1093588513897"/>
          <c:y val="0.51585845198693092"/>
          <c:w val="8.0610688536454186E-2"/>
          <c:h val="0.28712020808380051"/>
        </c:manualLayout>
      </c:layout>
      <c:overlay val="0"/>
      <c:spPr>
        <a:noFill/>
        <a:ln w="63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台灣自行車出口歐盟平均單價</a:t>
            </a:r>
          </a:p>
        </c:rich>
      </c:tx>
      <c:layout>
        <c:manualLayout>
          <c:xMode val="edge"/>
          <c:yMode val="edge"/>
          <c:x val="0.36349423010847087"/>
          <c:y val="4.288144137890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539113137173645"/>
          <c:y val="0.14718748902918216"/>
          <c:w val="0.77925508460378623"/>
          <c:h val="0.70038232556765301"/>
        </c:manualLayout>
      </c:layout>
      <c:lineChart>
        <c:grouping val="standard"/>
        <c:varyColors val="0"/>
        <c:ser>
          <c:idx val="1"/>
          <c:order val="0"/>
          <c:tx>
            <c:strRef>
              <c:f>'整車-平均單價 '!$A$21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66CC"/>
              </a:solidFill>
              <a:ln w="9525">
                <a:solidFill>
                  <a:srgbClr val="0066CC"/>
                </a:solidFill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'!$B$21:$M$21</c:f>
              <c:numCache>
                <c:formatCode>0.00</c:formatCode>
                <c:ptCount val="12"/>
                <c:pt idx="0" formatCode="General">
                  <c:v>540.54999999999995</c:v>
                </c:pt>
                <c:pt idx="1">
                  <c:v>554.96</c:v>
                </c:pt>
                <c:pt idx="2">
                  <c:v>655.34</c:v>
                </c:pt>
                <c:pt idx="3">
                  <c:v>603.61</c:v>
                </c:pt>
                <c:pt idx="4">
                  <c:v>521.96</c:v>
                </c:pt>
                <c:pt idx="5">
                  <c:v>561.13</c:v>
                </c:pt>
                <c:pt idx="6">
                  <c:v>495.65</c:v>
                </c:pt>
                <c:pt idx="7">
                  <c:v>470.31</c:v>
                </c:pt>
                <c:pt idx="8">
                  <c:v>686.74</c:v>
                </c:pt>
                <c:pt idx="9">
                  <c:v>643.32000000000005</c:v>
                </c:pt>
                <c:pt idx="10">
                  <c:v>595.04</c:v>
                </c:pt>
                <c:pt idx="11">
                  <c:v>651.61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F71-49D9-A381-CD74CAE24384}"/>
            </c:ext>
          </c:extLst>
        </c:ser>
        <c:ser>
          <c:idx val="0"/>
          <c:order val="1"/>
          <c:tx>
            <c:strRef>
              <c:f>'整車-平均單價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C3300"/>
              </a:solidFill>
              <a:ln w="9525">
                <a:solidFill>
                  <a:srgbClr val="CC3300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A84-4CD9-89EF-096EB836D5BC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rgbClr val="CC3300"/>
                </a:solidFill>
                <a:ln w="9525" cap="rnd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'!$B$22:$M$22</c:f>
              <c:numCache>
                <c:formatCode>0.00</c:formatCode>
                <c:ptCount val="12"/>
                <c:pt idx="0">
                  <c:v>626.4</c:v>
                </c:pt>
                <c:pt idx="1">
                  <c:v>499.32</c:v>
                </c:pt>
                <c:pt idx="2">
                  <c:v>563.81796521910007</c:v>
                </c:pt>
                <c:pt idx="3">
                  <c:v>565.66442678227361</c:v>
                </c:pt>
                <c:pt idx="4">
                  <c:v>604.07000000000005</c:v>
                </c:pt>
                <c:pt idx="5">
                  <c:v>590.86</c:v>
                </c:pt>
                <c:pt idx="6">
                  <c:v>843.71</c:v>
                </c:pt>
                <c:pt idx="7">
                  <c:v>669.31</c:v>
                </c:pt>
                <c:pt idx="8">
                  <c:v>764.19</c:v>
                </c:pt>
                <c:pt idx="9">
                  <c:v>689.02</c:v>
                </c:pt>
                <c:pt idx="10">
                  <c:v>763.5</c:v>
                </c:pt>
                <c:pt idx="11">
                  <c:v>788.67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4-4CD9-89EF-096EB836D5BC}"/>
            </c:ext>
          </c:extLst>
        </c:ser>
        <c:ser>
          <c:idx val="2"/>
          <c:order val="2"/>
          <c:tx>
            <c:strRef>
              <c:f>'整車-平均單價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'!$B$23:$M$23</c:f>
              <c:numCache>
                <c:formatCode>0.00</c:formatCode>
                <c:ptCount val="12"/>
                <c:pt idx="0">
                  <c:v>841.81764716527005</c:v>
                </c:pt>
                <c:pt idx="1">
                  <c:v>906.46</c:v>
                </c:pt>
                <c:pt idx="2">
                  <c:v>695.77</c:v>
                </c:pt>
                <c:pt idx="3">
                  <c:v>830.94</c:v>
                </c:pt>
                <c:pt idx="4">
                  <c:v>882.68133326897089</c:v>
                </c:pt>
                <c:pt idx="5">
                  <c:v>1153.5327030755498</c:v>
                </c:pt>
                <c:pt idx="6">
                  <c:v>1032.6675353175146</c:v>
                </c:pt>
                <c:pt idx="7">
                  <c:v>1208.7698002646337</c:v>
                </c:pt>
                <c:pt idx="8">
                  <c:v>1190.2688860435339</c:v>
                </c:pt>
                <c:pt idx="9">
                  <c:v>1079.8453063462784</c:v>
                </c:pt>
                <c:pt idx="10">
                  <c:v>1197.404207362885</c:v>
                </c:pt>
                <c:pt idx="11">
                  <c:v>1117.8078405092981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84-4CD9-89EF-096EB836D5BC}"/>
            </c:ext>
          </c:extLst>
        </c:ser>
        <c:ser>
          <c:idx val="3"/>
          <c:order val="3"/>
          <c:tx>
            <c:strRef>
              <c:f>'整車-平均單價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365-4871-B77B-5F876250FB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'!$B$24:$M$24</c:f>
              <c:numCache>
                <c:formatCode>0.00</c:formatCode>
                <c:ptCount val="12"/>
                <c:pt idx="0" formatCode="#,##0.00_ ">
                  <c:v>1191.1357702349869</c:v>
                </c:pt>
                <c:pt idx="1">
                  <c:v>1077.9827098998994</c:v>
                </c:pt>
                <c:pt idx="2">
                  <c:v>908.15651135005976</c:v>
                </c:pt>
                <c:pt idx="3">
                  <c:v>1000.6461530643359</c:v>
                </c:pt>
                <c:pt idx="4">
                  <c:v>1147.4334214271194</c:v>
                </c:pt>
                <c:pt idx="5">
                  <c:v>1258.32</c:v>
                </c:pt>
                <c:pt idx="6">
                  <c:v>1264.2989682842949</c:v>
                </c:pt>
                <c:pt idx="7">
                  <c:v>1142.9616808263122</c:v>
                </c:pt>
                <c:pt idx="8">
                  <c:v>1037.6046603216278</c:v>
                </c:pt>
                <c:pt idx="9">
                  <c:v>1214.4637862137863</c:v>
                </c:pt>
                <c:pt idx="10">
                  <c:v>1377.1737333249828</c:v>
                </c:pt>
                <c:pt idx="11">
                  <c:v>1123.8863334807606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5-4871-B77B-5F876250FB7F}"/>
            </c:ext>
          </c:extLst>
        </c:ser>
        <c:ser>
          <c:idx val="4"/>
          <c:order val="4"/>
          <c:tx>
            <c:strRef>
              <c:f>'整車-平均單價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>
                  <a:alpha val="92000"/>
                </a:srgbClr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'!$B$25:$M$25</c:f>
              <c:numCache>
                <c:formatCode>0.00</c:formatCode>
                <c:ptCount val="12"/>
                <c:pt idx="0" formatCode="#,##0.00_ ">
                  <c:v>1159.7304867893104</c:v>
                </c:pt>
                <c:pt idx="1">
                  <c:v>1069.1954189854021</c:v>
                </c:pt>
                <c:pt idx="2">
                  <c:v>970.34093862065379</c:v>
                </c:pt>
                <c:pt idx="3">
                  <c:v>1057.694002626587</c:v>
                </c:pt>
                <c:pt idx="4">
                  <c:v>1438.6167701863353</c:v>
                </c:pt>
                <c:pt idx="5">
                  <c:v>1218.3636600625653</c:v>
                </c:pt>
                <c:pt idx="6">
                  <c:v>1492.1052376594714</c:v>
                </c:pt>
                <c:pt idx="7">
                  <c:v>1548.6167678792524</c:v>
                </c:pt>
                <c:pt idx="8">
                  <c:v>1486.5260656576734</c:v>
                </c:pt>
                <c:pt idx="9">
                  <c:v>1129.4652650021901</c:v>
                </c:pt>
                <c:pt idx="10">
                  <c:v>1144.9522473742579</c:v>
                </c:pt>
                <c:pt idx="11">
                  <c:v>1447.9046840651597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3-4B7B-B043-13FA2A4B9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8456"/>
        <c:axId val="177347672"/>
      </c:lineChart>
      <c:catAx>
        <c:axId val="177348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177347672"/>
        <c:crosses val="autoZero"/>
        <c:auto val="1"/>
        <c:lblAlgn val="ctr"/>
        <c:lblOffset val="100"/>
        <c:noMultiLvlLbl val="0"/>
      </c:catAx>
      <c:valAx>
        <c:axId val="177347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177348456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808080">
              <a:alpha val="99000"/>
            </a:srgbClr>
          </a:solidFill>
        </a:ln>
        <a:effectLst/>
      </c:spPr>
    </c:plotArea>
    <c:legend>
      <c:legendPos val="r"/>
      <c:layout>
        <c:manualLayout>
          <c:xMode val="edge"/>
          <c:yMode val="edge"/>
          <c:x val="0.89555126620656456"/>
          <c:y val="0.5881680584154918"/>
          <c:w val="8.7529200423222459E-2"/>
          <c:h val="0.22614411220804648"/>
        </c:manualLayout>
      </c:layout>
      <c:overlay val="0"/>
      <c:spPr>
        <a:solidFill>
          <a:schemeClr val="bg1"/>
        </a:solidFill>
        <a:ln w="190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台灣電動輔助自行車出口歐盟數量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9091928822484456E-2"/>
          <c:y val="0.14782731776362348"/>
          <c:w val="0.80929070855348295"/>
          <c:h val="0.7398263749709411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'電輔車-數量'!$A$10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'電輔車-數量'!$B$10:$M$10</c:f>
              <c:numCache>
                <c:formatCode>_(* #,##0_);_(* \(#,##0\);_(* "-"_);_(@_)</c:formatCode>
                <c:ptCount val="12"/>
                <c:pt idx="0">
                  <c:v>43074</c:v>
                </c:pt>
                <c:pt idx="1">
                  <c:v>40361</c:v>
                </c:pt>
                <c:pt idx="2">
                  <c:v>52176</c:v>
                </c:pt>
                <c:pt idx="3">
                  <c:v>41898</c:v>
                </c:pt>
                <c:pt idx="4">
                  <c:v>61070</c:v>
                </c:pt>
                <c:pt idx="5">
                  <c:v>31972</c:v>
                </c:pt>
                <c:pt idx="6">
                  <c:v>44186</c:v>
                </c:pt>
                <c:pt idx="7">
                  <c:v>47065</c:v>
                </c:pt>
                <c:pt idx="8">
                  <c:v>36038</c:v>
                </c:pt>
                <c:pt idx="9">
                  <c:v>38487</c:v>
                </c:pt>
                <c:pt idx="10">
                  <c:v>46362</c:v>
                </c:pt>
                <c:pt idx="11">
                  <c:v>44689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75D-9E34-BCFF46012B69}"/>
            </c:ext>
          </c:extLst>
        </c:ser>
        <c:ser>
          <c:idx val="1"/>
          <c:order val="1"/>
          <c:tx>
            <c:strRef>
              <c:f>'電輔車-數量'!$A$11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'電輔車-數量'!$B$11:$M$11</c:f>
              <c:numCache>
                <c:formatCode>_(* #,##0_);_(* \(#,##0\);_(* "-"_);_(@_)</c:formatCode>
                <c:ptCount val="12"/>
                <c:pt idx="0">
                  <c:v>34578</c:v>
                </c:pt>
                <c:pt idx="1">
                  <c:v>47181</c:v>
                </c:pt>
                <c:pt idx="2">
                  <c:v>50650</c:v>
                </c:pt>
                <c:pt idx="3">
                  <c:v>50972</c:v>
                </c:pt>
                <c:pt idx="4">
                  <c:v>53526</c:v>
                </c:pt>
                <c:pt idx="5">
                  <c:v>43012</c:v>
                </c:pt>
                <c:pt idx="6">
                  <c:v>64937</c:v>
                </c:pt>
                <c:pt idx="7">
                  <c:v>50599</c:v>
                </c:pt>
                <c:pt idx="8">
                  <c:v>60971</c:v>
                </c:pt>
                <c:pt idx="9">
                  <c:v>59002</c:v>
                </c:pt>
                <c:pt idx="10">
                  <c:v>55974</c:v>
                </c:pt>
                <c:pt idx="11">
                  <c:v>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75D-9E34-BCFF46012B69}"/>
            </c:ext>
          </c:extLst>
        </c:ser>
        <c:ser>
          <c:idx val="2"/>
          <c:order val="2"/>
          <c:tx>
            <c:strRef>
              <c:f>'電輔車-數量'!$A$12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'電輔車-數量'!$B$12:$M$12</c:f>
              <c:numCache>
                <c:formatCode>_(* #,##0_);_(* \(#,##0\);_(* "-"_);_(@_)</c:formatCode>
                <c:ptCount val="12"/>
                <c:pt idx="0">
                  <c:v>64157</c:v>
                </c:pt>
                <c:pt idx="1">
                  <c:v>43842</c:v>
                </c:pt>
                <c:pt idx="2">
                  <c:v>42031</c:v>
                </c:pt>
                <c:pt idx="3">
                  <c:v>47727</c:v>
                </c:pt>
                <c:pt idx="4">
                  <c:v>43241</c:v>
                </c:pt>
                <c:pt idx="5">
                  <c:v>40525</c:v>
                </c:pt>
                <c:pt idx="6">
                  <c:v>34646</c:v>
                </c:pt>
                <c:pt idx="7">
                  <c:v>24062</c:v>
                </c:pt>
                <c:pt idx="8">
                  <c:v>19293</c:v>
                </c:pt>
                <c:pt idx="9">
                  <c:v>10584</c:v>
                </c:pt>
                <c:pt idx="10">
                  <c:v>19855</c:v>
                </c:pt>
                <c:pt idx="11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75D-9E34-BCFF46012B69}"/>
            </c:ext>
          </c:extLst>
        </c:ser>
        <c:ser>
          <c:idx val="3"/>
          <c:order val="3"/>
          <c:tx>
            <c:strRef>
              <c:f>'電輔車-數量'!$A$13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'電輔車-數量'!$B$13:$M$13</c:f>
              <c:numCache>
                <c:formatCode>_(* #,##0_);_(* \(#,##0\);_(* "-"_);_(@_)</c:formatCode>
                <c:ptCount val="12"/>
                <c:pt idx="0">
                  <c:v>15232</c:v>
                </c:pt>
                <c:pt idx="1">
                  <c:v>22946</c:v>
                </c:pt>
                <c:pt idx="2">
                  <c:v>19081</c:v>
                </c:pt>
                <c:pt idx="3">
                  <c:v>16516</c:v>
                </c:pt>
                <c:pt idx="4">
                  <c:v>14461</c:v>
                </c:pt>
                <c:pt idx="5">
                  <c:v>24601</c:v>
                </c:pt>
                <c:pt idx="6">
                  <c:v>9488</c:v>
                </c:pt>
                <c:pt idx="7">
                  <c:v>15034</c:v>
                </c:pt>
                <c:pt idx="8">
                  <c:v>9666</c:v>
                </c:pt>
                <c:pt idx="9">
                  <c:v>12331</c:v>
                </c:pt>
                <c:pt idx="10">
                  <c:v>13251</c:v>
                </c:pt>
                <c:pt idx="11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BE-475D-9E34-BCFF46012B69}"/>
            </c:ext>
          </c:extLst>
        </c:ser>
        <c:ser>
          <c:idx val="4"/>
          <c:order val="4"/>
          <c:tx>
            <c:strRef>
              <c:f>'電輔車-數量'!$A$14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'電輔車-數量'!$B$14:$M$14</c:f>
              <c:numCache>
                <c:formatCode>_(* #,##0_);_(* \(#,##0\);_(* "-"_);_(@_)</c:formatCode>
                <c:ptCount val="12"/>
                <c:pt idx="0">
                  <c:v>9543</c:v>
                </c:pt>
                <c:pt idx="1">
                  <c:v>19452</c:v>
                </c:pt>
                <c:pt idx="2">
                  <c:v>21668</c:v>
                </c:pt>
                <c:pt idx="3">
                  <c:v>14066</c:v>
                </c:pt>
                <c:pt idx="4">
                  <c:v>14195</c:v>
                </c:pt>
                <c:pt idx="5">
                  <c:v>18517</c:v>
                </c:pt>
                <c:pt idx="6">
                  <c:v>14871</c:v>
                </c:pt>
                <c:pt idx="7">
                  <c:v>19389</c:v>
                </c:pt>
                <c:pt idx="8">
                  <c:v>19971</c:v>
                </c:pt>
                <c:pt idx="9">
                  <c:v>8492</c:v>
                </c:pt>
                <c:pt idx="10">
                  <c:v>14856</c:v>
                </c:pt>
                <c:pt idx="11">
                  <c:v>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4-40A7-997D-B7D7897E86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8848"/>
        <c:axId val="177347280"/>
      </c:lineChart>
      <c:catAx>
        <c:axId val="17734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006334956622724"/>
              <c:y val="0.8991233597921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7280"/>
        <c:crosses val="autoZero"/>
        <c:auto val="1"/>
        <c:lblAlgn val="ctr"/>
        <c:lblOffset val="100"/>
        <c:noMultiLvlLbl val="0"/>
      </c:catAx>
      <c:valAx>
        <c:axId val="17734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台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74311554873244E-2"/>
              <c:y val="7.4149489275623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621798246736772"/>
          <c:y val="0.51283319113340076"/>
          <c:w val="9.6650175485447479E-2"/>
          <c:h val="0.35970164381831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台灣電動輔助自行車出口歐盟金額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530015073417028"/>
          <c:y val="0.14723689994988001"/>
          <c:w val="0.76358873815471862"/>
          <c:h val="0.72261575067952799"/>
        </c:manualLayout>
      </c:layout>
      <c:lineChart>
        <c:grouping val="standard"/>
        <c:varyColors val="0"/>
        <c:ser>
          <c:idx val="0"/>
          <c:order val="0"/>
          <c:tx>
            <c:strRef>
              <c:f>'電輔車-金額'!$A$10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'電輔車-金額'!$B$10:$M$10</c:f>
              <c:numCache>
                <c:formatCode>_(* #,##0_);_(* \(#,##0\);_(* "-"_);_(@_)</c:formatCode>
                <c:ptCount val="12"/>
                <c:pt idx="0">
                  <c:v>57163374</c:v>
                </c:pt>
                <c:pt idx="1">
                  <c:v>53986172</c:v>
                </c:pt>
                <c:pt idx="2">
                  <c:v>68394480</c:v>
                </c:pt>
                <c:pt idx="3">
                  <c:v>51904246</c:v>
                </c:pt>
                <c:pt idx="4">
                  <c:v>82411821</c:v>
                </c:pt>
                <c:pt idx="5">
                  <c:v>40245366</c:v>
                </c:pt>
                <c:pt idx="6">
                  <c:v>58683801</c:v>
                </c:pt>
                <c:pt idx="7">
                  <c:v>60574504</c:v>
                </c:pt>
                <c:pt idx="8">
                  <c:v>47198345</c:v>
                </c:pt>
                <c:pt idx="9">
                  <c:v>45420480</c:v>
                </c:pt>
                <c:pt idx="10">
                  <c:v>59414479</c:v>
                </c:pt>
                <c:pt idx="11">
                  <c:v>55652824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117-9711-2A88602F040B}"/>
            </c:ext>
          </c:extLst>
        </c:ser>
        <c:ser>
          <c:idx val="1"/>
          <c:order val="1"/>
          <c:tx>
            <c:strRef>
              <c:f>'電輔車-金額'!$A$11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'電輔車-金額'!$B$11:$M$11</c:f>
              <c:numCache>
                <c:formatCode>_(* #,##0_);_(* \(#,##0\);_(* "-"_);_(@_)</c:formatCode>
                <c:ptCount val="12"/>
                <c:pt idx="0">
                  <c:v>40484230</c:v>
                </c:pt>
                <c:pt idx="1">
                  <c:v>54283352</c:v>
                </c:pt>
                <c:pt idx="2">
                  <c:v>61535960</c:v>
                </c:pt>
                <c:pt idx="3">
                  <c:v>64139259</c:v>
                </c:pt>
                <c:pt idx="4">
                  <c:v>68654301</c:v>
                </c:pt>
                <c:pt idx="5">
                  <c:v>55483756</c:v>
                </c:pt>
                <c:pt idx="6">
                  <c:v>89045907</c:v>
                </c:pt>
                <c:pt idx="7">
                  <c:v>63281271</c:v>
                </c:pt>
                <c:pt idx="8">
                  <c:v>74652119</c:v>
                </c:pt>
                <c:pt idx="9">
                  <c:v>78635378</c:v>
                </c:pt>
                <c:pt idx="10">
                  <c:v>71798749</c:v>
                </c:pt>
                <c:pt idx="11">
                  <c:v>69268879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117-9711-2A88602F040B}"/>
            </c:ext>
          </c:extLst>
        </c:ser>
        <c:ser>
          <c:idx val="2"/>
          <c:order val="2"/>
          <c:tx>
            <c:strRef>
              <c:f>'電輔車-金額'!$A$12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'電輔車-金額'!$B$12:$M$12</c:f>
              <c:numCache>
                <c:formatCode>_(* #,##0_);_(* \(#,##0\);_(* "-"_);_(@_)</c:formatCode>
                <c:ptCount val="12"/>
                <c:pt idx="0">
                  <c:v>87346695</c:v>
                </c:pt>
                <c:pt idx="1">
                  <c:v>67678504</c:v>
                </c:pt>
                <c:pt idx="2">
                  <c:v>58042495</c:v>
                </c:pt>
                <c:pt idx="3">
                  <c:v>75097404</c:v>
                </c:pt>
                <c:pt idx="4">
                  <c:v>67804325</c:v>
                </c:pt>
                <c:pt idx="5">
                  <c:v>61211711</c:v>
                </c:pt>
                <c:pt idx="6">
                  <c:v>55860453</c:v>
                </c:pt>
                <c:pt idx="7">
                  <c:v>46191340</c:v>
                </c:pt>
                <c:pt idx="8">
                  <c:v>37641613</c:v>
                </c:pt>
                <c:pt idx="9">
                  <c:v>20313318</c:v>
                </c:pt>
                <c:pt idx="10">
                  <c:v>35627376</c:v>
                </c:pt>
                <c:pt idx="11">
                  <c:v>34021717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A-4117-9711-2A88602F040B}"/>
            </c:ext>
          </c:extLst>
        </c:ser>
        <c:ser>
          <c:idx val="3"/>
          <c:order val="3"/>
          <c:tx>
            <c:strRef>
              <c:f>'電輔車-金額'!$A$13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'電輔車-金額'!$B$13:$M$13</c:f>
              <c:numCache>
                <c:formatCode>_(* #,##0_);_(* \(#,##0\);_(* "-"_);_(@_)</c:formatCode>
                <c:ptCount val="12"/>
                <c:pt idx="0">
                  <c:v>26936632</c:v>
                </c:pt>
                <c:pt idx="1">
                  <c:v>37213324</c:v>
                </c:pt>
                <c:pt idx="2">
                  <c:v>31433859</c:v>
                </c:pt>
                <c:pt idx="3">
                  <c:v>25699473</c:v>
                </c:pt>
                <c:pt idx="4">
                  <c:v>25287108</c:v>
                </c:pt>
                <c:pt idx="5">
                  <c:v>39725188</c:v>
                </c:pt>
                <c:pt idx="6">
                  <c:v>17511843</c:v>
                </c:pt>
                <c:pt idx="7">
                  <c:v>25142934</c:v>
                </c:pt>
                <c:pt idx="8">
                  <c:v>17267014</c:v>
                </c:pt>
                <c:pt idx="9">
                  <c:v>23122846</c:v>
                </c:pt>
                <c:pt idx="10">
                  <c:v>21618617</c:v>
                </c:pt>
                <c:pt idx="11">
                  <c:v>33682142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A-4117-9711-2A88602F040B}"/>
            </c:ext>
          </c:extLst>
        </c:ser>
        <c:ser>
          <c:idx val="4"/>
          <c:order val="4"/>
          <c:tx>
            <c:strRef>
              <c:f>'電輔車-金額'!$A$14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'電輔車-金額'!$B$14:$M$14</c:f>
              <c:numCache>
                <c:formatCode>_(* #,##0_);_(* \(#,##0\);_(* "-"_);_(@_)</c:formatCode>
                <c:ptCount val="12"/>
                <c:pt idx="0">
                  <c:v>17145239</c:v>
                </c:pt>
                <c:pt idx="1">
                  <c:v>36040521</c:v>
                </c:pt>
                <c:pt idx="2">
                  <c:v>41115427</c:v>
                </c:pt>
                <c:pt idx="3">
                  <c:v>24735904</c:v>
                </c:pt>
                <c:pt idx="4">
                  <c:v>25204649</c:v>
                </c:pt>
                <c:pt idx="5">
                  <c:v>30967212</c:v>
                </c:pt>
                <c:pt idx="6">
                  <c:v>24208255</c:v>
                </c:pt>
                <c:pt idx="7">
                  <c:v>32289185</c:v>
                </c:pt>
                <c:pt idx="8">
                  <c:v>33872176</c:v>
                </c:pt>
                <c:pt idx="9">
                  <c:v>16384704</c:v>
                </c:pt>
                <c:pt idx="10">
                  <c:v>25814405</c:v>
                </c:pt>
                <c:pt idx="11">
                  <c:v>25399684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395-ABD2-F073FE3E4D8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6104"/>
        <c:axId val="177345712"/>
      </c:lineChart>
      <c:catAx>
        <c:axId val="177346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</a:t>
                </a:r>
                <a:r>
                  <a:rPr lang="zh-TW" altLang="en-US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月份</a:t>
                </a: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)</a:t>
                </a:r>
                <a:endParaRPr lang="zh-TW" altLang="en-US" b="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9732209678609454"/>
              <c:y val="0.88085510189070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zh-TW"/>
          </a:p>
        </c:txPr>
        <c:crossAx val="177345712"/>
        <c:crosses val="autoZero"/>
        <c:auto val="1"/>
        <c:lblAlgn val="ctr"/>
        <c:lblOffset val="100"/>
        <c:noMultiLvlLbl val="0"/>
      </c:catAx>
      <c:valAx>
        <c:axId val="1773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lt"/>
                    <a:ea typeface="+mn-ea"/>
                  </a:rPr>
                  <a:t>(US$)</a:t>
                </a:r>
                <a:endParaRPr lang="zh-TW" altLang="en-US" b="0">
                  <a:solidFill>
                    <a:sysClr val="windowText" lastClr="000000"/>
                  </a:solidFill>
                  <a:latin typeface="+mn-lt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6.4257028112449793E-2"/>
              <c:y val="6.7254878146825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825970548862111"/>
          <c:y val="0.57399841258165885"/>
          <c:w val="8.8353413654618476E-2"/>
          <c:h val="0.27721083926191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台灣電動輔助自行車出口歐盟平均單價</a:t>
            </a:r>
          </a:p>
        </c:rich>
      </c:tx>
      <c:layout>
        <c:manualLayout>
          <c:xMode val="edge"/>
          <c:yMode val="edge"/>
          <c:x val="0.34468447376822392"/>
          <c:y val="5.970149253731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7332606594714091E-2"/>
          <c:y val="0.16988391376451079"/>
          <c:w val="0.80244350655953445"/>
          <c:h val="0.67730220289627974"/>
        </c:manualLayout>
      </c:layout>
      <c:lineChart>
        <c:grouping val="standard"/>
        <c:varyColors val="0"/>
        <c:ser>
          <c:idx val="0"/>
          <c:order val="0"/>
          <c:tx>
            <c:strRef>
              <c:f>'電輔車-平均單價 '!$A$21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'!$B$21:$M$21</c:f>
              <c:numCache>
                <c:formatCode>#,##0.00</c:formatCode>
                <c:ptCount val="12"/>
                <c:pt idx="0">
                  <c:v>1327.1</c:v>
                </c:pt>
                <c:pt idx="1">
                  <c:v>1337.58</c:v>
                </c:pt>
                <c:pt idx="2">
                  <c:v>1310.84</c:v>
                </c:pt>
                <c:pt idx="3">
                  <c:v>1238.82</c:v>
                </c:pt>
                <c:pt idx="4">
                  <c:v>1349.46</c:v>
                </c:pt>
                <c:pt idx="5">
                  <c:v>1258.77</c:v>
                </c:pt>
                <c:pt idx="6">
                  <c:v>1328.11</c:v>
                </c:pt>
                <c:pt idx="7">
                  <c:v>1287.0392860937002</c:v>
                </c:pt>
                <c:pt idx="8">
                  <c:v>1309.68</c:v>
                </c:pt>
                <c:pt idx="9">
                  <c:v>1180.1500000000001</c:v>
                </c:pt>
                <c:pt idx="10">
                  <c:v>1281.53</c:v>
                </c:pt>
                <c:pt idx="11">
                  <c:v>1245.336078229542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4B0-B031-E5D604FA8D6B}"/>
            </c:ext>
          </c:extLst>
        </c:ser>
        <c:ser>
          <c:idx val="1"/>
          <c:order val="1"/>
          <c:tx>
            <c:strRef>
              <c:f>'電輔車-平均單價 '!$A$22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'!$B$22:$M$22</c:f>
              <c:numCache>
                <c:formatCode>#,##0.00</c:formatCode>
                <c:ptCount val="12"/>
                <c:pt idx="0">
                  <c:v>1170.81</c:v>
                </c:pt>
                <c:pt idx="1">
                  <c:v>1150.5341556982685</c:v>
                </c:pt>
                <c:pt idx="2">
                  <c:v>1214.9251727541955</c:v>
                </c:pt>
                <c:pt idx="3">
                  <c:v>1258.3233736168877</c:v>
                </c:pt>
                <c:pt idx="4">
                  <c:v>1282.6346261629863</c:v>
                </c:pt>
                <c:pt idx="5">
                  <c:v>1289.9599181623732</c:v>
                </c:pt>
                <c:pt idx="6">
                  <c:v>1371.2661040700987</c:v>
                </c:pt>
                <c:pt idx="7">
                  <c:v>1250.6400000000001</c:v>
                </c:pt>
                <c:pt idx="8">
                  <c:v>1224.3900000000001</c:v>
                </c:pt>
                <c:pt idx="9">
                  <c:v>1332.76</c:v>
                </c:pt>
                <c:pt idx="10">
                  <c:v>1282.72</c:v>
                </c:pt>
                <c:pt idx="11">
                  <c:v>1381.2614209655228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4B0-B031-E5D604FA8D6B}"/>
            </c:ext>
          </c:extLst>
        </c:ser>
        <c:ser>
          <c:idx val="2"/>
          <c:order val="2"/>
          <c:tx>
            <c:strRef>
              <c:f>'電輔車-平均單價 '!$A$23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'!$B$23:$M$23</c:f>
              <c:numCache>
                <c:formatCode>#,##0.00</c:formatCode>
                <c:ptCount val="12"/>
                <c:pt idx="0">
                  <c:v>1361.4522967096341</c:v>
                </c:pt>
                <c:pt idx="1">
                  <c:v>1543.69</c:v>
                </c:pt>
                <c:pt idx="2">
                  <c:v>1380.9448978135185</c:v>
                </c:pt>
                <c:pt idx="3">
                  <c:v>1573.4784084480482</c:v>
                </c:pt>
                <c:pt idx="4">
                  <c:v>1568.0563585485997</c:v>
                </c:pt>
                <c:pt idx="5">
                  <c:v>1510.4678840222084</c:v>
                </c:pt>
                <c:pt idx="6">
                  <c:v>1612.3204121687929</c:v>
                </c:pt>
                <c:pt idx="7">
                  <c:v>1919.6799933505113</c:v>
                </c:pt>
                <c:pt idx="8">
                  <c:v>1951.0502773026487</c:v>
                </c:pt>
                <c:pt idx="9">
                  <c:v>1919.2477324263039</c:v>
                </c:pt>
                <c:pt idx="10">
                  <c:v>1794.3780407957693</c:v>
                </c:pt>
                <c:pt idx="11">
                  <c:v>1971.4734310714493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4B0-B031-E5D604FA8D6B}"/>
            </c:ext>
          </c:extLst>
        </c:ser>
        <c:ser>
          <c:idx val="3"/>
          <c:order val="3"/>
          <c:tx>
            <c:strRef>
              <c:f>'電輔車-平均單價 '!$A$24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'!$B$24:$M$24</c:f>
              <c:numCache>
                <c:formatCode>#,##0.00</c:formatCode>
                <c:ptCount val="12"/>
                <c:pt idx="0">
                  <c:v>1768.4238445378201</c:v>
                </c:pt>
                <c:pt idx="1">
                  <c:v>1621.7782620064499</c:v>
                </c:pt>
                <c:pt idx="2">
                  <c:v>1647.3905455688905</c:v>
                </c:pt>
                <c:pt idx="3">
                  <c:v>1556.0349358198112</c:v>
                </c:pt>
                <c:pt idx="4">
                  <c:v>1748.6417260217136</c:v>
                </c:pt>
                <c:pt idx="5">
                  <c:v>1614.78</c:v>
                </c:pt>
                <c:pt idx="6">
                  <c:v>1845.6832841483979</c:v>
                </c:pt>
                <c:pt idx="7">
                  <c:v>1672.4048157509644</c:v>
                </c:pt>
                <c:pt idx="8">
                  <c:v>1786.3660252431202</c:v>
                </c:pt>
                <c:pt idx="9">
                  <c:v>1875.1801151569216</c:v>
                </c:pt>
                <c:pt idx="10">
                  <c:v>1631.4706059920006</c:v>
                </c:pt>
                <c:pt idx="11">
                  <c:v>1609.3526685460365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3-44B0-B031-E5D604FA8D6B}"/>
            </c:ext>
          </c:extLst>
        </c:ser>
        <c:ser>
          <c:idx val="4"/>
          <c:order val="4"/>
          <c:tx>
            <c:strRef>
              <c:f>'電輔車-平均單價 '!$A$25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'!$B$25:$M$25</c:f>
              <c:numCache>
                <c:formatCode>#,##0.00_);[Red]\(#,##0.00\)</c:formatCode>
                <c:ptCount val="12"/>
                <c:pt idx="0">
                  <c:v>1796.629885780153</c:v>
                </c:pt>
                <c:pt idx="1">
                  <c:v>1852.7925663170881</c:v>
                </c:pt>
                <c:pt idx="2">
                  <c:v>1897.5183219494186</c:v>
                </c:pt>
                <c:pt idx="3">
                  <c:v>1758.5599317503199</c:v>
                </c:pt>
                <c:pt idx="4">
                  <c:v>1775.6004931313844</c:v>
                </c:pt>
                <c:pt idx="5">
                  <c:v>1672.3665820597289</c:v>
                </c:pt>
                <c:pt idx="6">
                  <c:v>1627.8834644610315</c:v>
                </c:pt>
                <c:pt idx="7">
                  <c:v>1665.335241631853</c:v>
                </c:pt>
                <c:pt idx="8">
                  <c:v>1696.0680987431776</c:v>
                </c:pt>
                <c:pt idx="9">
                  <c:v>1929.4281676872351</c:v>
                </c:pt>
                <c:pt idx="10">
                  <c:v>1737.6416935918148</c:v>
                </c:pt>
                <c:pt idx="11">
                  <c:v>1698.1803837667981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420-BBAE-0756A355F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5773136"/>
        <c:axId val="325775880"/>
      </c:lineChart>
      <c:catAx>
        <c:axId val="32577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0436144755839221"/>
              <c:y val="0.85730768728535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5775880"/>
        <c:crosses val="autoZero"/>
        <c:auto val="1"/>
        <c:lblAlgn val="ctr"/>
        <c:lblOffset val="100"/>
        <c:noMultiLvlLbl val="0"/>
      </c:catAx>
      <c:valAx>
        <c:axId val="32577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>
                    <a:solidFill>
                      <a:sysClr val="windowText" lastClr="000000"/>
                    </a:solidFill>
                  </a:rPr>
                  <a:t>US($)</a:t>
                </a:r>
                <a:endParaRPr lang="zh-TW" altLang="en-US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5407352513170696E-2"/>
              <c:y val="7.07240699390188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577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48066431786691"/>
          <c:y val="0.51285201290137239"/>
          <c:w val="8.6425547640418834E-2"/>
          <c:h val="0.28814301197424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33</xdr:row>
      <xdr:rowOff>131273</xdr:rowOff>
    </xdr:from>
    <xdr:to>
      <xdr:col>11</xdr:col>
      <xdr:colOff>257174</xdr:colOff>
      <xdr:row>50</xdr:row>
      <xdr:rowOff>47624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</cdr:x>
      <cdr:y>0.04052</cdr:y>
    </cdr:from>
    <cdr:to>
      <cdr:x>0.09316</cdr:x>
      <cdr:y>0.10885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6232" y="136751"/>
          <a:ext cx="607017" cy="23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zh-TW" altLang="en-US" sz="800">
              <a:latin typeface="Arial" panose="020B0604020202020204" pitchFamily="34" charset="0"/>
              <a:cs typeface="Arial" panose="020B0604020202020204" pitchFamily="34" charset="0"/>
            </a:rPr>
            <a:t>台</a:t>
          </a:r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0.8402</cdr:x>
      <cdr:y>0.90402</cdr:y>
    </cdr:from>
    <cdr:to>
      <cdr:x>0.91767</cdr:x>
      <cdr:y>0.97101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7605335" y="3050665"/>
          <a:ext cx="701247" cy="22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/>
            <a:t>月份</a:t>
          </a:r>
          <a:endParaRPr lang="en-US" altLang="zh-TW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33</xdr:row>
      <xdr:rowOff>84455</xdr:rowOff>
    </xdr:from>
    <xdr:to>
      <xdr:col>9</xdr:col>
      <xdr:colOff>1009650</xdr:colOff>
      <xdr:row>52</xdr:row>
      <xdr:rowOff>49530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0.01109</cdr:y>
    </cdr:from>
    <cdr:to>
      <cdr:x>0.13062</cdr:x>
      <cdr:y>0.06536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572782" y="39112"/>
          <a:ext cx="744822" cy="1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0.84733</cdr:x>
      <cdr:y>0.89168</cdr:y>
    </cdr:from>
    <cdr:to>
      <cdr:x>0.91691</cdr:x>
      <cdr:y>0.95466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8547040" y="3145337"/>
          <a:ext cx="701851" cy="222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38660</xdr:colOff>
      <xdr:row>34</xdr:row>
      <xdr:rowOff>142769</xdr:rowOff>
    </xdr:from>
    <xdr:to>
      <xdr:col>10</xdr:col>
      <xdr:colOff>778249</xdr:colOff>
      <xdr:row>55</xdr:row>
      <xdr:rowOff>150160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0.88514</cdr:x>
      <cdr:y>0.86324</cdr:y>
    </cdr:from>
    <cdr:to>
      <cdr:x>0.95979</cdr:x>
      <cdr:y>0.94042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8369825" y="4039342"/>
          <a:ext cx="705883" cy="361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0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  <cdr:relSizeAnchor xmlns:cdr="http://schemas.openxmlformats.org/drawingml/2006/chartDrawing">
    <cdr:from>
      <cdr:x>0.0529</cdr:x>
      <cdr:y>0.05068</cdr:y>
    </cdr:from>
    <cdr:to>
      <cdr:x>0.12535</cdr:x>
      <cdr:y>0.1128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500241" y="237147"/>
          <a:ext cx="685080" cy="290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23</xdr:row>
      <xdr:rowOff>76199</xdr:rowOff>
    </xdr:from>
    <xdr:to>
      <xdr:col>11</xdr:col>
      <xdr:colOff>447675</xdr:colOff>
      <xdr:row>43</xdr:row>
      <xdr:rowOff>19050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6BAEF07-8782-8CC2-8587-F8AF9E809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85724</xdr:rowOff>
    </xdr:from>
    <xdr:to>
      <xdr:col>8</xdr:col>
      <xdr:colOff>809625</xdr:colOff>
      <xdr:row>44</xdr:row>
      <xdr:rowOff>152400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474DF842-39D4-3C96-C470-332533680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33</xdr:row>
      <xdr:rowOff>76200</xdr:rowOff>
    </xdr:from>
    <xdr:to>
      <xdr:col>13</xdr:col>
      <xdr:colOff>361949</xdr:colOff>
      <xdr:row>51</xdr:row>
      <xdr:rowOff>133350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DC7F2F7-9605-93FB-4C6E-EBD03C60E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25972;&#36554;&#20986;&#21475;.xlsx" TargetMode="External"/><Relationship Id="rId1" Type="http://schemas.openxmlformats.org/officeDocument/2006/relationships/externalLinkPath" Target="file:///D:\DATA%20Files\Downloads\&#36914;&#20986;&#21475;&#20540;&#34920;%20-%20202512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36914;10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25972;&#36554;&#36914;&#21475;.xlsx" TargetMode="External"/><Relationship Id="rId1" Type="http://schemas.openxmlformats.org/officeDocument/2006/relationships/externalLinkPath" Target="file:///D:\DATA%20Files\Downloads\&#36914;&#20986;&#21475;&#20540;&#34920;%20-%201131-12&#25972;&#36554;&#36914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38651;&#36628;&#36554;&#20986;&#21475;.xlsx" TargetMode="External"/><Relationship Id="rId1" Type="http://schemas.openxmlformats.org/officeDocument/2006/relationships/externalLinkPath" Target="file:///D:\DATA%20Files\Downloads\&#36914;&#20986;&#21475;&#20540;&#34920;%20-%20202512&#38651;&#36628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38651;&#36628;&#36554;&#20986;&#21475;.xlsx" TargetMode="External"/><Relationship Id="rId1" Type="http://schemas.openxmlformats.org/officeDocument/2006/relationships/externalLinkPath" Target="file:///D:\DATA%20Files\Downloads\&#36914;&#20986;&#21475;&#20540;&#34920;%20-%2020251-12&#38651;&#36628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38651;&#36628;&#36554;&#20986;&#21475;.xlsx" TargetMode="External"/><Relationship Id="rId1" Type="http://schemas.openxmlformats.org/officeDocument/2006/relationships/externalLinkPath" Target="file:///D:\DATA%20Files\Downloads\&#36914;&#20986;&#21475;&#20540;&#34920;%20-%201131-12&#38651;&#36628;&#3655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38651;&#20986;&#21516;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5240;10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25722;&#30090;&#36554;&#20986;&#21475;.xlsx" TargetMode="External"/><Relationship Id="rId1" Type="http://schemas.openxmlformats.org/officeDocument/2006/relationships/externalLinkPath" Target="file:///D:\DATA%20Files\Downloads\&#36914;&#20986;&#21475;&#20540;&#34920;%20-%2020251-12&#25722;&#30090;&#3655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5240;&#20986;&#21516;10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25722;&#30090;&#36554;&#20986;&#21475;.xlsx" TargetMode="External"/><Relationship Id="rId1" Type="http://schemas.openxmlformats.org/officeDocument/2006/relationships/externalLinkPath" Target="file:///D:\DATA%20Files\Downloads\&#36914;&#20986;&#21475;&#20540;&#34920;%20-%201131-12&#25722;&#30090;&#36554;&#20986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25972;&#36554;&#20986;&#21475;.xlsx" TargetMode="External"/><Relationship Id="rId1" Type="http://schemas.openxmlformats.org/officeDocument/2006/relationships/externalLinkPath" Target="file:///D:\DATA%20Files\Downloads\&#36914;&#20986;&#21475;&#20540;&#34920;%20-%2020251-12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cn&#19978;10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512&#20013;&#22283;&#38646;&#20214;&#20986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512&#20013;&#22283;&#38646;&#20214;&#36914;&#21475;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51-12&#20013;&#22283;&#38646;&#20214;&#20986;&#21475;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1131-12&#20013;&#22283;&#38646;&#20214;&#20986;&#21475;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51-12&#20013;&#22283;&#38646;&#20214;&#36914;&#21475;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1131-12&#20013;&#22283;&#38646;&#20214;&#36914;&#21475;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38646;&#20214;&#20986;&#21475;.xlsx" TargetMode="External"/><Relationship Id="rId1" Type="http://schemas.openxmlformats.org/officeDocument/2006/relationships/externalLinkPath" Target="file:///D:\DATA%20Files\Downloads\&#36914;&#20986;&#21475;&#20540;&#34920;%20-%20202512&#38646;&#20214;&#20986;&#21475;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38646;&#20214;&#20986;&#21475;.xlsx" TargetMode="External"/><Relationship Id="rId1" Type="http://schemas.openxmlformats.org/officeDocument/2006/relationships/externalLinkPath" Target="file:///D:\DATA%20Files\Downloads\&#36914;&#20986;&#21475;&#20540;&#34920;%20-%2020251-12&#38646;&#20214;&#20986;&#21475;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38646;&#20214;&#36914;&#21475;.xlsx" TargetMode="External"/><Relationship Id="rId1" Type="http://schemas.openxmlformats.org/officeDocument/2006/relationships/externalLinkPath" Target="file:///D:\DATA%20Files\Downloads\&#36914;&#20986;&#21475;&#20540;&#34920;%20-%20202512&#38646;&#20214;&#36914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0986;10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38646;&#20214;&#36914;&#21475;.xlsx" TargetMode="External"/><Relationship Id="rId1" Type="http://schemas.openxmlformats.org/officeDocument/2006/relationships/externalLinkPath" Target="file:///D:\DATA%20Files\Downloads\&#36914;&#20986;&#21475;&#20540;&#34920;%20-%2020251-12&#38646;&#20214;&#36914;&#2147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&#24180;\2014&#24180;2&#26376;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38646;&#20214;&#20986;&#21475;.xlsx" TargetMode="External"/><Relationship Id="rId1" Type="http://schemas.openxmlformats.org/officeDocument/2006/relationships/externalLinkPath" Target="file:///D:\DATA%20Files\Downloads\&#36914;&#20986;&#21475;&#20540;&#34920;%20-%201131-12&#38646;&#20214;&#20986;&#2147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19&#32113;&#35336;\2019&#32113;&#35336;&#33609;&#26412;\2018&#24180;&#33609;&#26412;\2018&#24180;1&#26376;&#33609;&#264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1516;1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1-12&#25972;&#36554;&#20986;&#21475;.xlsx" TargetMode="External"/><Relationship Id="rId1" Type="http://schemas.openxmlformats.org/officeDocument/2006/relationships/externalLinkPath" Target="file:///D:\DATA%20Files\Downloads\&#36914;&#20986;&#21475;&#20540;&#34920;%20-%201131-12&#25972;&#36554;&#20986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20&#32113;&#35336;\2020&#32113;&#35336;&#33609;&#26412;\2020&#24180;4&#26376;&#33609;&#26412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2&#25972;&#36554;&#36914;&#21475;.xlsx" TargetMode="External"/><Relationship Id="rId1" Type="http://schemas.openxmlformats.org/officeDocument/2006/relationships/externalLinkPath" Target="file:///D:\DATA%20Files\Downloads\&#36914;&#20986;&#21475;&#20540;&#34920;%20-%20202512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2&#25972;&#36554;&#36914;&#21475;.xlsx" TargetMode="External"/><Relationship Id="rId1" Type="http://schemas.openxmlformats.org/officeDocument/2006/relationships/externalLinkPath" Target="file:///D:\DATA%20Files\Downloads\&#36914;&#20986;&#21475;&#20540;&#34920;%20-%2020251-12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61138156</v>
          </cell>
          <cell r="C10">
            <v>55512</v>
          </cell>
        </row>
        <row r="11">
          <cell r="A11" t="str">
            <v>荷蘭</v>
          </cell>
          <cell r="B11">
            <v>14513429</v>
          </cell>
          <cell r="C11">
            <v>8645</v>
          </cell>
        </row>
        <row r="12">
          <cell r="A12" t="str">
            <v>美國</v>
          </cell>
          <cell r="B12">
            <v>12284720</v>
          </cell>
          <cell r="C12">
            <v>19091</v>
          </cell>
        </row>
        <row r="13">
          <cell r="A13" t="str">
            <v>澳大利亞</v>
          </cell>
          <cell r="B13">
            <v>5183830</v>
          </cell>
          <cell r="C13">
            <v>4895</v>
          </cell>
        </row>
        <row r="14">
          <cell r="A14" t="str">
            <v>英國</v>
          </cell>
          <cell r="B14">
            <v>4004879</v>
          </cell>
          <cell r="C14">
            <v>4358</v>
          </cell>
        </row>
        <row r="15">
          <cell r="A15" t="str">
            <v>法國</v>
          </cell>
          <cell r="B15">
            <v>2796618</v>
          </cell>
          <cell r="C15">
            <v>1514</v>
          </cell>
        </row>
        <row r="16">
          <cell r="A16" t="str">
            <v>德國</v>
          </cell>
          <cell r="B16">
            <v>2331072</v>
          </cell>
          <cell r="C16">
            <v>2215</v>
          </cell>
        </row>
        <row r="17">
          <cell r="A17" t="str">
            <v>日本</v>
          </cell>
          <cell r="B17">
            <v>2195821</v>
          </cell>
          <cell r="C17">
            <v>1986</v>
          </cell>
        </row>
        <row r="18">
          <cell r="A18" t="str">
            <v>香港</v>
          </cell>
          <cell r="B18">
            <v>1904051</v>
          </cell>
          <cell r="C18">
            <v>706</v>
          </cell>
        </row>
        <row r="19">
          <cell r="A19" t="str">
            <v>西班牙</v>
          </cell>
          <cell r="B19">
            <v>1778660</v>
          </cell>
          <cell r="C19">
            <v>1218</v>
          </cell>
        </row>
        <row r="20">
          <cell r="A20" t="str">
            <v>義大利</v>
          </cell>
          <cell r="B20">
            <v>1527304</v>
          </cell>
          <cell r="C20">
            <v>1233</v>
          </cell>
        </row>
        <row r="21">
          <cell r="A21" t="str">
            <v>加拿大</v>
          </cell>
          <cell r="B21">
            <v>1449186</v>
          </cell>
          <cell r="C21">
            <v>1037</v>
          </cell>
        </row>
        <row r="22">
          <cell r="A22" t="str">
            <v>哥倫比亞</v>
          </cell>
          <cell r="B22">
            <v>1441053</v>
          </cell>
          <cell r="C22">
            <v>672</v>
          </cell>
        </row>
        <row r="23">
          <cell r="A23" t="str">
            <v>比利時</v>
          </cell>
          <cell r="B23">
            <v>1371579</v>
          </cell>
          <cell r="C23">
            <v>633</v>
          </cell>
        </row>
        <row r="24">
          <cell r="A24" t="str">
            <v>南非</v>
          </cell>
          <cell r="B24">
            <v>999012</v>
          </cell>
          <cell r="C24">
            <v>479</v>
          </cell>
        </row>
        <row r="25">
          <cell r="A25" t="str">
            <v>挪威</v>
          </cell>
          <cell r="B25">
            <v>867273</v>
          </cell>
          <cell r="C25">
            <v>1435</v>
          </cell>
        </row>
        <row r="26">
          <cell r="A26" t="str">
            <v>波蘭</v>
          </cell>
          <cell r="B26">
            <v>716237</v>
          </cell>
          <cell r="C26">
            <v>854</v>
          </cell>
        </row>
        <row r="27">
          <cell r="A27" t="str">
            <v>紐西蘭</v>
          </cell>
          <cell r="B27">
            <v>460764</v>
          </cell>
          <cell r="C27">
            <v>351</v>
          </cell>
        </row>
        <row r="28">
          <cell r="A28" t="str">
            <v>智利</v>
          </cell>
          <cell r="B28">
            <v>458979</v>
          </cell>
          <cell r="C28">
            <v>242</v>
          </cell>
        </row>
        <row r="29">
          <cell r="A29" t="str">
            <v>中國大陸</v>
          </cell>
          <cell r="B29">
            <v>432122</v>
          </cell>
          <cell r="C29">
            <v>219</v>
          </cell>
        </row>
        <row r="30">
          <cell r="A30" t="str">
            <v>匈牙利</v>
          </cell>
          <cell r="B30">
            <v>335886</v>
          </cell>
          <cell r="C30">
            <v>433</v>
          </cell>
        </row>
        <row r="31">
          <cell r="A31" t="str">
            <v>瑞士</v>
          </cell>
          <cell r="B31">
            <v>274066</v>
          </cell>
          <cell r="C31">
            <v>194</v>
          </cell>
        </row>
        <row r="32">
          <cell r="A32" t="str">
            <v>烏拉圭</v>
          </cell>
          <cell r="B32">
            <v>268772</v>
          </cell>
          <cell r="C32">
            <v>102</v>
          </cell>
        </row>
        <row r="33">
          <cell r="A33" t="str">
            <v>泰國</v>
          </cell>
          <cell r="B33">
            <v>250273</v>
          </cell>
          <cell r="C33">
            <v>267</v>
          </cell>
        </row>
        <row r="34">
          <cell r="A34" t="str">
            <v>以色列</v>
          </cell>
          <cell r="B34">
            <v>245295</v>
          </cell>
          <cell r="C34">
            <v>106</v>
          </cell>
        </row>
        <row r="35">
          <cell r="A35" t="str">
            <v>菲律賓</v>
          </cell>
          <cell r="B35">
            <v>244022</v>
          </cell>
          <cell r="C35">
            <v>221</v>
          </cell>
        </row>
        <row r="36">
          <cell r="A36" t="str">
            <v>巴拿馬</v>
          </cell>
          <cell r="B36">
            <v>241467</v>
          </cell>
          <cell r="C36">
            <v>82</v>
          </cell>
        </row>
        <row r="37">
          <cell r="A37" t="str">
            <v>捷克</v>
          </cell>
          <cell r="B37">
            <v>229028</v>
          </cell>
          <cell r="C37">
            <v>781</v>
          </cell>
        </row>
        <row r="38">
          <cell r="A38" t="str">
            <v>新加坡</v>
          </cell>
          <cell r="B38">
            <v>227210</v>
          </cell>
          <cell r="C38">
            <v>129</v>
          </cell>
        </row>
        <row r="39">
          <cell r="A39" t="str">
            <v>巴西</v>
          </cell>
          <cell r="B39">
            <v>212504</v>
          </cell>
          <cell r="C39">
            <v>185</v>
          </cell>
        </row>
        <row r="40">
          <cell r="A40" t="str">
            <v>阿拉伯聯合大公國</v>
          </cell>
          <cell r="B40">
            <v>211802</v>
          </cell>
          <cell r="C40">
            <v>125</v>
          </cell>
        </row>
        <row r="41">
          <cell r="A41" t="str">
            <v>厄瓜多</v>
          </cell>
          <cell r="B41">
            <v>190304</v>
          </cell>
          <cell r="C41">
            <v>191</v>
          </cell>
        </row>
        <row r="42">
          <cell r="A42" t="str">
            <v>哥斯大黎加</v>
          </cell>
          <cell r="B42">
            <v>160382</v>
          </cell>
          <cell r="C42">
            <v>66</v>
          </cell>
        </row>
        <row r="43">
          <cell r="A43" t="str">
            <v>馬來西亞</v>
          </cell>
          <cell r="B43">
            <v>160030</v>
          </cell>
          <cell r="C43">
            <v>68</v>
          </cell>
        </row>
        <row r="44">
          <cell r="A44" t="str">
            <v>瓜地馬拉</v>
          </cell>
          <cell r="B44">
            <v>158469</v>
          </cell>
          <cell r="C44">
            <v>68</v>
          </cell>
        </row>
        <row r="45">
          <cell r="A45" t="str">
            <v>波多黎各</v>
          </cell>
          <cell r="B45">
            <v>154386</v>
          </cell>
          <cell r="C45">
            <v>84</v>
          </cell>
        </row>
        <row r="46">
          <cell r="A46" t="str">
            <v>土耳其</v>
          </cell>
          <cell r="B46">
            <v>145072</v>
          </cell>
          <cell r="C46">
            <v>87</v>
          </cell>
        </row>
        <row r="47">
          <cell r="A47" t="str">
            <v>秘魯</v>
          </cell>
          <cell r="B47">
            <v>129888</v>
          </cell>
          <cell r="C47">
            <v>35</v>
          </cell>
        </row>
        <row r="48">
          <cell r="A48" t="str">
            <v>關島</v>
          </cell>
          <cell r="B48">
            <v>99394</v>
          </cell>
          <cell r="C48">
            <v>29</v>
          </cell>
        </row>
        <row r="49">
          <cell r="A49" t="str">
            <v>多明尼加</v>
          </cell>
          <cell r="B49">
            <v>95726</v>
          </cell>
          <cell r="C49">
            <v>36</v>
          </cell>
        </row>
        <row r="50">
          <cell r="A50" t="str">
            <v>拉脫維亞</v>
          </cell>
          <cell r="B50">
            <v>87464</v>
          </cell>
          <cell r="C50">
            <v>215</v>
          </cell>
        </row>
        <row r="51">
          <cell r="A51" t="str">
            <v>韓國</v>
          </cell>
          <cell r="B51">
            <v>79649</v>
          </cell>
          <cell r="C51">
            <v>41</v>
          </cell>
        </row>
        <row r="52">
          <cell r="A52" t="str">
            <v>墨西哥</v>
          </cell>
          <cell r="B52">
            <v>72982</v>
          </cell>
          <cell r="C52">
            <v>52</v>
          </cell>
        </row>
        <row r="53">
          <cell r="A53" t="str">
            <v>巴拉圭</v>
          </cell>
          <cell r="B53">
            <v>38213</v>
          </cell>
          <cell r="C53">
            <v>30</v>
          </cell>
        </row>
        <row r="54">
          <cell r="A54" t="str">
            <v>阿根廷</v>
          </cell>
          <cell r="B54">
            <v>29984</v>
          </cell>
          <cell r="C54">
            <v>18</v>
          </cell>
        </row>
        <row r="55">
          <cell r="A55" t="str">
            <v>亞塞拜然</v>
          </cell>
          <cell r="B55">
            <v>26444</v>
          </cell>
          <cell r="C55">
            <v>23</v>
          </cell>
        </row>
        <row r="56">
          <cell r="A56" t="str">
            <v>印尼</v>
          </cell>
          <cell r="B56">
            <v>22935</v>
          </cell>
          <cell r="C56">
            <v>9</v>
          </cell>
        </row>
        <row r="57">
          <cell r="A57" t="str">
            <v>薩爾瓦多</v>
          </cell>
          <cell r="B57">
            <v>16715</v>
          </cell>
          <cell r="C57">
            <v>17</v>
          </cell>
        </row>
        <row r="58">
          <cell r="A58" t="str">
            <v>模里西斯</v>
          </cell>
          <cell r="B58">
            <v>5933</v>
          </cell>
          <cell r="C58">
            <v>3</v>
          </cell>
        </row>
        <row r="59">
          <cell r="A59" t="str">
            <v>沙烏地阿拉伯</v>
          </cell>
          <cell r="B59">
            <v>4051</v>
          </cell>
          <cell r="C59">
            <v>3</v>
          </cell>
        </row>
        <row r="60">
          <cell r="A60" t="str">
            <v>印度</v>
          </cell>
          <cell r="B60">
            <v>2679</v>
          </cell>
          <cell r="C60">
            <v>1</v>
          </cell>
        </row>
        <row r="61">
          <cell r="A61" t="str">
            <v>迦納</v>
          </cell>
          <cell r="B61">
            <v>287</v>
          </cell>
          <cell r="C61">
            <v>3</v>
          </cell>
        </row>
        <row r="62">
          <cell r="A62" t="str">
            <v>獅子山</v>
          </cell>
          <cell r="B62">
            <v>255</v>
          </cell>
          <cell r="C62">
            <v>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進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1657270</v>
          </cell>
          <cell r="F11">
            <v>178447</v>
          </cell>
          <cell r="G11">
            <v>13870</v>
          </cell>
        </row>
        <row r="12">
          <cell r="C12" t="str">
            <v>越南</v>
          </cell>
          <cell r="D12" t="str">
            <v>Viet Nam</v>
          </cell>
          <cell r="E12">
            <v>84214</v>
          </cell>
          <cell r="F12">
            <v>1833</v>
          </cell>
          <cell r="G12">
            <v>142</v>
          </cell>
        </row>
        <row r="13">
          <cell r="C13" t="str">
            <v>德國</v>
          </cell>
          <cell r="D13" t="str">
            <v>Germany</v>
          </cell>
          <cell r="E13">
            <v>47883</v>
          </cell>
          <cell r="F13">
            <v>39</v>
          </cell>
          <cell r="G13">
            <v>9</v>
          </cell>
        </row>
        <row r="14">
          <cell r="C14" t="str">
            <v>英國</v>
          </cell>
          <cell r="D14" t="str">
            <v>United Kingdom</v>
          </cell>
          <cell r="E14">
            <v>41221</v>
          </cell>
          <cell r="F14">
            <v>437</v>
          </cell>
          <cell r="G14">
            <v>17</v>
          </cell>
        </row>
        <row r="15">
          <cell r="C15" t="str">
            <v>美國</v>
          </cell>
          <cell r="D15" t="str">
            <v>United States</v>
          </cell>
          <cell r="E15">
            <v>23466</v>
          </cell>
          <cell r="F15">
            <v>129</v>
          </cell>
          <cell r="G15">
            <v>10</v>
          </cell>
        </row>
        <row r="16">
          <cell r="C16" t="str">
            <v>義大利</v>
          </cell>
          <cell r="D16" t="str">
            <v>Italy</v>
          </cell>
          <cell r="E16">
            <v>7844</v>
          </cell>
          <cell r="F16">
            <v>17</v>
          </cell>
          <cell r="G16">
            <v>2</v>
          </cell>
        </row>
        <row r="17">
          <cell r="C17" t="str">
            <v>孟加拉</v>
          </cell>
          <cell r="D17" t="str">
            <v>Bangladesh</v>
          </cell>
          <cell r="E17">
            <v>6564</v>
          </cell>
          <cell r="F17">
            <v>121</v>
          </cell>
          <cell r="G17">
            <v>23</v>
          </cell>
        </row>
        <row r="18">
          <cell r="C18" t="str">
            <v>中華民國</v>
          </cell>
          <cell r="D18" t="str">
            <v>Taiwan, Roc</v>
          </cell>
          <cell r="E18">
            <v>6399</v>
          </cell>
          <cell r="F18">
            <v>36</v>
          </cell>
          <cell r="G18">
            <v>3</v>
          </cell>
        </row>
        <row r="19">
          <cell r="C19" t="str">
            <v>柬埔寨</v>
          </cell>
          <cell r="D19" t="str">
            <v>Cambodia</v>
          </cell>
          <cell r="E19">
            <v>3347</v>
          </cell>
          <cell r="F19">
            <v>16</v>
          </cell>
          <cell r="G19">
            <v>4</v>
          </cell>
        </row>
        <row r="20">
          <cell r="C20" t="str">
            <v>奧地利</v>
          </cell>
          <cell r="D20" t="str">
            <v>Austria</v>
          </cell>
          <cell r="E20">
            <v>3315</v>
          </cell>
          <cell r="F20">
            <v>14</v>
          </cell>
          <cell r="G20">
            <v>1</v>
          </cell>
        </row>
        <row r="21">
          <cell r="C21" t="str">
            <v>日本</v>
          </cell>
          <cell r="D21" t="str">
            <v>Japan</v>
          </cell>
          <cell r="E21">
            <v>480</v>
          </cell>
          <cell r="F21">
            <v>58</v>
          </cell>
          <cell r="G21">
            <v>4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29937097</v>
          </cell>
          <cell r="C10">
            <v>210864</v>
          </cell>
        </row>
        <row r="11">
          <cell r="A11" t="str">
            <v>中國大陸</v>
          </cell>
          <cell r="B11">
            <v>25137541</v>
          </cell>
          <cell r="C11">
            <v>205519</v>
          </cell>
        </row>
        <row r="12">
          <cell r="A12" t="str">
            <v>英國</v>
          </cell>
          <cell r="B12">
            <v>1030240</v>
          </cell>
          <cell r="C12">
            <v>701</v>
          </cell>
        </row>
        <row r="13">
          <cell r="A13" t="str">
            <v>中華民國</v>
          </cell>
          <cell r="B13">
            <v>962957</v>
          </cell>
          <cell r="C13">
            <v>2227</v>
          </cell>
        </row>
        <row r="14">
          <cell r="A14" t="str">
            <v>越南</v>
          </cell>
          <cell r="B14">
            <v>848674</v>
          </cell>
          <cell r="C14">
            <v>766</v>
          </cell>
        </row>
        <row r="15">
          <cell r="A15" t="str">
            <v>德國</v>
          </cell>
          <cell r="B15">
            <v>557668</v>
          </cell>
          <cell r="C15">
            <v>105</v>
          </cell>
        </row>
        <row r="16">
          <cell r="A16" t="str">
            <v>義大利</v>
          </cell>
          <cell r="B16">
            <v>555777</v>
          </cell>
          <cell r="C16">
            <v>151</v>
          </cell>
        </row>
        <row r="17">
          <cell r="A17" t="str">
            <v>柬埔寨</v>
          </cell>
          <cell r="B17">
            <v>340907</v>
          </cell>
          <cell r="C17">
            <v>860</v>
          </cell>
        </row>
        <row r="18">
          <cell r="A18" t="str">
            <v>美國</v>
          </cell>
          <cell r="B18">
            <v>194690</v>
          </cell>
          <cell r="C18">
            <v>63</v>
          </cell>
        </row>
        <row r="19">
          <cell r="A19" t="str">
            <v>比利時</v>
          </cell>
          <cell r="B19">
            <v>103833</v>
          </cell>
          <cell r="C19">
            <v>57</v>
          </cell>
        </row>
        <row r="20">
          <cell r="A20" t="str">
            <v>西班牙</v>
          </cell>
          <cell r="B20">
            <v>81183</v>
          </cell>
          <cell r="C20">
            <v>41</v>
          </cell>
        </row>
        <row r="21">
          <cell r="A21" t="str">
            <v>日本</v>
          </cell>
          <cell r="B21">
            <v>32920</v>
          </cell>
          <cell r="C21">
            <v>209</v>
          </cell>
        </row>
        <row r="22">
          <cell r="A22" t="str">
            <v>法國</v>
          </cell>
          <cell r="B22">
            <v>25814</v>
          </cell>
          <cell r="C22">
            <v>13</v>
          </cell>
        </row>
        <row r="23">
          <cell r="A23" t="str">
            <v>新加坡</v>
          </cell>
          <cell r="B23">
            <v>24375</v>
          </cell>
          <cell r="C23">
            <v>12</v>
          </cell>
        </row>
        <row r="24">
          <cell r="A24" t="str">
            <v>奧地利</v>
          </cell>
          <cell r="B24">
            <v>21302</v>
          </cell>
          <cell r="C24">
            <v>7</v>
          </cell>
        </row>
        <row r="25">
          <cell r="A25" t="str">
            <v>孟加拉</v>
          </cell>
          <cell r="B25">
            <v>10521</v>
          </cell>
          <cell r="C25">
            <v>114</v>
          </cell>
        </row>
        <row r="26">
          <cell r="A26" t="str">
            <v>荷蘭</v>
          </cell>
          <cell r="B26">
            <v>5320</v>
          </cell>
          <cell r="C26">
            <v>2</v>
          </cell>
        </row>
        <row r="27">
          <cell r="A27" t="str">
            <v>保加利亞</v>
          </cell>
          <cell r="B27">
            <v>2015</v>
          </cell>
          <cell r="C27">
            <v>2</v>
          </cell>
        </row>
        <row r="28">
          <cell r="A28" t="str">
            <v>馬來西亞</v>
          </cell>
          <cell r="B28">
            <v>866</v>
          </cell>
          <cell r="C28">
            <v>1</v>
          </cell>
        </row>
        <row r="29">
          <cell r="A29" t="str">
            <v>菲律賓</v>
          </cell>
          <cell r="B29">
            <v>339</v>
          </cell>
          <cell r="C29">
            <v>13</v>
          </cell>
        </row>
        <row r="30">
          <cell r="A30" t="str">
            <v>瑞士</v>
          </cell>
          <cell r="B30">
            <v>155</v>
          </cell>
          <cell r="C30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46564119</v>
          </cell>
          <cell r="C10">
            <v>23602</v>
          </cell>
        </row>
        <row r="11">
          <cell r="A11" t="str">
            <v>荷蘭</v>
          </cell>
          <cell r="B11">
            <v>17952442</v>
          </cell>
          <cell r="C11">
            <v>9624</v>
          </cell>
        </row>
        <row r="12">
          <cell r="A12" t="str">
            <v>美國</v>
          </cell>
          <cell r="B12">
            <v>8701213</v>
          </cell>
          <cell r="C12">
            <v>3714</v>
          </cell>
        </row>
        <row r="13">
          <cell r="A13" t="str">
            <v>德國</v>
          </cell>
          <cell r="B13">
            <v>3328008</v>
          </cell>
          <cell r="C13">
            <v>3232</v>
          </cell>
        </row>
        <row r="14">
          <cell r="A14" t="str">
            <v>英國</v>
          </cell>
          <cell r="B14">
            <v>3290048</v>
          </cell>
          <cell r="C14">
            <v>1488</v>
          </cell>
        </row>
        <row r="15">
          <cell r="A15" t="str">
            <v>西班牙</v>
          </cell>
          <cell r="B15">
            <v>1601148</v>
          </cell>
          <cell r="C15">
            <v>660</v>
          </cell>
        </row>
        <row r="16">
          <cell r="A16" t="str">
            <v>加拿大</v>
          </cell>
          <cell r="B16">
            <v>1539648</v>
          </cell>
          <cell r="C16">
            <v>623</v>
          </cell>
        </row>
        <row r="17">
          <cell r="A17" t="str">
            <v>南非</v>
          </cell>
          <cell r="B17">
            <v>1466380</v>
          </cell>
          <cell r="C17">
            <v>468</v>
          </cell>
        </row>
        <row r="18">
          <cell r="A18" t="str">
            <v>巴西</v>
          </cell>
          <cell r="B18">
            <v>1351865</v>
          </cell>
          <cell r="C18">
            <v>367</v>
          </cell>
        </row>
        <row r="19">
          <cell r="A19" t="str">
            <v>義大利</v>
          </cell>
          <cell r="B19">
            <v>1182487</v>
          </cell>
          <cell r="C19">
            <v>476</v>
          </cell>
        </row>
        <row r="20">
          <cell r="A20" t="str">
            <v>紐西蘭</v>
          </cell>
          <cell r="B20">
            <v>1003509</v>
          </cell>
          <cell r="C20">
            <v>432</v>
          </cell>
        </row>
        <row r="21">
          <cell r="A21" t="str">
            <v>澳大利亞</v>
          </cell>
          <cell r="B21">
            <v>697257</v>
          </cell>
          <cell r="C21">
            <v>249</v>
          </cell>
        </row>
        <row r="22">
          <cell r="A22" t="str">
            <v>挪威</v>
          </cell>
          <cell r="B22">
            <v>690622</v>
          </cell>
          <cell r="C22">
            <v>403</v>
          </cell>
        </row>
        <row r="23">
          <cell r="A23" t="str">
            <v>法國</v>
          </cell>
          <cell r="B23">
            <v>651739</v>
          </cell>
          <cell r="C23">
            <v>449</v>
          </cell>
        </row>
        <row r="24">
          <cell r="A24" t="str">
            <v>智利</v>
          </cell>
          <cell r="B24">
            <v>572313</v>
          </cell>
          <cell r="C24">
            <v>181</v>
          </cell>
        </row>
        <row r="25">
          <cell r="A25" t="str">
            <v>巴拿馬</v>
          </cell>
          <cell r="B25">
            <v>462456</v>
          </cell>
          <cell r="C25">
            <v>120</v>
          </cell>
        </row>
        <row r="26">
          <cell r="A26" t="str">
            <v>烏拉圭</v>
          </cell>
          <cell r="B26">
            <v>408900</v>
          </cell>
          <cell r="C26">
            <v>125</v>
          </cell>
        </row>
        <row r="27">
          <cell r="A27" t="str">
            <v>丹麥</v>
          </cell>
          <cell r="B27">
            <v>341722</v>
          </cell>
          <cell r="C27">
            <v>163</v>
          </cell>
        </row>
        <row r="28">
          <cell r="A28" t="str">
            <v>阿根廷</v>
          </cell>
          <cell r="B28">
            <v>300893</v>
          </cell>
          <cell r="C28">
            <v>96</v>
          </cell>
        </row>
        <row r="29">
          <cell r="A29" t="str">
            <v>波蘭</v>
          </cell>
          <cell r="B29">
            <v>279841</v>
          </cell>
          <cell r="C29">
            <v>178</v>
          </cell>
        </row>
        <row r="30">
          <cell r="A30" t="str">
            <v>日本</v>
          </cell>
          <cell r="B30">
            <v>195152</v>
          </cell>
          <cell r="C30">
            <v>217</v>
          </cell>
        </row>
        <row r="31">
          <cell r="A31" t="str">
            <v>多明尼加</v>
          </cell>
          <cell r="B31">
            <v>134577</v>
          </cell>
          <cell r="C31">
            <v>44</v>
          </cell>
        </row>
        <row r="32">
          <cell r="A32" t="str">
            <v>菲律賓</v>
          </cell>
          <cell r="B32">
            <v>102711</v>
          </cell>
          <cell r="C32">
            <v>32</v>
          </cell>
        </row>
        <row r="33">
          <cell r="A33" t="str">
            <v>韓國</v>
          </cell>
          <cell r="B33">
            <v>70941</v>
          </cell>
          <cell r="C33">
            <v>23</v>
          </cell>
        </row>
        <row r="34">
          <cell r="A34" t="str">
            <v>秘魯</v>
          </cell>
          <cell r="B34">
            <v>63987</v>
          </cell>
          <cell r="C34">
            <v>23</v>
          </cell>
        </row>
        <row r="35">
          <cell r="A35" t="str">
            <v>瑞典</v>
          </cell>
          <cell r="B35">
            <v>59809</v>
          </cell>
          <cell r="C35">
            <v>174</v>
          </cell>
        </row>
        <row r="36">
          <cell r="A36" t="str">
            <v>瑞士</v>
          </cell>
          <cell r="B36">
            <v>47720</v>
          </cell>
          <cell r="C36">
            <v>18</v>
          </cell>
        </row>
        <row r="37">
          <cell r="A37" t="str">
            <v>馬來西亞</v>
          </cell>
          <cell r="B37">
            <v>36013</v>
          </cell>
          <cell r="C37">
            <v>12</v>
          </cell>
        </row>
        <row r="38">
          <cell r="A38" t="str">
            <v>關島</v>
          </cell>
          <cell r="B38">
            <v>20574</v>
          </cell>
          <cell r="C38">
            <v>4</v>
          </cell>
        </row>
        <row r="39">
          <cell r="A39" t="str">
            <v>越南</v>
          </cell>
          <cell r="B39">
            <v>7656</v>
          </cell>
          <cell r="C39">
            <v>6</v>
          </cell>
        </row>
        <row r="40">
          <cell r="A40" t="str">
            <v>比利時</v>
          </cell>
          <cell r="B40">
            <v>2488</v>
          </cell>
          <cell r="C40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4">
          <cell r="A4" t="str">
            <v>總計</v>
          </cell>
          <cell r="B4">
            <v>668217277</v>
          </cell>
          <cell r="C4">
            <v>335750</v>
          </cell>
        </row>
        <row r="5">
          <cell r="A5" t="str">
            <v>荷蘭</v>
          </cell>
          <cell r="B5">
            <v>224417564</v>
          </cell>
          <cell r="C5">
            <v>120834</v>
          </cell>
        </row>
        <row r="6">
          <cell r="A6" t="str">
            <v>美國</v>
          </cell>
          <cell r="B6">
            <v>199498752</v>
          </cell>
          <cell r="C6">
            <v>87561</v>
          </cell>
        </row>
        <row r="7">
          <cell r="A7" t="str">
            <v>德國</v>
          </cell>
          <cell r="B7">
            <v>43592360</v>
          </cell>
          <cell r="C7">
            <v>32854</v>
          </cell>
        </row>
        <row r="8">
          <cell r="A8" t="str">
            <v>英國</v>
          </cell>
          <cell r="B8">
            <v>35624650</v>
          </cell>
          <cell r="C8">
            <v>16983</v>
          </cell>
        </row>
        <row r="9">
          <cell r="A9" t="str">
            <v>加拿大</v>
          </cell>
          <cell r="B9">
            <v>20334163</v>
          </cell>
          <cell r="C9">
            <v>8543</v>
          </cell>
        </row>
        <row r="10">
          <cell r="A10" t="str">
            <v>澳大利亞</v>
          </cell>
          <cell r="B10">
            <v>19793393</v>
          </cell>
          <cell r="C10">
            <v>8277</v>
          </cell>
        </row>
        <row r="11">
          <cell r="A11" t="str">
            <v>義大利</v>
          </cell>
          <cell r="B11">
            <v>19744072</v>
          </cell>
          <cell r="C11">
            <v>8025</v>
          </cell>
        </row>
        <row r="12">
          <cell r="A12" t="str">
            <v>西班牙</v>
          </cell>
          <cell r="B12">
            <v>19341380</v>
          </cell>
          <cell r="C12">
            <v>8236</v>
          </cell>
        </row>
        <row r="13">
          <cell r="A13" t="str">
            <v>紐西蘭</v>
          </cell>
          <cell r="B13">
            <v>13115156</v>
          </cell>
          <cell r="C13">
            <v>5356</v>
          </cell>
        </row>
        <row r="14">
          <cell r="A14" t="str">
            <v>法國</v>
          </cell>
          <cell r="B14">
            <v>13060496</v>
          </cell>
          <cell r="C14">
            <v>9332</v>
          </cell>
        </row>
        <row r="15">
          <cell r="A15" t="str">
            <v>南非</v>
          </cell>
          <cell r="B15">
            <v>7700998</v>
          </cell>
          <cell r="C15">
            <v>2619</v>
          </cell>
        </row>
        <row r="16">
          <cell r="A16" t="str">
            <v>墨西哥</v>
          </cell>
          <cell r="B16">
            <v>5664464</v>
          </cell>
          <cell r="C16">
            <v>1960</v>
          </cell>
        </row>
        <row r="17">
          <cell r="A17" t="str">
            <v>智利</v>
          </cell>
          <cell r="B17">
            <v>4630010</v>
          </cell>
          <cell r="C17">
            <v>1461</v>
          </cell>
        </row>
        <row r="18">
          <cell r="A18" t="str">
            <v>日本</v>
          </cell>
          <cell r="B18">
            <v>3702382</v>
          </cell>
          <cell r="C18">
            <v>3720</v>
          </cell>
        </row>
        <row r="19">
          <cell r="A19" t="str">
            <v>丹麥</v>
          </cell>
          <cell r="B19">
            <v>3594369</v>
          </cell>
          <cell r="C19">
            <v>1860</v>
          </cell>
        </row>
        <row r="20">
          <cell r="A20" t="str">
            <v>比利時</v>
          </cell>
          <cell r="B20">
            <v>3492523</v>
          </cell>
          <cell r="C20">
            <v>1361</v>
          </cell>
        </row>
        <row r="21">
          <cell r="A21" t="str">
            <v>挪威</v>
          </cell>
          <cell r="B21">
            <v>3435778</v>
          </cell>
          <cell r="C21">
            <v>1869</v>
          </cell>
        </row>
        <row r="22">
          <cell r="A22" t="str">
            <v>瑞士</v>
          </cell>
          <cell r="B22">
            <v>3382784</v>
          </cell>
          <cell r="C22">
            <v>1471</v>
          </cell>
        </row>
        <row r="23">
          <cell r="A23" t="str">
            <v>巴拿馬</v>
          </cell>
          <cell r="B23">
            <v>3308238</v>
          </cell>
          <cell r="C23">
            <v>996</v>
          </cell>
        </row>
        <row r="24">
          <cell r="A24" t="str">
            <v>巴西</v>
          </cell>
          <cell r="B24">
            <v>3282130</v>
          </cell>
          <cell r="C24">
            <v>947</v>
          </cell>
        </row>
        <row r="25">
          <cell r="A25" t="str">
            <v>阿根廷</v>
          </cell>
          <cell r="B25">
            <v>2565203</v>
          </cell>
          <cell r="C25">
            <v>834</v>
          </cell>
        </row>
        <row r="26">
          <cell r="A26" t="str">
            <v>哥倫比亞</v>
          </cell>
          <cell r="B26">
            <v>2466116</v>
          </cell>
          <cell r="C26">
            <v>891</v>
          </cell>
        </row>
        <row r="27">
          <cell r="A27" t="str">
            <v>以色列</v>
          </cell>
          <cell r="B27">
            <v>1979866</v>
          </cell>
          <cell r="C27">
            <v>716</v>
          </cell>
        </row>
        <row r="28">
          <cell r="A28" t="str">
            <v>捷克</v>
          </cell>
          <cell r="B28">
            <v>1937702</v>
          </cell>
          <cell r="C28">
            <v>2146</v>
          </cell>
        </row>
        <row r="29">
          <cell r="A29" t="str">
            <v>波蘭</v>
          </cell>
          <cell r="B29">
            <v>1802816</v>
          </cell>
          <cell r="C29">
            <v>992</v>
          </cell>
        </row>
        <row r="30">
          <cell r="A30" t="str">
            <v>瑞典</v>
          </cell>
          <cell r="B30">
            <v>1548005</v>
          </cell>
          <cell r="C30">
            <v>4008</v>
          </cell>
        </row>
        <row r="31">
          <cell r="A31" t="str">
            <v>烏拉圭</v>
          </cell>
          <cell r="B31">
            <v>854144</v>
          </cell>
          <cell r="C31">
            <v>252</v>
          </cell>
        </row>
        <row r="32">
          <cell r="A32" t="str">
            <v>韓國</v>
          </cell>
          <cell r="B32">
            <v>815624</v>
          </cell>
          <cell r="C32">
            <v>260</v>
          </cell>
        </row>
        <row r="33">
          <cell r="A33" t="str">
            <v>哥斯大黎加</v>
          </cell>
          <cell r="B33">
            <v>494081</v>
          </cell>
          <cell r="C33">
            <v>135</v>
          </cell>
        </row>
        <row r="34">
          <cell r="A34" t="str">
            <v>馬來西亞</v>
          </cell>
          <cell r="B34">
            <v>488486</v>
          </cell>
          <cell r="C34">
            <v>132</v>
          </cell>
        </row>
        <row r="35">
          <cell r="A35" t="str">
            <v>芬蘭</v>
          </cell>
          <cell r="B35">
            <v>461666</v>
          </cell>
          <cell r="C35">
            <v>204</v>
          </cell>
        </row>
        <row r="36">
          <cell r="A36" t="str">
            <v>中國大陸</v>
          </cell>
          <cell r="B36">
            <v>417316</v>
          </cell>
          <cell r="C36">
            <v>195</v>
          </cell>
        </row>
        <row r="37">
          <cell r="A37" t="str">
            <v>阿拉伯聯合大公國</v>
          </cell>
          <cell r="B37">
            <v>292528</v>
          </cell>
          <cell r="C37">
            <v>118</v>
          </cell>
        </row>
        <row r="38">
          <cell r="A38" t="str">
            <v>多明尼加</v>
          </cell>
          <cell r="B38">
            <v>273434</v>
          </cell>
          <cell r="C38">
            <v>87</v>
          </cell>
        </row>
        <row r="39">
          <cell r="A39" t="str">
            <v>秘魯</v>
          </cell>
          <cell r="B39">
            <v>268711</v>
          </cell>
          <cell r="C39">
            <v>90</v>
          </cell>
        </row>
        <row r="40">
          <cell r="A40" t="str">
            <v>匈牙利</v>
          </cell>
          <cell r="B40">
            <v>162191</v>
          </cell>
          <cell r="C40">
            <v>95</v>
          </cell>
        </row>
        <row r="41">
          <cell r="A41" t="str">
            <v>菲律賓</v>
          </cell>
          <cell r="B41">
            <v>160042</v>
          </cell>
          <cell r="C41">
            <v>56</v>
          </cell>
        </row>
        <row r="42">
          <cell r="A42" t="str">
            <v>厄瓜多</v>
          </cell>
          <cell r="B42">
            <v>134808</v>
          </cell>
          <cell r="C42">
            <v>29</v>
          </cell>
        </row>
        <row r="43">
          <cell r="A43" t="str">
            <v>瓜地馬拉</v>
          </cell>
          <cell r="B43">
            <v>88704</v>
          </cell>
          <cell r="C43">
            <v>30</v>
          </cell>
        </row>
        <row r="44">
          <cell r="A44" t="str">
            <v>模里西斯</v>
          </cell>
          <cell r="B44">
            <v>54900</v>
          </cell>
          <cell r="C44">
            <v>24</v>
          </cell>
        </row>
        <row r="45">
          <cell r="A45" t="str">
            <v>新加坡</v>
          </cell>
          <cell r="B45">
            <v>47954</v>
          </cell>
          <cell r="C45">
            <v>107</v>
          </cell>
        </row>
        <row r="46">
          <cell r="A46" t="str">
            <v>尼泊爾</v>
          </cell>
          <cell r="B46">
            <v>42203</v>
          </cell>
          <cell r="C46">
            <v>16</v>
          </cell>
        </row>
        <row r="47">
          <cell r="A47" t="str">
            <v>香港</v>
          </cell>
          <cell r="B47">
            <v>36050</v>
          </cell>
          <cell r="C47">
            <v>26</v>
          </cell>
        </row>
        <row r="48">
          <cell r="A48" t="str">
            <v>關島</v>
          </cell>
          <cell r="B48">
            <v>20574</v>
          </cell>
          <cell r="C48">
            <v>4</v>
          </cell>
        </row>
        <row r="49">
          <cell r="A49" t="str">
            <v>越南</v>
          </cell>
          <cell r="B49">
            <v>19556</v>
          </cell>
          <cell r="C49">
            <v>10</v>
          </cell>
        </row>
        <row r="50">
          <cell r="A50" t="str">
            <v>柬埔寨</v>
          </cell>
          <cell r="B50">
            <v>18469</v>
          </cell>
          <cell r="C50">
            <v>9</v>
          </cell>
        </row>
        <row r="51">
          <cell r="A51" t="str">
            <v>奧地利</v>
          </cell>
          <cell r="B51">
            <v>14230</v>
          </cell>
          <cell r="C51">
            <v>4</v>
          </cell>
        </row>
        <row r="52">
          <cell r="A52" t="str">
            <v>巴林</v>
          </cell>
          <cell r="B52">
            <v>11542</v>
          </cell>
          <cell r="C52">
            <v>3</v>
          </cell>
        </row>
        <row r="53">
          <cell r="A53" t="str">
            <v>薩爾瓦多</v>
          </cell>
          <cell r="B53">
            <v>10994</v>
          </cell>
          <cell r="C53">
            <v>7</v>
          </cell>
        </row>
        <row r="54">
          <cell r="A54" t="str">
            <v>摩洛哥</v>
          </cell>
          <cell r="B54">
            <v>4834</v>
          </cell>
          <cell r="C54">
            <v>1</v>
          </cell>
        </row>
        <row r="55">
          <cell r="A55" t="str">
            <v>葡萄牙</v>
          </cell>
          <cell r="B55">
            <v>4813</v>
          </cell>
          <cell r="C55">
            <v>2</v>
          </cell>
        </row>
        <row r="56">
          <cell r="A56" t="str">
            <v>泰國</v>
          </cell>
          <cell r="B56">
            <v>4053</v>
          </cell>
          <cell r="C56">
            <v>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672245726</v>
          </cell>
          <cell r="C3">
            <v>363921</v>
          </cell>
        </row>
        <row r="4">
          <cell r="A4" t="str">
            <v>美國</v>
          </cell>
          <cell r="B4">
            <v>205109527</v>
          </cell>
          <cell r="C4">
            <v>98267</v>
          </cell>
        </row>
        <row r="5">
          <cell r="A5" t="str">
            <v>荷蘭</v>
          </cell>
          <cell r="B5">
            <v>202886172</v>
          </cell>
          <cell r="C5">
            <v>114996</v>
          </cell>
        </row>
        <row r="6">
          <cell r="A6" t="str">
            <v>德國</v>
          </cell>
          <cell r="B6">
            <v>45918313</v>
          </cell>
          <cell r="C6">
            <v>34903</v>
          </cell>
        </row>
        <row r="7">
          <cell r="A7" t="str">
            <v>英國</v>
          </cell>
          <cell r="B7">
            <v>33231326</v>
          </cell>
          <cell r="C7">
            <v>20483</v>
          </cell>
        </row>
        <row r="8">
          <cell r="A8" t="str">
            <v>加拿大</v>
          </cell>
          <cell r="B8">
            <v>24879520</v>
          </cell>
          <cell r="C8">
            <v>12324</v>
          </cell>
        </row>
        <row r="9">
          <cell r="A9" t="str">
            <v>瑞士</v>
          </cell>
          <cell r="B9">
            <v>23205740</v>
          </cell>
          <cell r="C9">
            <v>9962</v>
          </cell>
        </row>
        <row r="10">
          <cell r="A10" t="str">
            <v>義大利</v>
          </cell>
          <cell r="B10">
            <v>19394579</v>
          </cell>
          <cell r="C10">
            <v>8838</v>
          </cell>
        </row>
        <row r="11">
          <cell r="A11" t="str">
            <v>西班牙</v>
          </cell>
          <cell r="B11">
            <v>16725409</v>
          </cell>
          <cell r="C11">
            <v>8134</v>
          </cell>
        </row>
        <row r="12">
          <cell r="A12" t="str">
            <v>澳大利亞</v>
          </cell>
          <cell r="B12">
            <v>16296964</v>
          </cell>
          <cell r="C12">
            <v>7377</v>
          </cell>
        </row>
        <row r="13">
          <cell r="A13" t="str">
            <v>保加利亞</v>
          </cell>
          <cell r="B13">
            <v>14138506</v>
          </cell>
          <cell r="C13">
            <v>7160</v>
          </cell>
        </row>
        <row r="14">
          <cell r="A14" t="str">
            <v>法國</v>
          </cell>
          <cell r="B14">
            <v>11483362</v>
          </cell>
          <cell r="C14">
            <v>7778</v>
          </cell>
        </row>
        <row r="15">
          <cell r="A15" t="str">
            <v>紐西蘭</v>
          </cell>
          <cell r="B15">
            <v>8522317</v>
          </cell>
          <cell r="C15">
            <v>3698</v>
          </cell>
        </row>
        <row r="16">
          <cell r="A16" t="str">
            <v>韓國</v>
          </cell>
          <cell r="B16">
            <v>7856350</v>
          </cell>
          <cell r="C16">
            <v>3755</v>
          </cell>
        </row>
        <row r="17">
          <cell r="A17" t="str">
            <v>挪威</v>
          </cell>
          <cell r="B17">
            <v>7577480</v>
          </cell>
          <cell r="C17">
            <v>4220</v>
          </cell>
        </row>
        <row r="18">
          <cell r="A18" t="str">
            <v>日本</v>
          </cell>
          <cell r="B18">
            <v>4675855</v>
          </cell>
          <cell r="C18">
            <v>3810</v>
          </cell>
        </row>
        <row r="19">
          <cell r="A19" t="str">
            <v>巴拿馬</v>
          </cell>
          <cell r="B19">
            <v>4646128</v>
          </cell>
          <cell r="C19">
            <v>1757</v>
          </cell>
        </row>
        <row r="20">
          <cell r="A20" t="str">
            <v>丹麥</v>
          </cell>
          <cell r="B20">
            <v>4475767</v>
          </cell>
          <cell r="C20">
            <v>2649</v>
          </cell>
        </row>
        <row r="21">
          <cell r="A21" t="str">
            <v>南非</v>
          </cell>
          <cell r="B21">
            <v>4207689</v>
          </cell>
          <cell r="C21">
            <v>1645</v>
          </cell>
        </row>
        <row r="22">
          <cell r="A22" t="str">
            <v>比利時</v>
          </cell>
          <cell r="B22">
            <v>3355365</v>
          </cell>
          <cell r="C22">
            <v>1279</v>
          </cell>
        </row>
        <row r="23">
          <cell r="A23" t="str">
            <v>瑞典</v>
          </cell>
          <cell r="B23">
            <v>1931732</v>
          </cell>
          <cell r="C23">
            <v>4825</v>
          </cell>
        </row>
        <row r="24">
          <cell r="A24" t="str">
            <v>波蘭</v>
          </cell>
          <cell r="B24">
            <v>1923596</v>
          </cell>
          <cell r="C24">
            <v>954</v>
          </cell>
        </row>
        <row r="25">
          <cell r="A25" t="str">
            <v>捷克</v>
          </cell>
          <cell r="B25">
            <v>1572701</v>
          </cell>
          <cell r="C25">
            <v>1568</v>
          </cell>
        </row>
        <row r="26">
          <cell r="A26" t="str">
            <v>以色列</v>
          </cell>
          <cell r="B26">
            <v>1257205</v>
          </cell>
          <cell r="C26">
            <v>473</v>
          </cell>
        </row>
        <row r="27">
          <cell r="A27" t="str">
            <v>墨西哥</v>
          </cell>
          <cell r="B27">
            <v>1088532</v>
          </cell>
          <cell r="C27">
            <v>502</v>
          </cell>
        </row>
        <row r="28">
          <cell r="A28" t="str">
            <v>芬蘭</v>
          </cell>
          <cell r="B28">
            <v>633468</v>
          </cell>
          <cell r="C28">
            <v>421</v>
          </cell>
        </row>
        <row r="29">
          <cell r="A29" t="str">
            <v>巴西</v>
          </cell>
          <cell r="B29">
            <v>580082</v>
          </cell>
          <cell r="C29">
            <v>202</v>
          </cell>
        </row>
        <row r="30">
          <cell r="A30" t="str">
            <v>奧地利</v>
          </cell>
          <cell r="B30">
            <v>518810</v>
          </cell>
          <cell r="C30">
            <v>223</v>
          </cell>
        </row>
        <row r="31">
          <cell r="A31" t="str">
            <v>中國大陸</v>
          </cell>
          <cell r="B31">
            <v>518624</v>
          </cell>
          <cell r="C31">
            <v>172</v>
          </cell>
        </row>
        <row r="32">
          <cell r="A32" t="str">
            <v>多明尼加</v>
          </cell>
          <cell r="B32">
            <v>509680</v>
          </cell>
          <cell r="C32">
            <v>191</v>
          </cell>
        </row>
        <row r="33">
          <cell r="A33" t="str">
            <v>馬來西亞</v>
          </cell>
          <cell r="B33">
            <v>469831</v>
          </cell>
          <cell r="C33">
            <v>175</v>
          </cell>
        </row>
        <row r="34">
          <cell r="A34" t="str">
            <v>智利</v>
          </cell>
          <cell r="B34">
            <v>439646</v>
          </cell>
          <cell r="C34">
            <v>177</v>
          </cell>
        </row>
        <row r="35">
          <cell r="A35" t="str">
            <v>匈牙利</v>
          </cell>
          <cell r="B35">
            <v>418743</v>
          </cell>
          <cell r="C35">
            <v>218</v>
          </cell>
        </row>
        <row r="36">
          <cell r="A36" t="str">
            <v>哥斯大黎加</v>
          </cell>
          <cell r="B36">
            <v>344664</v>
          </cell>
          <cell r="C36">
            <v>123</v>
          </cell>
        </row>
        <row r="37">
          <cell r="A37" t="str">
            <v>厄瓜多</v>
          </cell>
          <cell r="B37">
            <v>241653</v>
          </cell>
          <cell r="C37">
            <v>87</v>
          </cell>
        </row>
        <row r="38">
          <cell r="A38" t="str">
            <v>哥倫比亞</v>
          </cell>
          <cell r="B38">
            <v>218710</v>
          </cell>
          <cell r="C38">
            <v>93</v>
          </cell>
        </row>
        <row r="39">
          <cell r="A39" t="str">
            <v>秘魯</v>
          </cell>
          <cell r="B39">
            <v>169456</v>
          </cell>
          <cell r="C39">
            <v>46</v>
          </cell>
        </row>
        <row r="40">
          <cell r="A40" t="str">
            <v>阿拉伯聯合大公國</v>
          </cell>
          <cell r="B40">
            <v>114347</v>
          </cell>
          <cell r="C40">
            <v>69</v>
          </cell>
        </row>
        <row r="41">
          <cell r="A41" t="str">
            <v>冰島</v>
          </cell>
          <cell r="B41">
            <v>109850</v>
          </cell>
          <cell r="C41">
            <v>45</v>
          </cell>
        </row>
        <row r="42">
          <cell r="A42" t="str">
            <v>瓜地馬拉</v>
          </cell>
          <cell r="B42">
            <v>67717</v>
          </cell>
          <cell r="C42">
            <v>69</v>
          </cell>
        </row>
        <row r="43">
          <cell r="A43" t="str">
            <v>波多黎各</v>
          </cell>
          <cell r="B43">
            <v>63664</v>
          </cell>
          <cell r="C43">
            <v>21</v>
          </cell>
        </row>
        <row r="44">
          <cell r="A44" t="str">
            <v>愛爾蘭</v>
          </cell>
          <cell r="B44">
            <v>62350</v>
          </cell>
          <cell r="C44">
            <v>52</v>
          </cell>
        </row>
        <row r="45">
          <cell r="A45" t="str">
            <v>關島</v>
          </cell>
          <cell r="B45">
            <v>55327</v>
          </cell>
          <cell r="C45">
            <v>11</v>
          </cell>
        </row>
        <row r="46">
          <cell r="A46" t="str">
            <v>薩爾瓦多</v>
          </cell>
          <cell r="B46">
            <v>54838</v>
          </cell>
          <cell r="C46">
            <v>16</v>
          </cell>
        </row>
        <row r="47">
          <cell r="A47" t="str">
            <v>留尼旺</v>
          </cell>
          <cell r="B47">
            <v>51481</v>
          </cell>
          <cell r="C47">
            <v>20</v>
          </cell>
        </row>
        <row r="48">
          <cell r="A48" t="str">
            <v>委內瑞拉</v>
          </cell>
          <cell r="B48">
            <v>51117</v>
          </cell>
          <cell r="C48">
            <v>18</v>
          </cell>
        </row>
        <row r="49">
          <cell r="A49" t="str">
            <v>香港</v>
          </cell>
          <cell r="B49">
            <v>40512</v>
          </cell>
          <cell r="C49">
            <v>23</v>
          </cell>
        </row>
        <row r="50">
          <cell r="A50" t="str">
            <v>肯亞</v>
          </cell>
          <cell r="B50">
            <v>40467</v>
          </cell>
          <cell r="C50">
            <v>19</v>
          </cell>
        </row>
        <row r="51">
          <cell r="A51" t="str">
            <v>阿根廷</v>
          </cell>
          <cell r="B51">
            <v>26511</v>
          </cell>
          <cell r="C51">
            <v>10</v>
          </cell>
        </row>
        <row r="52">
          <cell r="A52" t="str">
            <v>泰國</v>
          </cell>
          <cell r="B52">
            <v>19220</v>
          </cell>
          <cell r="C52">
            <v>19</v>
          </cell>
        </row>
        <row r="53">
          <cell r="A53" t="str">
            <v>印度</v>
          </cell>
          <cell r="B53">
            <v>17509</v>
          </cell>
          <cell r="C53">
            <v>9</v>
          </cell>
        </row>
        <row r="54">
          <cell r="A54" t="str">
            <v>菲律賓</v>
          </cell>
          <cell r="B54">
            <v>15297</v>
          </cell>
          <cell r="C54">
            <v>16</v>
          </cell>
        </row>
        <row r="55">
          <cell r="A55" t="str">
            <v>印尼</v>
          </cell>
          <cell r="B55">
            <v>13279</v>
          </cell>
          <cell r="C55">
            <v>3</v>
          </cell>
        </row>
        <row r="56">
          <cell r="A56" t="str">
            <v>葡萄牙</v>
          </cell>
          <cell r="B56">
            <v>9282</v>
          </cell>
          <cell r="C56">
            <v>12</v>
          </cell>
        </row>
        <row r="57">
          <cell r="A57" t="str">
            <v>新加坡</v>
          </cell>
          <cell r="B57">
            <v>9116</v>
          </cell>
          <cell r="C57">
            <v>3</v>
          </cell>
        </row>
        <row r="58">
          <cell r="A58" t="str">
            <v>馬紹爾群島共和國</v>
          </cell>
          <cell r="B58">
            <v>340</v>
          </cell>
          <cell r="C58">
            <v>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電出同10"/>
    </sheetNames>
    <sheetDataSet>
      <sheetData sheetId="0" refreshError="1">
        <row r="10">
          <cell r="B10" t="str">
            <v>總計</v>
          </cell>
        </row>
        <row r="11">
          <cell r="C11" t="str">
            <v>荷蘭</v>
          </cell>
          <cell r="D11" t="str">
            <v>Netherlands</v>
          </cell>
          <cell r="E11">
            <v>166315341</v>
          </cell>
          <cell r="F11">
            <v>190098680</v>
          </cell>
          <cell r="G11">
            <v>2459945</v>
          </cell>
          <cell r="H11">
            <v>2697423</v>
          </cell>
          <cell r="I11">
            <v>93991</v>
          </cell>
          <cell r="J11">
            <v>103089</v>
          </cell>
        </row>
        <row r="12">
          <cell r="C12" t="str">
            <v>美國</v>
          </cell>
          <cell r="D12" t="str">
            <v>United States</v>
          </cell>
          <cell r="E12">
            <v>177265939</v>
          </cell>
          <cell r="F12">
            <v>179110766</v>
          </cell>
          <cell r="G12">
            <v>2552984</v>
          </cell>
          <cell r="H12">
            <v>2359330</v>
          </cell>
          <cell r="I12">
            <v>84494</v>
          </cell>
          <cell r="J12">
            <v>80115</v>
          </cell>
        </row>
        <row r="13">
          <cell r="C13" t="str">
            <v>德國</v>
          </cell>
          <cell r="D13" t="str">
            <v>Germany</v>
          </cell>
          <cell r="E13">
            <v>38522686</v>
          </cell>
          <cell r="F13">
            <v>36369469</v>
          </cell>
          <cell r="G13">
            <v>684004</v>
          </cell>
          <cell r="H13">
            <v>580200</v>
          </cell>
          <cell r="I13">
            <v>29346</v>
          </cell>
          <cell r="J13">
            <v>25841</v>
          </cell>
        </row>
        <row r="14">
          <cell r="C14" t="str">
            <v>英國</v>
          </cell>
          <cell r="D14" t="str">
            <v>United Kingdom</v>
          </cell>
          <cell r="E14">
            <v>27867355</v>
          </cell>
          <cell r="F14">
            <v>30165223</v>
          </cell>
          <cell r="G14">
            <v>424611</v>
          </cell>
          <cell r="H14">
            <v>380426</v>
          </cell>
          <cell r="I14">
            <v>17291</v>
          </cell>
          <cell r="J14">
            <v>14708</v>
          </cell>
        </row>
        <row r="15">
          <cell r="C15" t="str">
            <v>澳大利亞</v>
          </cell>
          <cell r="D15" t="str">
            <v>Australia</v>
          </cell>
          <cell r="E15">
            <v>12398131</v>
          </cell>
          <cell r="F15">
            <v>17150949</v>
          </cell>
          <cell r="G15">
            <v>155565</v>
          </cell>
          <cell r="H15">
            <v>204123</v>
          </cell>
          <cell r="I15">
            <v>5608</v>
          </cell>
          <cell r="J15">
            <v>7281</v>
          </cell>
        </row>
        <row r="16">
          <cell r="C16" t="str">
            <v>義大利</v>
          </cell>
          <cell r="D16" t="str">
            <v>Italy</v>
          </cell>
          <cell r="E16">
            <v>15637067</v>
          </cell>
          <cell r="F16">
            <v>17048277</v>
          </cell>
          <cell r="G16">
            <v>181453</v>
          </cell>
          <cell r="H16">
            <v>192651</v>
          </cell>
          <cell r="I16">
            <v>7162</v>
          </cell>
          <cell r="J16">
            <v>7040</v>
          </cell>
        </row>
        <row r="17">
          <cell r="C17" t="str">
            <v>加拿大</v>
          </cell>
          <cell r="D17" t="str">
            <v>Canada</v>
          </cell>
          <cell r="E17">
            <v>21641414</v>
          </cell>
          <cell r="F17">
            <v>16928140</v>
          </cell>
          <cell r="G17">
            <v>301249</v>
          </cell>
          <cell r="H17">
            <v>202568</v>
          </cell>
          <cell r="I17">
            <v>10738</v>
          </cell>
          <cell r="J17">
            <v>7062</v>
          </cell>
        </row>
        <row r="18">
          <cell r="C18" t="str">
            <v>西班牙</v>
          </cell>
          <cell r="D18" t="str">
            <v>Spain</v>
          </cell>
          <cell r="E18">
            <v>14023158</v>
          </cell>
          <cell r="F18">
            <v>15680414</v>
          </cell>
          <cell r="G18">
            <v>185475</v>
          </cell>
          <cell r="H18">
            <v>192718</v>
          </cell>
          <cell r="I18">
            <v>6790</v>
          </cell>
          <cell r="J18">
            <v>6772</v>
          </cell>
        </row>
        <row r="19">
          <cell r="C19" t="str">
            <v>法國</v>
          </cell>
          <cell r="D19" t="str">
            <v>France</v>
          </cell>
          <cell r="E19">
            <v>8799307</v>
          </cell>
          <cell r="F19">
            <v>11659404</v>
          </cell>
          <cell r="G19">
            <v>185043</v>
          </cell>
          <cell r="H19">
            <v>215989</v>
          </cell>
          <cell r="I19">
            <v>6051</v>
          </cell>
          <cell r="J19">
            <v>8392</v>
          </cell>
        </row>
        <row r="20">
          <cell r="C20" t="str">
            <v>紐西蘭</v>
          </cell>
          <cell r="D20" t="str">
            <v>New Zealand</v>
          </cell>
          <cell r="E20">
            <v>7156611</v>
          </cell>
          <cell r="F20">
            <v>10199600</v>
          </cell>
          <cell r="G20">
            <v>86519</v>
          </cell>
          <cell r="H20">
            <v>127462</v>
          </cell>
          <cell r="I20">
            <v>3040</v>
          </cell>
          <cell r="J20">
            <v>4301</v>
          </cell>
        </row>
        <row r="21">
          <cell r="C21" t="str">
            <v>南非</v>
          </cell>
          <cell r="D21" t="str">
            <v>South Africa</v>
          </cell>
          <cell r="E21">
            <v>3554358</v>
          </cell>
          <cell r="F21">
            <v>5574282</v>
          </cell>
          <cell r="G21">
            <v>34783</v>
          </cell>
          <cell r="H21">
            <v>55000</v>
          </cell>
          <cell r="I21">
            <v>1389</v>
          </cell>
          <cell r="J21">
            <v>1958</v>
          </cell>
        </row>
        <row r="22">
          <cell r="C22" t="str">
            <v>墨西哥</v>
          </cell>
          <cell r="D22" t="str">
            <v>Mexico</v>
          </cell>
          <cell r="E22">
            <v>1014299</v>
          </cell>
          <cell r="F22">
            <v>5200995</v>
          </cell>
          <cell r="G22">
            <v>10699</v>
          </cell>
          <cell r="H22">
            <v>54055</v>
          </cell>
          <cell r="I22">
            <v>475</v>
          </cell>
          <cell r="J22">
            <v>1813</v>
          </cell>
        </row>
        <row r="23">
          <cell r="C23" t="str">
            <v>智利</v>
          </cell>
          <cell r="D23" t="str">
            <v>Chile</v>
          </cell>
          <cell r="E23">
            <v>378753</v>
          </cell>
          <cell r="F23">
            <v>3569163</v>
          </cell>
          <cell r="G23">
            <v>3898</v>
          </cell>
          <cell r="H23">
            <v>36843</v>
          </cell>
          <cell r="I23">
            <v>151</v>
          </cell>
          <cell r="J23">
            <v>1142</v>
          </cell>
        </row>
        <row r="24">
          <cell r="C24" t="str">
            <v>比利時</v>
          </cell>
          <cell r="D24" t="str">
            <v>Belgium</v>
          </cell>
          <cell r="E24">
            <v>3023253</v>
          </cell>
          <cell r="F24">
            <v>3385901</v>
          </cell>
          <cell r="G24">
            <v>28449</v>
          </cell>
          <cell r="H24">
            <v>30485</v>
          </cell>
          <cell r="I24">
            <v>1173</v>
          </cell>
          <cell r="J24">
            <v>1324</v>
          </cell>
        </row>
        <row r="25">
          <cell r="C25" t="str">
            <v>瑞士</v>
          </cell>
          <cell r="D25" t="str">
            <v>Switzerland</v>
          </cell>
          <cell r="E25">
            <v>20988518</v>
          </cell>
          <cell r="F25">
            <v>3227183</v>
          </cell>
          <cell r="G25">
            <v>228412</v>
          </cell>
          <cell r="H25">
            <v>39177</v>
          </cell>
          <cell r="I25">
            <v>8976</v>
          </cell>
          <cell r="J25">
            <v>1401</v>
          </cell>
        </row>
        <row r="26">
          <cell r="C26" t="str">
            <v>日本</v>
          </cell>
          <cell r="D26" t="str">
            <v>Japan</v>
          </cell>
          <cell r="E26">
            <v>3474199</v>
          </cell>
          <cell r="F26">
            <v>3069342</v>
          </cell>
          <cell r="G26">
            <v>66496</v>
          </cell>
          <cell r="H26">
            <v>67091</v>
          </cell>
          <cell r="I26">
            <v>2937</v>
          </cell>
          <cell r="J26">
            <v>3141</v>
          </cell>
        </row>
        <row r="27">
          <cell r="C27" t="str">
            <v>巴拿馬</v>
          </cell>
          <cell r="D27" t="str">
            <v>Panama</v>
          </cell>
          <cell r="E27">
            <v>4557658</v>
          </cell>
          <cell r="F27">
            <v>2845782</v>
          </cell>
          <cell r="G27">
            <v>46949</v>
          </cell>
          <cell r="H27">
            <v>27918</v>
          </cell>
          <cell r="I27">
            <v>1720</v>
          </cell>
          <cell r="J27">
            <v>876</v>
          </cell>
        </row>
        <row r="28">
          <cell r="C28" t="str">
            <v>挪威</v>
          </cell>
          <cell r="D28" t="str">
            <v>Norway</v>
          </cell>
          <cell r="E28">
            <v>7367566</v>
          </cell>
          <cell r="F28">
            <v>2628845</v>
          </cell>
          <cell r="G28">
            <v>119886</v>
          </cell>
          <cell r="H28">
            <v>41538</v>
          </cell>
          <cell r="I28">
            <v>4117</v>
          </cell>
          <cell r="J28">
            <v>1404</v>
          </cell>
        </row>
        <row r="29">
          <cell r="C29" t="str">
            <v>丹麥</v>
          </cell>
          <cell r="D29" t="str">
            <v>Denmark</v>
          </cell>
          <cell r="E29">
            <v>3994945</v>
          </cell>
          <cell r="F29">
            <v>2343959</v>
          </cell>
          <cell r="G29">
            <v>75861</v>
          </cell>
          <cell r="H29">
            <v>42488</v>
          </cell>
          <cell r="I29">
            <v>2415</v>
          </cell>
          <cell r="J29">
            <v>1175</v>
          </cell>
        </row>
        <row r="30">
          <cell r="C30" t="str">
            <v>哥倫比亞</v>
          </cell>
          <cell r="D30" t="str">
            <v>Colombia</v>
          </cell>
          <cell r="E30">
            <v>208328</v>
          </cell>
          <cell r="F30">
            <v>2270670</v>
          </cell>
          <cell r="G30">
            <v>2420</v>
          </cell>
          <cell r="H30">
            <v>25608</v>
          </cell>
          <cell r="I30">
            <v>88</v>
          </cell>
          <cell r="J30">
            <v>826</v>
          </cell>
        </row>
        <row r="31">
          <cell r="C31" t="str">
            <v>阿根廷</v>
          </cell>
          <cell r="D31" t="str">
            <v>Argentina</v>
          </cell>
          <cell r="E31">
            <v>26511</v>
          </cell>
          <cell r="F31">
            <v>2264310</v>
          </cell>
          <cell r="G31">
            <v>296</v>
          </cell>
          <cell r="H31">
            <v>23146</v>
          </cell>
          <cell r="I31">
            <v>10</v>
          </cell>
          <cell r="J31">
            <v>738</v>
          </cell>
        </row>
        <row r="32">
          <cell r="C32" t="str">
            <v>以色列</v>
          </cell>
          <cell r="D32" t="str">
            <v>Israel</v>
          </cell>
          <cell r="E32">
            <v>965629</v>
          </cell>
          <cell r="F32">
            <v>1979866</v>
          </cell>
          <cell r="G32">
            <v>8766</v>
          </cell>
          <cell r="H32">
            <v>20814</v>
          </cell>
          <cell r="I32">
            <v>349</v>
          </cell>
          <cell r="J32">
            <v>716</v>
          </cell>
        </row>
        <row r="33">
          <cell r="C33" t="str">
            <v>捷克</v>
          </cell>
          <cell r="D33" t="str">
            <v>Czech Republic</v>
          </cell>
          <cell r="E33">
            <v>1453864</v>
          </cell>
          <cell r="F33">
            <v>1937702</v>
          </cell>
          <cell r="G33">
            <v>35821</v>
          </cell>
          <cell r="H33">
            <v>52357</v>
          </cell>
          <cell r="I33">
            <v>1466</v>
          </cell>
          <cell r="J33">
            <v>2146</v>
          </cell>
        </row>
        <row r="34">
          <cell r="C34" t="str">
            <v>巴西</v>
          </cell>
          <cell r="D34" t="str">
            <v>Brazil</v>
          </cell>
          <cell r="E34">
            <v>66933</v>
          </cell>
          <cell r="F34">
            <v>1831783</v>
          </cell>
          <cell r="G34">
            <v>677</v>
          </cell>
          <cell r="H34">
            <v>15571</v>
          </cell>
          <cell r="I34">
            <v>30</v>
          </cell>
          <cell r="J34">
            <v>557</v>
          </cell>
        </row>
        <row r="35">
          <cell r="C35" t="str">
            <v>波蘭</v>
          </cell>
          <cell r="D35" t="str">
            <v>Poland</v>
          </cell>
          <cell r="E35">
            <v>1597021</v>
          </cell>
          <cell r="F35">
            <v>1522975</v>
          </cell>
          <cell r="G35">
            <v>22539</v>
          </cell>
          <cell r="H35">
            <v>21266</v>
          </cell>
          <cell r="I35">
            <v>794</v>
          </cell>
          <cell r="J35">
            <v>814</v>
          </cell>
        </row>
        <row r="36">
          <cell r="C36" t="str">
            <v>瑞典</v>
          </cell>
          <cell r="D36" t="str">
            <v>Sweden</v>
          </cell>
          <cell r="E36">
            <v>1038824</v>
          </cell>
          <cell r="F36">
            <v>1284934</v>
          </cell>
          <cell r="G36">
            <v>60260</v>
          </cell>
          <cell r="H36">
            <v>75164</v>
          </cell>
          <cell r="I36">
            <v>2580</v>
          </cell>
          <cell r="J36">
            <v>3254</v>
          </cell>
        </row>
        <row r="37">
          <cell r="C37" t="str">
            <v>韓國</v>
          </cell>
          <cell r="D37" t="str">
            <v>Republic of Korea</v>
          </cell>
          <cell r="E37">
            <v>7051872</v>
          </cell>
          <cell r="F37">
            <v>677758</v>
          </cell>
          <cell r="G37">
            <v>82093</v>
          </cell>
          <cell r="H37">
            <v>4558</v>
          </cell>
          <cell r="I37">
            <v>3307</v>
          </cell>
          <cell r="J37">
            <v>192</v>
          </cell>
        </row>
        <row r="38">
          <cell r="C38" t="str">
            <v>芬蘭</v>
          </cell>
          <cell r="D38" t="str">
            <v>Finland</v>
          </cell>
          <cell r="E38">
            <v>633468</v>
          </cell>
          <cell r="F38">
            <v>461666</v>
          </cell>
          <cell r="G38">
            <v>11224</v>
          </cell>
          <cell r="H38">
            <v>5774</v>
          </cell>
          <cell r="I38">
            <v>421</v>
          </cell>
          <cell r="J38">
            <v>204</v>
          </cell>
        </row>
        <row r="39">
          <cell r="C39" t="str">
            <v>馬來西亞</v>
          </cell>
          <cell r="D39" t="str">
            <v>Malaysia</v>
          </cell>
          <cell r="E39">
            <v>428351</v>
          </cell>
          <cell r="F39">
            <v>452473</v>
          </cell>
          <cell r="G39">
            <v>3539</v>
          </cell>
          <cell r="H39">
            <v>3321</v>
          </cell>
          <cell r="I39">
            <v>154</v>
          </cell>
          <cell r="J39">
            <v>120</v>
          </cell>
        </row>
        <row r="40">
          <cell r="C40" t="str">
            <v>哥斯大黎加</v>
          </cell>
          <cell r="D40" t="str">
            <v>Costa Rica</v>
          </cell>
          <cell r="E40">
            <v>248779</v>
          </cell>
          <cell r="F40">
            <v>436297</v>
          </cell>
          <cell r="G40">
            <v>2439</v>
          </cell>
          <cell r="H40">
            <v>3343</v>
          </cell>
          <cell r="I40">
            <v>90</v>
          </cell>
          <cell r="J40">
            <v>119</v>
          </cell>
        </row>
        <row r="41">
          <cell r="C41" t="str">
            <v>中國大陸</v>
          </cell>
          <cell r="D41" t="str">
            <v>China</v>
          </cell>
          <cell r="E41">
            <v>518624</v>
          </cell>
          <cell r="F41">
            <v>413052</v>
          </cell>
          <cell r="G41">
            <v>4000</v>
          </cell>
          <cell r="H41">
            <v>5700</v>
          </cell>
          <cell r="I41">
            <v>172</v>
          </cell>
          <cell r="J41">
            <v>193</v>
          </cell>
        </row>
        <row r="42">
          <cell r="C42" t="str">
            <v>烏拉圭</v>
          </cell>
          <cell r="D42" t="str">
            <v>Uruguay</v>
          </cell>
          <cell r="E42">
            <v>0</v>
          </cell>
          <cell r="F42">
            <v>348474</v>
          </cell>
          <cell r="G42">
            <v>0</v>
          </cell>
          <cell r="H42">
            <v>3274</v>
          </cell>
          <cell r="I42">
            <v>0</v>
          </cell>
          <cell r="J42">
            <v>102</v>
          </cell>
        </row>
        <row r="43">
          <cell r="C43" t="str">
            <v>阿拉伯聯合大公國</v>
          </cell>
          <cell r="D43" t="str">
            <v>United Arab Emirates</v>
          </cell>
          <cell r="E43">
            <v>114347</v>
          </cell>
          <cell r="F43">
            <v>247567</v>
          </cell>
          <cell r="G43">
            <v>1406</v>
          </cell>
          <cell r="H43">
            <v>3259</v>
          </cell>
          <cell r="I43">
            <v>69</v>
          </cell>
          <cell r="J43">
            <v>95</v>
          </cell>
        </row>
        <row r="44">
          <cell r="C44" t="str">
            <v>秘魯</v>
          </cell>
          <cell r="D44" t="str">
            <v>Peru</v>
          </cell>
          <cell r="E44">
            <v>169456</v>
          </cell>
          <cell r="F44">
            <v>204724</v>
          </cell>
          <cell r="G44">
            <v>989</v>
          </cell>
          <cell r="H44">
            <v>1612</v>
          </cell>
          <cell r="I44">
            <v>46</v>
          </cell>
          <cell r="J44">
            <v>67</v>
          </cell>
        </row>
        <row r="45">
          <cell r="C45" t="str">
            <v>匈牙利</v>
          </cell>
          <cell r="D45" t="str">
            <v>Hungary</v>
          </cell>
          <cell r="E45">
            <v>379576</v>
          </cell>
          <cell r="F45">
            <v>162191</v>
          </cell>
          <cell r="G45">
            <v>5545</v>
          </cell>
          <cell r="H45">
            <v>2604</v>
          </cell>
          <cell r="I45">
            <v>195</v>
          </cell>
          <cell r="J45">
            <v>95</v>
          </cell>
        </row>
        <row r="46">
          <cell r="C46" t="str">
            <v>多明尼加</v>
          </cell>
          <cell r="D46" t="str">
            <v>Dominican Republic</v>
          </cell>
          <cell r="E46">
            <v>424489</v>
          </cell>
          <cell r="F46">
            <v>138857</v>
          </cell>
          <cell r="G46">
            <v>4406</v>
          </cell>
          <cell r="H46">
            <v>1032</v>
          </cell>
          <cell r="I46">
            <v>159</v>
          </cell>
          <cell r="J46">
            <v>43</v>
          </cell>
        </row>
        <row r="47">
          <cell r="C47" t="str">
            <v>厄瓜多</v>
          </cell>
          <cell r="D47" t="str">
            <v>Ecuador</v>
          </cell>
          <cell r="E47">
            <v>216407</v>
          </cell>
          <cell r="F47">
            <v>134808</v>
          </cell>
          <cell r="G47">
            <v>2051</v>
          </cell>
          <cell r="H47">
            <v>912</v>
          </cell>
          <cell r="I47">
            <v>76</v>
          </cell>
          <cell r="J47">
            <v>29</v>
          </cell>
        </row>
        <row r="48">
          <cell r="C48" t="str">
            <v>瓜地馬拉</v>
          </cell>
          <cell r="D48" t="str">
            <v>Guatemala</v>
          </cell>
          <cell r="E48">
            <v>67717</v>
          </cell>
          <cell r="F48">
            <v>88704</v>
          </cell>
          <cell r="G48">
            <v>1943</v>
          </cell>
          <cell r="H48">
            <v>673</v>
          </cell>
          <cell r="I48">
            <v>69</v>
          </cell>
          <cell r="J48">
            <v>30</v>
          </cell>
        </row>
        <row r="49">
          <cell r="C49" t="str">
            <v>菲律賓</v>
          </cell>
          <cell r="D49" t="str">
            <v>Philippines</v>
          </cell>
          <cell r="E49">
            <v>11555</v>
          </cell>
          <cell r="F49">
            <v>57331</v>
          </cell>
          <cell r="G49">
            <v>590</v>
          </cell>
          <cell r="H49">
            <v>1329</v>
          </cell>
          <cell r="I49">
            <v>7</v>
          </cell>
          <cell r="J49">
            <v>24</v>
          </cell>
        </row>
        <row r="50">
          <cell r="C50" t="str">
            <v>模里西斯</v>
          </cell>
          <cell r="D50" t="str">
            <v>Mauritius</v>
          </cell>
          <cell r="E50">
            <v>0</v>
          </cell>
          <cell r="F50">
            <v>54900</v>
          </cell>
          <cell r="G50">
            <v>0</v>
          </cell>
          <cell r="H50">
            <v>616</v>
          </cell>
          <cell r="I50">
            <v>0</v>
          </cell>
          <cell r="J50">
            <v>24</v>
          </cell>
        </row>
        <row r="51">
          <cell r="C51" t="str">
            <v>新加坡</v>
          </cell>
          <cell r="D51" t="str">
            <v>Singapore</v>
          </cell>
          <cell r="E51">
            <v>7002</v>
          </cell>
          <cell r="F51">
            <v>47954</v>
          </cell>
          <cell r="G51">
            <v>88</v>
          </cell>
          <cell r="H51">
            <v>3775</v>
          </cell>
          <cell r="I51">
            <v>2</v>
          </cell>
          <cell r="J51">
            <v>107</v>
          </cell>
        </row>
        <row r="52">
          <cell r="C52" t="str">
            <v>尼泊爾</v>
          </cell>
          <cell r="D52" t="str">
            <v>Nepal</v>
          </cell>
          <cell r="E52">
            <v>0</v>
          </cell>
          <cell r="F52">
            <v>42203</v>
          </cell>
          <cell r="G52">
            <v>0</v>
          </cell>
          <cell r="H52">
            <v>487</v>
          </cell>
          <cell r="I52">
            <v>0</v>
          </cell>
          <cell r="J52">
            <v>16</v>
          </cell>
        </row>
        <row r="53">
          <cell r="C53" t="str">
            <v>香港</v>
          </cell>
          <cell r="D53" t="str">
            <v>Hong Kong</v>
          </cell>
          <cell r="E53">
            <v>31824</v>
          </cell>
          <cell r="F53">
            <v>36050</v>
          </cell>
          <cell r="G53">
            <v>340</v>
          </cell>
          <cell r="H53">
            <v>551</v>
          </cell>
          <cell r="I53">
            <v>14</v>
          </cell>
          <cell r="J53">
            <v>26</v>
          </cell>
        </row>
        <row r="54">
          <cell r="C54" t="str">
            <v>柬埔寨</v>
          </cell>
          <cell r="D54" t="str">
            <v>Cambodia</v>
          </cell>
          <cell r="E54">
            <v>0</v>
          </cell>
          <cell r="F54">
            <v>18535</v>
          </cell>
          <cell r="G54">
            <v>0</v>
          </cell>
          <cell r="H54">
            <v>370</v>
          </cell>
          <cell r="I54">
            <v>0</v>
          </cell>
          <cell r="J54">
            <v>10</v>
          </cell>
        </row>
        <row r="55">
          <cell r="C55" t="str">
            <v>奧地利</v>
          </cell>
          <cell r="D55" t="str">
            <v>Austria</v>
          </cell>
          <cell r="E55">
            <v>518810</v>
          </cell>
          <cell r="F55">
            <v>14230</v>
          </cell>
          <cell r="G55">
            <v>5748</v>
          </cell>
          <cell r="H55">
            <v>113</v>
          </cell>
          <cell r="I55">
            <v>223</v>
          </cell>
          <cell r="J55">
            <v>4</v>
          </cell>
        </row>
        <row r="56">
          <cell r="C56" t="str">
            <v>越南</v>
          </cell>
          <cell r="D56" t="str">
            <v>Viet Nam</v>
          </cell>
          <cell r="E56">
            <v>0</v>
          </cell>
          <cell r="F56">
            <v>11900</v>
          </cell>
          <cell r="G56">
            <v>0</v>
          </cell>
          <cell r="H56">
            <v>92</v>
          </cell>
          <cell r="I56">
            <v>0</v>
          </cell>
          <cell r="J56">
            <v>4</v>
          </cell>
        </row>
        <row r="57">
          <cell r="C57" t="str">
            <v>巴林</v>
          </cell>
          <cell r="D57" t="str">
            <v>Bahrain</v>
          </cell>
          <cell r="E57">
            <v>0</v>
          </cell>
          <cell r="F57">
            <v>11542</v>
          </cell>
          <cell r="G57">
            <v>0</v>
          </cell>
          <cell r="H57">
            <v>118</v>
          </cell>
          <cell r="I57">
            <v>0</v>
          </cell>
          <cell r="J57">
            <v>3</v>
          </cell>
        </row>
        <row r="58">
          <cell r="C58" t="str">
            <v>薩爾瓦多</v>
          </cell>
          <cell r="D58" t="str">
            <v>El Salvador</v>
          </cell>
          <cell r="E58">
            <v>54838</v>
          </cell>
          <cell r="F58">
            <v>10994</v>
          </cell>
          <cell r="G58">
            <v>384</v>
          </cell>
          <cell r="H58">
            <v>169</v>
          </cell>
          <cell r="I58">
            <v>16</v>
          </cell>
          <cell r="J58">
            <v>7</v>
          </cell>
        </row>
        <row r="59">
          <cell r="C59" t="str">
            <v>摩洛哥</v>
          </cell>
          <cell r="D59" t="str">
            <v>Morocco</v>
          </cell>
          <cell r="E59">
            <v>0</v>
          </cell>
          <cell r="F59">
            <v>4834</v>
          </cell>
          <cell r="G59">
            <v>0</v>
          </cell>
          <cell r="H59">
            <v>40</v>
          </cell>
          <cell r="I59">
            <v>0</v>
          </cell>
          <cell r="J59">
            <v>1</v>
          </cell>
        </row>
        <row r="60">
          <cell r="C60" t="str">
            <v>泰國</v>
          </cell>
          <cell r="D60" t="str">
            <v>Thailand</v>
          </cell>
          <cell r="E60">
            <v>19220</v>
          </cell>
          <cell r="F60">
            <v>4053</v>
          </cell>
          <cell r="G60">
            <v>355</v>
          </cell>
          <cell r="H60">
            <v>12</v>
          </cell>
          <cell r="I60">
            <v>19</v>
          </cell>
          <cell r="J60">
            <v>2</v>
          </cell>
        </row>
        <row r="61">
          <cell r="C61" t="str">
            <v>波多黎各</v>
          </cell>
          <cell r="D61" t="str">
            <v>Puerto Rico</v>
          </cell>
          <cell r="E61">
            <v>63664</v>
          </cell>
          <cell r="F61">
            <v>0</v>
          </cell>
          <cell r="G61">
            <v>588</v>
          </cell>
          <cell r="H61">
            <v>0</v>
          </cell>
          <cell r="I61">
            <v>21</v>
          </cell>
          <cell r="J61">
            <v>0</v>
          </cell>
        </row>
        <row r="62">
          <cell r="C62" t="str">
            <v>葡萄牙</v>
          </cell>
          <cell r="D62" t="str">
            <v>Portugal</v>
          </cell>
          <cell r="E62">
            <v>9282</v>
          </cell>
          <cell r="F62">
            <v>0</v>
          </cell>
          <cell r="G62">
            <v>310</v>
          </cell>
          <cell r="H62">
            <v>0</v>
          </cell>
          <cell r="I62">
            <v>12</v>
          </cell>
          <cell r="J62">
            <v>0</v>
          </cell>
        </row>
        <row r="63">
          <cell r="C63" t="str">
            <v>留尼旺</v>
          </cell>
          <cell r="D63" t="str">
            <v>Reunion</v>
          </cell>
          <cell r="E63">
            <v>51481</v>
          </cell>
          <cell r="F63">
            <v>0</v>
          </cell>
          <cell r="G63">
            <v>581</v>
          </cell>
          <cell r="H63">
            <v>0</v>
          </cell>
          <cell r="I63">
            <v>20</v>
          </cell>
          <cell r="J63">
            <v>0</v>
          </cell>
        </row>
        <row r="64">
          <cell r="C64" t="str">
            <v>委內瑞拉</v>
          </cell>
          <cell r="D64" t="str">
            <v>Venezuela</v>
          </cell>
          <cell r="E64">
            <v>51117</v>
          </cell>
          <cell r="F64">
            <v>0</v>
          </cell>
          <cell r="G64">
            <v>527</v>
          </cell>
          <cell r="H64">
            <v>0</v>
          </cell>
          <cell r="I64">
            <v>18</v>
          </cell>
          <cell r="J64">
            <v>0</v>
          </cell>
        </row>
        <row r="65">
          <cell r="C65" t="str">
            <v>馬紹爾群島共和國</v>
          </cell>
          <cell r="D65" t="str">
            <v>Marshall Islands</v>
          </cell>
          <cell r="E65">
            <v>340</v>
          </cell>
          <cell r="F65">
            <v>0</v>
          </cell>
          <cell r="G65">
            <v>43</v>
          </cell>
          <cell r="H65">
            <v>0</v>
          </cell>
          <cell r="I65">
            <v>1</v>
          </cell>
          <cell r="J65">
            <v>0</v>
          </cell>
        </row>
        <row r="66">
          <cell r="C66" t="str">
            <v>肯亞</v>
          </cell>
          <cell r="D66" t="str">
            <v>Kenya</v>
          </cell>
          <cell r="E66">
            <v>40467</v>
          </cell>
          <cell r="F66">
            <v>0</v>
          </cell>
          <cell r="G66">
            <v>479</v>
          </cell>
          <cell r="H66">
            <v>0</v>
          </cell>
          <cell r="I66">
            <v>19</v>
          </cell>
          <cell r="J66">
            <v>0</v>
          </cell>
        </row>
        <row r="67">
          <cell r="C67" t="str">
            <v>印尼</v>
          </cell>
          <cell r="D67" t="str">
            <v>Indonesia</v>
          </cell>
          <cell r="E67">
            <v>13279</v>
          </cell>
          <cell r="F67">
            <v>0</v>
          </cell>
          <cell r="G67">
            <v>66</v>
          </cell>
          <cell r="H67">
            <v>0</v>
          </cell>
          <cell r="I67">
            <v>3</v>
          </cell>
          <cell r="J67">
            <v>0</v>
          </cell>
        </row>
        <row r="68">
          <cell r="C68" t="str">
            <v>愛爾蘭</v>
          </cell>
          <cell r="D68" t="str">
            <v>Ireland</v>
          </cell>
          <cell r="E68">
            <v>62350</v>
          </cell>
          <cell r="F68">
            <v>0</v>
          </cell>
          <cell r="G68">
            <v>1829</v>
          </cell>
          <cell r="H68">
            <v>0</v>
          </cell>
          <cell r="I68">
            <v>52</v>
          </cell>
          <cell r="J68">
            <v>0</v>
          </cell>
        </row>
        <row r="69">
          <cell r="C69" t="str">
            <v>印度</v>
          </cell>
          <cell r="D69" t="str">
            <v>India</v>
          </cell>
          <cell r="E69">
            <v>17509</v>
          </cell>
          <cell r="F69">
            <v>0</v>
          </cell>
          <cell r="G69">
            <v>177</v>
          </cell>
          <cell r="H69">
            <v>0</v>
          </cell>
          <cell r="I69">
            <v>9</v>
          </cell>
          <cell r="J69">
            <v>0</v>
          </cell>
        </row>
        <row r="70">
          <cell r="C70" t="str">
            <v>冰島</v>
          </cell>
          <cell r="D70" t="str">
            <v>Iceland</v>
          </cell>
          <cell r="E70">
            <v>109850</v>
          </cell>
          <cell r="F70">
            <v>0</v>
          </cell>
          <cell r="G70">
            <v>1084</v>
          </cell>
          <cell r="H70">
            <v>0</v>
          </cell>
          <cell r="I70">
            <v>45</v>
          </cell>
          <cell r="J70">
            <v>0</v>
          </cell>
        </row>
        <row r="71">
          <cell r="C71" t="str">
            <v>關島</v>
          </cell>
          <cell r="D71" t="str">
            <v>Guam</v>
          </cell>
          <cell r="E71">
            <v>55327</v>
          </cell>
          <cell r="F71">
            <v>0</v>
          </cell>
          <cell r="G71">
            <v>220</v>
          </cell>
          <cell r="H71">
            <v>0</v>
          </cell>
          <cell r="I71">
            <v>11</v>
          </cell>
          <cell r="J71">
            <v>0</v>
          </cell>
        </row>
        <row r="72">
          <cell r="C72" t="str">
            <v>保加利亞</v>
          </cell>
          <cell r="D72" t="str">
            <v>Bulgaria</v>
          </cell>
          <cell r="E72">
            <v>14138506</v>
          </cell>
          <cell r="F72">
            <v>0</v>
          </cell>
          <cell r="G72">
            <v>221438</v>
          </cell>
          <cell r="H72">
            <v>0</v>
          </cell>
          <cell r="I72">
            <v>7160</v>
          </cell>
          <cell r="J72">
            <v>0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292419</v>
          </cell>
          <cell r="F11">
            <v>4074</v>
          </cell>
          <cell r="G11">
            <v>291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3375113</v>
          </cell>
          <cell r="C3">
            <v>4128</v>
          </cell>
        </row>
        <row r="4">
          <cell r="A4" t="str">
            <v>中國大陸</v>
          </cell>
          <cell r="B4">
            <v>1511856</v>
          </cell>
          <cell r="C4">
            <v>1497</v>
          </cell>
        </row>
        <row r="5">
          <cell r="A5" t="str">
            <v>韓國</v>
          </cell>
          <cell r="B5">
            <v>646667</v>
          </cell>
          <cell r="C5">
            <v>756</v>
          </cell>
        </row>
        <row r="6">
          <cell r="A6" t="str">
            <v>日本</v>
          </cell>
          <cell r="B6">
            <v>503751</v>
          </cell>
          <cell r="C6">
            <v>869</v>
          </cell>
        </row>
        <row r="7">
          <cell r="A7" t="str">
            <v>香港</v>
          </cell>
          <cell r="B7">
            <v>320535</v>
          </cell>
          <cell r="C7">
            <v>254</v>
          </cell>
        </row>
        <row r="8">
          <cell r="A8" t="str">
            <v>俄羅斯</v>
          </cell>
          <cell r="B8">
            <v>154715</v>
          </cell>
          <cell r="C8">
            <v>400</v>
          </cell>
        </row>
        <row r="9">
          <cell r="A9" t="str">
            <v>荷蘭</v>
          </cell>
          <cell r="B9">
            <v>125476</v>
          </cell>
          <cell r="C9">
            <v>268</v>
          </cell>
        </row>
        <row r="10">
          <cell r="A10" t="str">
            <v>美國</v>
          </cell>
          <cell r="B10">
            <v>48595</v>
          </cell>
          <cell r="C10">
            <v>46</v>
          </cell>
        </row>
        <row r="11">
          <cell r="A11" t="str">
            <v>德國</v>
          </cell>
          <cell r="B11">
            <v>40546</v>
          </cell>
          <cell r="C11">
            <v>12</v>
          </cell>
        </row>
        <row r="12">
          <cell r="A12" t="str">
            <v>新加坡</v>
          </cell>
          <cell r="B12">
            <v>19925</v>
          </cell>
          <cell r="C12">
            <v>18</v>
          </cell>
        </row>
        <row r="13">
          <cell r="A13" t="str">
            <v>墨西哥</v>
          </cell>
          <cell r="B13">
            <v>2128</v>
          </cell>
          <cell r="C13">
            <v>1</v>
          </cell>
        </row>
        <row r="14">
          <cell r="A14" t="str">
            <v>泰國</v>
          </cell>
          <cell r="B14">
            <v>486</v>
          </cell>
          <cell r="C14">
            <v>3</v>
          </cell>
        </row>
        <row r="15">
          <cell r="A15" t="str">
            <v>菲律賓</v>
          </cell>
          <cell r="B15">
            <v>372</v>
          </cell>
          <cell r="C15">
            <v>3</v>
          </cell>
        </row>
        <row r="16">
          <cell r="A16" t="str">
            <v>柬埔寨</v>
          </cell>
          <cell r="B16">
            <v>61</v>
          </cell>
          <cell r="C16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出同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1313459</v>
          </cell>
          <cell r="F11">
            <v>1415505</v>
          </cell>
          <cell r="G11">
            <v>21110</v>
          </cell>
          <cell r="H11">
            <v>17617</v>
          </cell>
          <cell r="I11">
            <v>1617</v>
          </cell>
          <cell r="J11">
            <v>1273</v>
          </cell>
        </row>
        <row r="12">
          <cell r="C12" t="str">
            <v>韓國</v>
          </cell>
          <cell r="D12" t="str">
            <v>Republic of Korea</v>
          </cell>
          <cell r="E12">
            <v>640845</v>
          </cell>
          <cell r="F12">
            <v>646667</v>
          </cell>
          <cell r="G12">
            <v>8949</v>
          </cell>
          <cell r="H12">
            <v>9586</v>
          </cell>
          <cell r="I12">
            <v>705</v>
          </cell>
          <cell r="J12">
            <v>756</v>
          </cell>
        </row>
        <row r="13">
          <cell r="C13" t="str">
            <v>日本</v>
          </cell>
          <cell r="D13" t="str">
            <v>Japan</v>
          </cell>
          <cell r="E13">
            <v>130809</v>
          </cell>
          <cell r="F13">
            <v>264220</v>
          </cell>
          <cell r="G13">
            <v>2285</v>
          </cell>
          <cell r="H13">
            <v>5159</v>
          </cell>
          <cell r="I13">
            <v>168</v>
          </cell>
          <cell r="J13">
            <v>453</v>
          </cell>
        </row>
        <row r="14">
          <cell r="C14" t="str">
            <v>香港</v>
          </cell>
          <cell r="D14" t="str">
            <v>Hong Kong</v>
          </cell>
          <cell r="E14">
            <v>173183</v>
          </cell>
          <cell r="F14">
            <v>257624</v>
          </cell>
          <cell r="G14">
            <v>2025</v>
          </cell>
          <cell r="H14">
            <v>2466</v>
          </cell>
          <cell r="I14">
            <v>172</v>
          </cell>
          <cell r="J14">
            <v>202</v>
          </cell>
        </row>
        <row r="15">
          <cell r="C15" t="str">
            <v>俄羅斯</v>
          </cell>
          <cell r="D15" t="str">
            <v>Russian Federation</v>
          </cell>
          <cell r="E15">
            <v>0</v>
          </cell>
          <cell r="F15">
            <v>154715</v>
          </cell>
          <cell r="G15">
            <v>0</v>
          </cell>
          <cell r="H15">
            <v>4587</v>
          </cell>
          <cell r="I15">
            <v>0</v>
          </cell>
          <cell r="J15">
            <v>400</v>
          </cell>
        </row>
        <row r="16">
          <cell r="C16" t="str">
            <v>荷蘭</v>
          </cell>
          <cell r="D16" t="str">
            <v>Netherlands</v>
          </cell>
          <cell r="E16">
            <v>295315</v>
          </cell>
          <cell r="F16">
            <v>123371</v>
          </cell>
          <cell r="G16">
            <v>9604</v>
          </cell>
          <cell r="H16">
            <v>4445</v>
          </cell>
          <cell r="I16">
            <v>631</v>
          </cell>
          <cell r="J16">
            <v>263</v>
          </cell>
        </row>
        <row r="17">
          <cell r="C17" t="str">
            <v>美國</v>
          </cell>
          <cell r="D17" t="str">
            <v>United States</v>
          </cell>
          <cell r="E17">
            <v>43199</v>
          </cell>
          <cell r="F17">
            <v>48595</v>
          </cell>
          <cell r="G17">
            <v>198</v>
          </cell>
          <cell r="H17">
            <v>601</v>
          </cell>
          <cell r="I17">
            <v>20</v>
          </cell>
          <cell r="J17">
            <v>46</v>
          </cell>
        </row>
        <row r="18">
          <cell r="C18" t="str">
            <v>德國</v>
          </cell>
          <cell r="D18" t="str">
            <v>Germany</v>
          </cell>
          <cell r="E18">
            <v>0</v>
          </cell>
          <cell r="F18">
            <v>38887</v>
          </cell>
          <cell r="G18">
            <v>0</v>
          </cell>
          <cell r="H18">
            <v>87</v>
          </cell>
          <cell r="I18">
            <v>0</v>
          </cell>
          <cell r="J18">
            <v>11</v>
          </cell>
        </row>
        <row r="19">
          <cell r="C19" t="str">
            <v>新加坡</v>
          </cell>
          <cell r="D19" t="str">
            <v>Singapore</v>
          </cell>
          <cell r="E19">
            <v>12958</v>
          </cell>
          <cell r="F19">
            <v>15597</v>
          </cell>
          <cell r="G19">
            <v>158</v>
          </cell>
          <cell r="H19">
            <v>140</v>
          </cell>
          <cell r="I19">
            <v>11</v>
          </cell>
          <cell r="J19">
            <v>10</v>
          </cell>
        </row>
        <row r="20">
          <cell r="C20" t="str">
            <v>墨西哥</v>
          </cell>
          <cell r="D20" t="str">
            <v>Mexico</v>
          </cell>
          <cell r="E20">
            <v>0</v>
          </cell>
          <cell r="F20">
            <v>2128</v>
          </cell>
          <cell r="G20">
            <v>0</v>
          </cell>
          <cell r="H20">
            <v>49</v>
          </cell>
          <cell r="I20">
            <v>0</v>
          </cell>
          <cell r="J20">
            <v>1</v>
          </cell>
        </row>
        <row r="21">
          <cell r="C21" t="str">
            <v>泰國</v>
          </cell>
          <cell r="D21" t="str">
            <v>Thailand</v>
          </cell>
          <cell r="E21">
            <v>3578</v>
          </cell>
          <cell r="F21">
            <v>486</v>
          </cell>
          <cell r="G21">
            <v>104</v>
          </cell>
          <cell r="H21">
            <v>48</v>
          </cell>
          <cell r="I21">
            <v>8</v>
          </cell>
          <cell r="J21">
            <v>3</v>
          </cell>
        </row>
        <row r="22">
          <cell r="C22" t="str">
            <v>菲律賓</v>
          </cell>
          <cell r="D22" t="str">
            <v>Philippines</v>
          </cell>
          <cell r="E22">
            <v>1288</v>
          </cell>
          <cell r="F22">
            <v>244</v>
          </cell>
          <cell r="G22">
            <v>170</v>
          </cell>
          <cell r="H22">
            <v>34</v>
          </cell>
          <cell r="I22">
            <v>10</v>
          </cell>
          <cell r="J22">
            <v>2</v>
          </cell>
        </row>
        <row r="23">
          <cell r="C23" t="str">
            <v>柬埔寨</v>
          </cell>
          <cell r="D23" t="str">
            <v>Cambodia</v>
          </cell>
          <cell r="E23">
            <v>0</v>
          </cell>
          <cell r="F23">
            <v>61</v>
          </cell>
          <cell r="G23">
            <v>0</v>
          </cell>
          <cell r="H23">
            <v>13</v>
          </cell>
          <cell r="I23">
            <v>0</v>
          </cell>
          <cell r="J23">
            <v>1</v>
          </cell>
        </row>
        <row r="24">
          <cell r="C24" t="str">
            <v>阿拉伯聯合大公國</v>
          </cell>
          <cell r="D24" t="str">
            <v>United Arab Emirates</v>
          </cell>
          <cell r="E24">
            <v>19056</v>
          </cell>
          <cell r="F24">
            <v>0</v>
          </cell>
          <cell r="G24">
            <v>225</v>
          </cell>
          <cell r="H24">
            <v>0</v>
          </cell>
          <cell r="I24">
            <v>19</v>
          </cell>
          <cell r="J24">
            <v>0</v>
          </cell>
        </row>
        <row r="25">
          <cell r="C25" t="str">
            <v>保加利亞</v>
          </cell>
          <cell r="D25" t="str">
            <v>Bulgaria</v>
          </cell>
          <cell r="E25">
            <v>18536</v>
          </cell>
          <cell r="F25">
            <v>0</v>
          </cell>
          <cell r="G25">
            <v>1200</v>
          </cell>
          <cell r="H25">
            <v>0</v>
          </cell>
          <cell r="I25">
            <v>100</v>
          </cell>
          <cell r="J25">
            <v>0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3297673</v>
          </cell>
          <cell r="C10">
            <v>4364</v>
          </cell>
        </row>
        <row r="11">
          <cell r="A11" t="str">
            <v>中國大陸</v>
          </cell>
          <cell r="B11">
            <v>1586850</v>
          </cell>
          <cell r="C11">
            <v>1937</v>
          </cell>
        </row>
        <row r="12">
          <cell r="A12" t="str">
            <v>韓國</v>
          </cell>
          <cell r="B12">
            <v>640845</v>
          </cell>
          <cell r="C12">
            <v>705</v>
          </cell>
        </row>
        <row r="13">
          <cell r="A13" t="str">
            <v>日本</v>
          </cell>
          <cell r="B13">
            <v>422292</v>
          </cell>
          <cell r="C13">
            <v>624</v>
          </cell>
        </row>
        <row r="14">
          <cell r="A14" t="str">
            <v>荷蘭</v>
          </cell>
          <cell r="B14">
            <v>320315</v>
          </cell>
          <cell r="C14">
            <v>692</v>
          </cell>
        </row>
        <row r="15">
          <cell r="A15" t="str">
            <v>香港</v>
          </cell>
          <cell r="B15">
            <v>228017</v>
          </cell>
          <cell r="C15">
            <v>236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阿拉伯聯合大公國</v>
          </cell>
          <cell r="B17">
            <v>19056</v>
          </cell>
          <cell r="C17">
            <v>19</v>
          </cell>
        </row>
        <row r="18">
          <cell r="A18" t="str">
            <v>保加利亞</v>
          </cell>
          <cell r="B18">
            <v>18536</v>
          </cell>
          <cell r="C18">
            <v>100</v>
          </cell>
        </row>
        <row r="19">
          <cell r="A19" t="str">
            <v>新加坡</v>
          </cell>
          <cell r="B19">
            <v>12958</v>
          </cell>
          <cell r="C19">
            <v>11</v>
          </cell>
        </row>
        <row r="20">
          <cell r="A20" t="str">
            <v>泰國</v>
          </cell>
          <cell r="B20">
            <v>3578</v>
          </cell>
          <cell r="C20">
            <v>8</v>
          </cell>
        </row>
        <row r="21">
          <cell r="A21" t="str">
            <v>菲律賓</v>
          </cell>
          <cell r="B21">
            <v>1288</v>
          </cell>
          <cell r="C21">
            <v>10</v>
          </cell>
        </row>
        <row r="22">
          <cell r="A22" t="str">
            <v>印度</v>
          </cell>
          <cell r="B22">
            <v>739</v>
          </cell>
          <cell r="C22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742865005</v>
          </cell>
          <cell r="C10">
            <v>691219</v>
          </cell>
        </row>
        <row r="11">
          <cell r="A11" t="str">
            <v>美國</v>
          </cell>
          <cell r="B11">
            <v>206535833</v>
          </cell>
          <cell r="C11">
            <v>259594</v>
          </cell>
        </row>
        <row r="12">
          <cell r="A12" t="str">
            <v>荷蘭</v>
          </cell>
          <cell r="B12">
            <v>120065221</v>
          </cell>
          <cell r="C12">
            <v>78308</v>
          </cell>
        </row>
        <row r="13">
          <cell r="A13" t="str">
            <v>英國</v>
          </cell>
          <cell r="B13">
            <v>52383059</v>
          </cell>
          <cell r="C13">
            <v>52823</v>
          </cell>
        </row>
        <row r="14">
          <cell r="A14" t="str">
            <v>澳大利亞</v>
          </cell>
          <cell r="B14">
            <v>47256258</v>
          </cell>
          <cell r="C14">
            <v>45944</v>
          </cell>
        </row>
        <row r="15">
          <cell r="A15" t="str">
            <v>中國大陸</v>
          </cell>
          <cell r="B15">
            <v>38843549</v>
          </cell>
          <cell r="C15">
            <v>25525</v>
          </cell>
        </row>
        <row r="16">
          <cell r="A16" t="str">
            <v>比利時</v>
          </cell>
          <cell r="B16">
            <v>29633864</v>
          </cell>
          <cell r="C16">
            <v>19842</v>
          </cell>
        </row>
        <row r="17">
          <cell r="A17" t="str">
            <v>法國</v>
          </cell>
          <cell r="B17">
            <v>25776524</v>
          </cell>
          <cell r="C17">
            <v>14035</v>
          </cell>
        </row>
        <row r="18">
          <cell r="A18" t="str">
            <v>加拿大</v>
          </cell>
          <cell r="B18">
            <v>25207244</v>
          </cell>
          <cell r="C18">
            <v>18083</v>
          </cell>
        </row>
        <row r="19">
          <cell r="A19" t="str">
            <v>德國</v>
          </cell>
          <cell r="B19">
            <v>22454790</v>
          </cell>
          <cell r="C19">
            <v>26917</v>
          </cell>
        </row>
        <row r="20">
          <cell r="A20" t="str">
            <v>西班牙</v>
          </cell>
          <cell r="B20">
            <v>20078628</v>
          </cell>
          <cell r="C20">
            <v>13143</v>
          </cell>
        </row>
        <row r="21">
          <cell r="A21" t="str">
            <v>日本</v>
          </cell>
          <cell r="B21">
            <v>17244852</v>
          </cell>
          <cell r="C21">
            <v>16539</v>
          </cell>
        </row>
        <row r="22">
          <cell r="A22" t="str">
            <v>韓國</v>
          </cell>
          <cell r="B22">
            <v>14965490</v>
          </cell>
          <cell r="C22">
            <v>8908</v>
          </cell>
        </row>
        <row r="23">
          <cell r="A23" t="str">
            <v>義大利</v>
          </cell>
          <cell r="B23">
            <v>12950402</v>
          </cell>
          <cell r="C23">
            <v>9452</v>
          </cell>
        </row>
        <row r="24">
          <cell r="A24" t="str">
            <v>哥倫比亞</v>
          </cell>
          <cell r="B24">
            <v>9580287</v>
          </cell>
          <cell r="C24">
            <v>4983</v>
          </cell>
        </row>
        <row r="25">
          <cell r="A25" t="str">
            <v>南非</v>
          </cell>
          <cell r="B25">
            <v>8550717</v>
          </cell>
          <cell r="C25">
            <v>4185</v>
          </cell>
        </row>
        <row r="26">
          <cell r="A26" t="str">
            <v>紐西蘭</v>
          </cell>
          <cell r="B26">
            <v>7683762</v>
          </cell>
          <cell r="C26">
            <v>6910</v>
          </cell>
        </row>
        <row r="27">
          <cell r="A27" t="str">
            <v>挪威</v>
          </cell>
          <cell r="B27">
            <v>7367842</v>
          </cell>
          <cell r="C27">
            <v>8383</v>
          </cell>
        </row>
        <row r="28">
          <cell r="A28" t="str">
            <v>墨西哥</v>
          </cell>
          <cell r="B28">
            <v>7238279</v>
          </cell>
          <cell r="C28">
            <v>5287</v>
          </cell>
        </row>
        <row r="29">
          <cell r="A29" t="str">
            <v>香港</v>
          </cell>
          <cell r="B29">
            <v>6407066</v>
          </cell>
          <cell r="C29">
            <v>3420</v>
          </cell>
        </row>
        <row r="30">
          <cell r="A30" t="str">
            <v>巴西</v>
          </cell>
          <cell r="B30">
            <v>6401258</v>
          </cell>
          <cell r="C30">
            <v>3230</v>
          </cell>
        </row>
        <row r="31">
          <cell r="A31" t="str">
            <v>阿根廷</v>
          </cell>
          <cell r="B31">
            <v>5761360</v>
          </cell>
          <cell r="C31">
            <v>3209</v>
          </cell>
        </row>
        <row r="32">
          <cell r="A32" t="str">
            <v>瑞士</v>
          </cell>
          <cell r="B32">
            <v>4903845</v>
          </cell>
          <cell r="C32">
            <v>4792</v>
          </cell>
        </row>
        <row r="33">
          <cell r="A33" t="str">
            <v>波蘭</v>
          </cell>
          <cell r="B33">
            <v>4655636</v>
          </cell>
          <cell r="C33">
            <v>7037</v>
          </cell>
        </row>
        <row r="34">
          <cell r="A34" t="str">
            <v>智利</v>
          </cell>
          <cell r="B34">
            <v>4226470</v>
          </cell>
          <cell r="C34">
            <v>2778</v>
          </cell>
        </row>
        <row r="35">
          <cell r="A35" t="str">
            <v>捷克</v>
          </cell>
          <cell r="B35">
            <v>3509729</v>
          </cell>
          <cell r="C35">
            <v>7769</v>
          </cell>
        </row>
        <row r="36">
          <cell r="A36" t="str">
            <v>阿拉伯聯合大公國</v>
          </cell>
          <cell r="B36">
            <v>3118828</v>
          </cell>
          <cell r="C36">
            <v>2422</v>
          </cell>
        </row>
        <row r="37">
          <cell r="A37" t="str">
            <v>巴拿馬</v>
          </cell>
          <cell r="B37">
            <v>3091921</v>
          </cell>
          <cell r="C37">
            <v>1335</v>
          </cell>
        </row>
        <row r="38">
          <cell r="A38" t="str">
            <v>以色列</v>
          </cell>
          <cell r="B38">
            <v>2760383</v>
          </cell>
          <cell r="C38">
            <v>2583</v>
          </cell>
        </row>
        <row r="39">
          <cell r="A39" t="str">
            <v>新加坡</v>
          </cell>
          <cell r="B39">
            <v>2477459</v>
          </cell>
          <cell r="C39">
            <v>1423</v>
          </cell>
        </row>
        <row r="40">
          <cell r="A40" t="str">
            <v>泰國</v>
          </cell>
          <cell r="B40">
            <v>2093209</v>
          </cell>
          <cell r="C40">
            <v>1913</v>
          </cell>
        </row>
        <row r="41">
          <cell r="A41" t="str">
            <v>菲律賓</v>
          </cell>
          <cell r="B41">
            <v>2038124</v>
          </cell>
          <cell r="C41">
            <v>1752</v>
          </cell>
        </row>
        <row r="42">
          <cell r="A42" t="str">
            <v>烏拉圭</v>
          </cell>
          <cell r="B42">
            <v>1893662</v>
          </cell>
          <cell r="C42">
            <v>866</v>
          </cell>
        </row>
        <row r="43">
          <cell r="A43" t="str">
            <v>哥斯大黎加</v>
          </cell>
          <cell r="B43">
            <v>1486361</v>
          </cell>
          <cell r="C43">
            <v>910</v>
          </cell>
        </row>
        <row r="44">
          <cell r="A44" t="str">
            <v>匈牙利</v>
          </cell>
          <cell r="B44">
            <v>1331806</v>
          </cell>
          <cell r="C44">
            <v>2059</v>
          </cell>
        </row>
        <row r="45">
          <cell r="A45" t="str">
            <v>丹麥</v>
          </cell>
          <cell r="B45">
            <v>1284522</v>
          </cell>
          <cell r="C45">
            <v>9570</v>
          </cell>
        </row>
        <row r="46">
          <cell r="A46" t="str">
            <v>瓜地馬拉</v>
          </cell>
          <cell r="B46">
            <v>1225436</v>
          </cell>
          <cell r="C46">
            <v>710</v>
          </cell>
        </row>
        <row r="47">
          <cell r="A47" t="str">
            <v>馬來西亞</v>
          </cell>
          <cell r="B47">
            <v>1099466</v>
          </cell>
          <cell r="C47">
            <v>547</v>
          </cell>
        </row>
        <row r="48">
          <cell r="A48" t="str">
            <v>印度</v>
          </cell>
          <cell r="B48">
            <v>917015</v>
          </cell>
          <cell r="C48">
            <v>1005</v>
          </cell>
        </row>
        <row r="49">
          <cell r="A49" t="str">
            <v>厄瓜多</v>
          </cell>
          <cell r="B49">
            <v>862235</v>
          </cell>
          <cell r="C49">
            <v>724</v>
          </cell>
        </row>
        <row r="50">
          <cell r="A50" t="str">
            <v>瑞典</v>
          </cell>
          <cell r="B50">
            <v>709177</v>
          </cell>
          <cell r="C50">
            <v>2534</v>
          </cell>
        </row>
        <row r="51">
          <cell r="A51" t="str">
            <v>愛爾蘭</v>
          </cell>
          <cell r="B51">
            <v>707764</v>
          </cell>
          <cell r="C51">
            <v>1302</v>
          </cell>
        </row>
        <row r="52">
          <cell r="A52" t="str">
            <v>盧森堡</v>
          </cell>
          <cell r="B52">
            <v>629231</v>
          </cell>
          <cell r="C52">
            <v>244</v>
          </cell>
        </row>
        <row r="53">
          <cell r="A53" t="str">
            <v>俄羅斯</v>
          </cell>
          <cell r="B53">
            <v>628941</v>
          </cell>
          <cell r="C53">
            <v>1423</v>
          </cell>
        </row>
        <row r="54">
          <cell r="A54" t="str">
            <v>巴拉圭</v>
          </cell>
          <cell r="B54">
            <v>455089</v>
          </cell>
          <cell r="C54">
            <v>204</v>
          </cell>
        </row>
        <row r="55">
          <cell r="A55" t="str">
            <v>秘魯</v>
          </cell>
          <cell r="B55">
            <v>448464</v>
          </cell>
          <cell r="C55">
            <v>391</v>
          </cell>
        </row>
        <row r="56">
          <cell r="A56" t="str">
            <v>哈薩克</v>
          </cell>
          <cell r="B56">
            <v>356877</v>
          </cell>
          <cell r="C56">
            <v>406</v>
          </cell>
        </row>
        <row r="57">
          <cell r="A57" t="str">
            <v>波多黎各</v>
          </cell>
          <cell r="B57">
            <v>277036</v>
          </cell>
          <cell r="C57">
            <v>150</v>
          </cell>
        </row>
        <row r="58">
          <cell r="A58" t="str">
            <v>土耳其</v>
          </cell>
          <cell r="B58">
            <v>264005</v>
          </cell>
          <cell r="C58">
            <v>143</v>
          </cell>
        </row>
        <row r="59">
          <cell r="A59" t="str">
            <v>愛沙尼亞</v>
          </cell>
          <cell r="B59">
            <v>261655</v>
          </cell>
          <cell r="C59">
            <v>471</v>
          </cell>
        </row>
        <row r="60">
          <cell r="A60" t="str">
            <v>多明尼加</v>
          </cell>
          <cell r="B60">
            <v>251763</v>
          </cell>
          <cell r="C60">
            <v>150</v>
          </cell>
        </row>
        <row r="61">
          <cell r="A61" t="str">
            <v>拉脫維亞</v>
          </cell>
          <cell r="B61">
            <v>238821</v>
          </cell>
          <cell r="C61">
            <v>660</v>
          </cell>
        </row>
        <row r="62">
          <cell r="A62" t="str">
            <v>斯洛維尼亞</v>
          </cell>
          <cell r="B62">
            <v>229059</v>
          </cell>
          <cell r="C62">
            <v>124</v>
          </cell>
        </row>
        <row r="63">
          <cell r="A63" t="str">
            <v>模里西斯</v>
          </cell>
          <cell r="B63">
            <v>215793</v>
          </cell>
          <cell r="C63">
            <v>188</v>
          </cell>
        </row>
        <row r="64">
          <cell r="A64" t="str">
            <v>越南</v>
          </cell>
          <cell r="B64">
            <v>207181</v>
          </cell>
          <cell r="C64">
            <v>110</v>
          </cell>
        </row>
        <row r="65">
          <cell r="A65" t="str">
            <v>關島</v>
          </cell>
          <cell r="B65">
            <v>204994</v>
          </cell>
          <cell r="C65">
            <v>74</v>
          </cell>
        </row>
        <row r="66">
          <cell r="A66" t="str">
            <v>柬埔寨</v>
          </cell>
          <cell r="B66">
            <v>181724</v>
          </cell>
          <cell r="C66">
            <v>109</v>
          </cell>
        </row>
        <row r="67">
          <cell r="A67" t="str">
            <v>薩爾瓦多</v>
          </cell>
          <cell r="B67">
            <v>175905</v>
          </cell>
          <cell r="C67">
            <v>198</v>
          </cell>
        </row>
        <row r="68">
          <cell r="A68" t="str">
            <v>沙烏地阿拉伯</v>
          </cell>
          <cell r="B68">
            <v>173921</v>
          </cell>
          <cell r="C68">
            <v>459</v>
          </cell>
        </row>
        <row r="69">
          <cell r="A69" t="str">
            <v>立陶宛</v>
          </cell>
          <cell r="B69">
            <v>167494</v>
          </cell>
          <cell r="C69">
            <v>365</v>
          </cell>
        </row>
        <row r="70">
          <cell r="A70" t="str">
            <v>奧地利</v>
          </cell>
          <cell r="B70">
            <v>139164</v>
          </cell>
          <cell r="C70">
            <v>45</v>
          </cell>
        </row>
        <row r="71">
          <cell r="A71" t="str">
            <v>印尼</v>
          </cell>
          <cell r="B71">
            <v>110817</v>
          </cell>
          <cell r="C71">
            <v>124</v>
          </cell>
        </row>
        <row r="72">
          <cell r="A72" t="str">
            <v>冰島</v>
          </cell>
          <cell r="B72">
            <v>107944</v>
          </cell>
          <cell r="C72">
            <v>647</v>
          </cell>
        </row>
        <row r="73">
          <cell r="A73" t="str">
            <v>克羅埃西亞</v>
          </cell>
          <cell r="B73">
            <v>67715</v>
          </cell>
          <cell r="C73">
            <v>256</v>
          </cell>
        </row>
        <row r="74">
          <cell r="A74" t="str">
            <v>斯洛伐克</v>
          </cell>
          <cell r="B74">
            <v>57583</v>
          </cell>
          <cell r="C74">
            <v>245</v>
          </cell>
        </row>
        <row r="75">
          <cell r="A75" t="str">
            <v>黎巴嫩</v>
          </cell>
          <cell r="B75">
            <v>55731</v>
          </cell>
          <cell r="C75">
            <v>38</v>
          </cell>
        </row>
        <row r="76">
          <cell r="A76" t="str">
            <v>蒙古</v>
          </cell>
          <cell r="B76">
            <v>39160</v>
          </cell>
          <cell r="C76">
            <v>39</v>
          </cell>
        </row>
        <row r="77">
          <cell r="A77" t="str">
            <v>芬蘭</v>
          </cell>
          <cell r="B77">
            <v>34288</v>
          </cell>
          <cell r="C77">
            <v>47</v>
          </cell>
        </row>
        <row r="78">
          <cell r="A78" t="str">
            <v>希臘</v>
          </cell>
          <cell r="B78">
            <v>30708</v>
          </cell>
          <cell r="C78">
            <v>9</v>
          </cell>
        </row>
        <row r="79">
          <cell r="A79" t="str">
            <v>亞塞拜然</v>
          </cell>
          <cell r="B79">
            <v>26444</v>
          </cell>
          <cell r="C79">
            <v>23</v>
          </cell>
        </row>
        <row r="80">
          <cell r="A80" t="str">
            <v>千里達</v>
          </cell>
          <cell r="B80">
            <v>12123</v>
          </cell>
          <cell r="C80">
            <v>8</v>
          </cell>
        </row>
        <row r="81">
          <cell r="A81" t="str">
            <v>馬爾他</v>
          </cell>
          <cell r="B81">
            <v>10302</v>
          </cell>
          <cell r="C81">
            <v>3</v>
          </cell>
        </row>
        <row r="82">
          <cell r="A82" t="str">
            <v>甘比亞</v>
          </cell>
          <cell r="B82">
            <v>7863</v>
          </cell>
          <cell r="C82">
            <v>182</v>
          </cell>
        </row>
        <row r="83">
          <cell r="A83" t="str">
            <v>尼泊爾</v>
          </cell>
          <cell r="B83">
            <v>6494</v>
          </cell>
          <cell r="C83">
            <v>5</v>
          </cell>
        </row>
        <row r="84">
          <cell r="A84" t="str">
            <v>保加利亞</v>
          </cell>
          <cell r="B84">
            <v>4556</v>
          </cell>
          <cell r="C84">
            <v>40</v>
          </cell>
        </row>
        <row r="85">
          <cell r="A85" t="str">
            <v>賴比瑞亞</v>
          </cell>
          <cell r="B85">
            <v>2993</v>
          </cell>
          <cell r="C85">
            <v>600</v>
          </cell>
        </row>
        <row r="86">
          <cell r="A86" t="str">
            <v>迦納</v>
          </cell>
          <cell r="B86">
            <v>947</v>
          </cell>
          <cell r="C86">
            <v>72</v>
          </cell>
        </row>
        <row r="87">
          <cell r="A87" t="str">
            <v>留尼旺</v>
          </cell>
          <cell r="B87">
            <v>840</v>
          </cell>
          <cell r="C87">
            <v>7</v>
          </cell>
        </row>
        <row r="88">
          <cell r="A88" t="str">
            <v>羅馬尼亞</v>
          </cell>
          <cell r="B88">
            <v>581</v>
          </cell>
          <cell r="C88">
            <v>3</v>
          </cell>
        </row>
        <row r="89">
          <cell r="A89" t="str">
            <v>帛琉</v>
          </cell>
          <cell r="B89">
            <v>559</v>
          </cell>
          <cell r="C89">
            <v>1</v>
          </cell>
        </row>
        <row r="90">
          <cell r="A90" t="str">
            <v>奈及利亞</v>
          </cell>
          <cell r="B90">
            <v>312</v>
          </cell>
          <cell r="C90">
            <v>122</v>
          </cell>
        </row>
        <row r="91">
          <cell r="A91" t="str">
            <v>獅子山</v>
          </cell>
          <cell r="B91">
            <v>255</v>
          </cell>
          <cell r="C91">
            <v>25</v>
          </cell>
        </row>
        <row r="92">
          <cell r="A92" t="str">
            <v>約旦</v>
          </cell>
          <cell r="B92">
            <v>127</v>
          </cell>
          <cell r="C92">
            <v>2</v>
          </cell>
        </row>
        <row r="93">
          <cell r="A93" t="str">
            <v>坦尚尼亞</v>
          </cell>
          <cell r="B93">
            <v>91</v>
          </cell>
          <cell r="C93">
            <v>5</v>
          </cell>
        </row>
        <row r="94">
          <cell r="A94" t="str">
            <v>肯亞</v>
          </cell>
          <cell r="B94">
            <v>61</v>
          </cell>
          <cell r="C94">
            <v>1</v>
          </cell>
        </row>
        <row r="95">
          <cell r="A95" t="str">
            <v>幾內亞</v>
          </cell>
          <cell r="B95">
            <v>61</v>
          </cell>
          <cell r="C95">
            <v>50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 refreshError="1"/>
      <sheetData sheetId="1" refreshError="1">
        <row r="11">
          <cell r="B11">
            <v>87120010500</v>
          </cell>
          <cell r="C11" t="str">
            <v>公路用二輪腳踏車，座墊最大高度６３５公厘及以上，輪胎寬度不超過２８公厘且車重不超過１２公斤</v>
          </cell>
          <cell r="D11" t="str">
            <v>Road bicycles, height of saddles 635mm or more, width of tires not exceeding 28mm and weight not exceeding 12 kg</v>
          </cell>
          <cell r="E11">
            <v>580636</v>
          </cell>
          <cell r="F11">
            <v>24562</v>
          </cell>
        </row>
        <row r="12">
          <cell r="B12">
            <v>87120010305</v>
          </cell>
          <cell r="C12" t="str">
            <v>城市與旅行用二輪腳踏車（最大座墊高度６３５公厘及以上，輪胎寬度２８公厘及以上者）</v>
          </cell>
          <cell r="D12" t="str">
            <v>City and trekking bicycles, height of saddles 635mm or more , width of tires 28mm or more</v>
          </cell>
          <cell r="E12">
            <v>545030</v>
          </cell>
          <cell r="F12">
            <v>67664</v>
          </cell>
        </row>
        <row r="13">
          <cell r="B13">
            <v>87120010902</v>
          </cell>
          <cell r="C13" t="str">
            <v>其他二輪腳踏車</v>
          </cell>
          <cell r="D13" t="str">
            <v>Other bicycles</v>
          </cell>
          <cell r="E13">
            <v>176763</v>
          </cell>
          <cell r="F13">
            <v>39237</v>
          </cell>
        </row>
        <row r="14">
          <cell r="B14">
            <v>87120010109</v>
          </cell>
          <cell r="C14" t="str">
            <v>折疊二輪腳踏車</v>
          </cell>
          <cell r="D14" t="str">
            <v>Folding bicycles</v>
          </cell>
          <cell r="E14">
            <v>154350</v>
          </cell>
          <cell r="F14">
            <v>19209</v>
          </cell>
        </row>
        <row r="15">
          <cell r="B15">
            <v>87120010207</v>
          </cell>
          <cell r="C15" t="str">
            <v>兒童用二輪腳踏車，座墊最大高度未滿６３５公厘</v>
          </cell>
          <cell r="D15" t="str">
            <v>Bicycles for young children , height of saddles under 635 mm</v>
          </cell>
          <cell r="E15">
            <v>111452</v>
          </cell>
          <cell r="F15">
            <v>14764</v>
          </cell>
        </row>
        <row r="16">
          <cell r="B16">
            <v>87120010403</v>
          </cell>
          <cell r="C16" t="str">
            <v>登山用二輪腳踏車，座墊最大高度６３５公厘及以上，具避震系統且輪胎寬度２８公厘及以上之顆粒胎</v>
          </cell>
          <cell r="D16" t="str">
            <v>Mountain bicycles, height of saddles 635mm or more, suspension system and width of Knobby tires 28mm or more</v>
          </cell>
          <cell r="E16">
            <v>89039</v>
          </cell>
          <cell r="F16">
            <v>13011</v>
          </cell>
        </row>
        <row r="17">
          <cell r="B17">
            <v>87120090004</v>
          </cell>
          <cell r="C17" t="str">
            <v>其他腳踏車</v>
          </cell>
          <cell r="D17" t="str">
            <v>Other cycles</v>
          </cell>
          <cell r="E17">
            <v>617</v>
          </cell>
          <cell r="F17">
            <v>337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4314099</v>
          </cell>
          <cell r="D10">
            <v>99566</v>
          </cell>
        </row>
        <row r="11">
          <cell r="A11">
            <v>87149490009</v>
          </cell>
          <cell r="B11" t="str">
            <v>其他煞車器及其零件</v>
          </cell>
          <cell r="C11">
            <v>2165709</v>
          </cell>
          <cell r="D11">
            <v>59399</v>
          </cell>
        </row>
        <row r="12">
          <cell r="A12">
            <v>87149320906</v>
          </cell>
          <cell r="B12" t="str">
            <v>其他飛輪之鏈輪</v>
          </cell>
          <cell r="C12">
            <v>938978</v>
          </cell>
          <cell r="D12">
            <v>42179</v>
          </cell>
        </row>
        <row r="13">
          <cell r="A13">
            <v>87149990111</v>
          </cell>
          <cell r="B13" t="str">
            <v>腳踏車用變速器</v>
          </cell>
          <cell r="C13">
            <v>903189</v>
          </cell>
          <cell r="D13">
            <v>7248</v>
          </cell>
        </row>
        <row r="14">
          <cell r="A14">
            <v>87149200304</v>
          </cell>
          <cell r="B14" t="str">
            <v>輪圈及輪幅</v>
          </cell>
          <cell r="C14">
            <v>526029</v>
          </cell>
          <cell r="D14">
            <v>4485</v>
          </cell>
        </row>
        <row r="15">
          <cell r="A15">
            <v>87149200108</v>
          </cell>
          <cell r="B15" t="str">
            <v>輪圈</v>
          </cell>
          <cell r="C15">
            <v>501339</v>
          </cell>
          <cell r="D15">
            <v>20496</v>
          </cell>
        </row>
        <row r="16">
          <cell r="A16">
            <v>87149620002</v>
          </cell>
          <cell r="B16" t="str">
            <v>曲柄齒輪及其零件</v>
          </cell>
          <cell r="C16">
            <v>386156</v>
          </cell>
          <cell r="D16">
            <v>6028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386029</v>
          </cell>
          <cell r="D17">
            <v>3662</v>
          </cell>
        </row>
        <row r="18">
          <cell r="A18">
            <v>87149990157</v>
          </cell>
          <cell r="B18" t="str">
            <v>腳踏車用座管及上下管</v>
          </cell>
          <cell r="C18">
            <v>322840</v>
          </cell>
          <cell r="D18">
            <v>16141</v>
          </cell>
        </row>
        <row r="19">
          <cell r="A19">
            <v>87149200206</v>
          </cell>
          <cell r="B19" t="str">
            <v>輪幅</v>
          </cell>
          <cell r="C19">
            <v>268325</v>
          </cell>
          <cell r="D19">
            <v>5365</v>
          </cell>
        </row>
        <row r="20">
          <cell r="A20">
            <v>87149990166</v>
          </cell>
          <cell r="B20" t="str">
            <v>腳踏車用把手</v>
          </cell>
          <cell r="C20">
            <v>169695</v>
          </cell>
          <cell r="D20">
            <v>7104</v>
          </cell>
        </row>
        <row r="21">
          <cell r="A21">
            <v>87149610004</v>
          </cell>
          <cell r="B21" t="str">
            <v>踏板及其零件</v>
          </cell>
          <cell r="C21">
            <v>157640</v>
          </cell>
          <cell r="D21">
            <v>24215</v>
          </cell>
        </row>
        <row r="22">
          <cell r="A22">
            <v>87149990148</v>
          </cell>
          <cell r="B22" t="str">
            <v>腳踏車用把手豎管</v>
          </cell>
          <cell r="C22">
            <v>134194</v>
          </cell>
          <cell r="D22">
            <v>4456</v>
          </cell>
        </row>
        <row r="23">
          <cell r="A23">
            <v>87149500007</v>
          </cell>
          <cell r="B23" t="str">
            <v>腳踏車車座</v>
          </cell>
          <cell r="C23">
            <v>39936</v>
          </cell>
          <cell r="D23">
            <v>549</v>
          </cell>
        </row>
        <row r="24">
          <cell r="A24">
            <v>87149990139</v>
          </cell>
          <cell r="B24" t="str">
            <v>腳踏車用軸心</v>
          </cell>
          <cell r="C24">
            <v>12887</v>
          </cell>
          <cell r="D24">
            <v>327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16278370</v>
          </cell>
          <cell r="D3">
            <v>400269</v>
          </cell>
        </row>
        <row r="4">
          <cell r="A4">
            <v>87149200108</v>
          </cell>
          <cell r="B4" t="str">
            <v>輪圈</v>
          </cell>
          <cell r="C4">
            <v>6305104</v>
          </cell>
          <cell r="D4">
            <v>59368</v>
          </cell>
        </row>
        <row r="5">
          <cell r="A5">
            <v>87149990166</v>
          </cell>
          <cell r="B5" t="str">
            <v>腳踏車用把手</v>
          </cell>
          <cell r="C5">
            <v>2380873</v>
          </cell>
          <cell r="D5">
            <v>41135</v>
          </cell>
        </row>
        <row r="6">
          <cell r="A6">
            <v>87149490009</v>
          </cell>
          <cell r="B6" t="str">
            <v>其他煞車器及其零件</v>
          </cell>
          <cell r="C6">
            <v>2022933</v>
          </cell>
          <cell r="D6">
            <v>179963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1228870</v>
          </cell>
          <cell r="D7">
            <v>35554</v>
          </cell>
        </row>
        <row r="8">
          <cell r="A8">
            <v>87149620002</v>
          </cell>
          <cell r="B8" t="str">
            <v>曲柄齒輪及其零件</v>
          </cell>
          <cell r="C8">
            <v>1123506</v>
          </cell>
          <cell r="D8">
            <v>97021</v>
          </cell>
        </row>
        <row r="9">
          <cell r="A9">
            <v>87149990111</v>
          </cell>
          <cell r="B9" t="str">
            <v>腳踏車用變速器</v>
          </cell>
          <cell r="C9">
            <v>1120829</v>
          </cell>
          <cell r="D9">
            <v>37232</v>
          </cell>
        </row>
        <row r="10">
          <cell r="A10">
            <v>87149990157</v>
          </cell>
          <cell r="B10" t="str">
            <v>腳踏車用座管及上下管</v>
          </cell>
          <cell r="C10">
            <v>990700</v>
          </cell>
          <cell r="D10">
            <v>23335</v>
          </cell>
        </row>
        <row r="11">
          <cell r="A11">
            <v>87149500007</v>
          </cell>
          <cell r="B11" t="str">
            <v>腳踏車車座</v>
          </cell>
          <cell r="C11">
            <v>736544</v>
          </cell>
          <cell r="D11">
            <v>76809</v>
          </cell>
        </row>
        <row r="12">
          <cell r="A12">
            <v>87149990148</v>
          </cell>
          <cell r="B12" t="str">
            <v>腳踏車用把手豎管</v>
          </cell>
          <cell r="C12">
            <v>399936</v>
          </cell>
          <cell r="D12">
            <v>15774</v>
          </cell>
        </row>
        <row r="13">
          <cell r="A13">
            <v>87149200206</v>
          </cell>
          <cell r="B13" t="str">
            <v>輪幅</v>
          </cell>
          <cell r="C13">
            <v>342766</v>
          </cell>
          <cell r="D13">
            <v>8749</v>
          </cell>
        </row>
        <row r="14">
          <cell r="A14">
            <v>87149200304</v>
          </cell>
          <cell r="B14" t="str">
            <v>輪圈及輪幅</v>
          </cell>
          <cell r="C14">
            <v>340023</v>
          </cell>
          <cell r="D14">
            <v>20459</v>
          </cell>
        </row>
        <row r="15">
          <cell r="A15">
            <v>87149320906</v>
          </cell>
          <cell r="B15" t="str">
            <v>其他飛輪之鏈輪</v>
          </cell>
          <cell r="C15">
            <v>282615</v>
          </cell>
          <cell r="D15">
            <v>24009</v>
          </cell>
        </row>
        <row r="16">
          <cell r="A16">
            <v>87149610004</v>
          </cell>
          <cell r="B16" t="str">
            <v>踏板及其零件</v>
          </cell>
          <cell r="C16">
            <v>161175</v>
          </cell>
          <cell r="D16">
            <v>20281</v>
          </cell>
        </row>
        <row r="17">
          <cell r="A17">
            <v>87149410006</v>
          </cell>
          <cell r="B17" t="str">
            <v>鋼?煞車器及其零件</v>
          </cell>
          <cell r="C17">
            <v>36396</v>
          </cell>
          <cell r="D17">
            <v>1752</v>
          </cell>
        </row>
        <row r="18">
          <cell r="A18">
            <v>87149990139</v>
          </cell>
          <cell r="B18" t="str">
            <v>腳踏車用軸心</v>
          </cell>
          <cell r="C18">
            <v>4307</v>
          </cell>
          <cell r="D18">
            <v>1207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3318</v>
          </cell>
          <cell r="D19">
            <v>121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53889889</v>
          </cell>
          <cell r="D3">
            <v>957078</v>
          </cell>
        </row>
        <row r="4">
          <cell r="A4">
            <v>87149490009</v>
          </cell>
          <cell r="B4" t="str">
            <v>其他煞車器及其零件</v>
          </cell>
          <cell r="C4">
            <v>20983193</v>
          </cell>
          <cell r="D4">
            <v>534901</v>
          </cell>
        </row>
        <row r="5">
          <cell r="A5">
            <v>87149990111</v>
          </cell>
          <cell r="B5" t="str">
            <v>腳踏車用變速器</v>
          </cell>
          <cell r="C5">
            <v>12459168</v>
          </cell>
          <cell r="D5">
            <v>146384</v>
          </cell>
        </row>
        <row r="6">
          <cell r="A6">
            <v>87149200304</v>
          </cell>
          <cell r="B6" t="str">
            <v>輪圈及輪幅</v>
          </cell>
          <cell r="C6">
            <v>9930203</v>
          </cell>
          <cell r="D6">
            <v>54293</v>
          </cell>
        </row>
        <row r="7">
          <cell r="A7">
            <v>87149320906</v>
          </cell>
          <cell r="B7" t="str">
            <v>其他飛輪之鏈輪</v>
          </cell>
          <cell r="C7">
            <v>9298493</v>
          </cell>
          <cell r="D7">
            <v>321539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6970513</v>
          </cell>
          <cell r="D8">
            <v>53478</v>
          </cell>
        </row>
        <row r="9">
          <cell r="A9">
            <v>87149620002</v>
          </cell>
          <cell r="B9" t="str">
            <v>曲柄齒輪及其零件</v>
          </cell>
          <cell r="C9">
            <v>6538755</v>
          </cell>
          <cell r="D9">
            <v>109821</v>
          </cell>
        </row>
        <row r="10">
          <cell r="A10">
            <v>87149200108</v>
          </cell>
          <cell r="B10" t="str">
            <v>輪圈</v>
          </cell>
          <cell r="C10">
            <v>5143796</v>
          </cell>
          <cell r="D10">
            <v>170390</v>
          </cell>
        </row>
        <row r="11">
          <cell r="A11">
            <v>87149990157</v>
          </cell>
          <cell r="B11" t="str">
            <v>腳踏車用座管及上下管</v>
          </cell>
          <cell r="C11">
            <v>2749547</v>
          </cell>
          <cell r="D11">
            <v>71764</v>
          </cell>
        </row>
        <row r="12">
          <cell r="A12">
            <v>87149610004</v>
          </cell>
          <cell r="B12" t="str">
            <v>踏板及其零件</v>
          </cell>
          <cell r="C12">
            <v>2397317</v>
          </cell>
          <cell r="D12">
            <v>210496</v>
          </cell>
        </row>
        <row r="13">
          <cell r="A13">
            <v>87149990166</v>
          </cell>
          <cell r="B13" t="str">
            <v>腳踏車用把手</v>
          </cell>
          <cell r="C13">
            <v>2183359</v>
          </cell>
          <cell r="D13">
            <v>57758</v>
          </cell>
        </row>
        <row r="14">
          <cell r="A14">
            <v>87149200206</v>
          </cell>
          <cell r="B14" t="str">
            <v>輪幅</v>
          </cell>
          <cell r="C14">
            <v>2075893</v>
          </cell>
          <cell r="D14">
            <v>58209</v>
          </cell>
        </row>
        <row r="15">
          <cell r="A15">
            <v>87149500007</v>
          </cell>
          <cell r="B15" t="str">
            <v>腳踏車車座</v>
          </cell>
          <cell r="C15">
            <v>1373501</v>
          </cell>
          <cell r="D15">
            <v>20130</v>
          </cell>
        </row>
        <row r="16">
          <cell r="A16">
            <v>87149990148</v>
          </cell>
          <cell r="B16" t="str">
            <v>腳踏車用把手豎管</v>
          </cell>
          <cell r="C16">
            <v>1041652</v>
          </cell>
          <cell r="D16">
            <v>34605</v>
          </cell>
        </row>
        <row r="17">
          <cell r="A17">
            <v>87149990139</v>
          </cell>
          <cell r="B17" t="str">
            <v>腳踏車用軸心</v>
          </cell>
          <cell r="C17">
            <v>310308</v>
          </cell>
          <cell r="D17">
            <v>27112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5901</v>
          </cell>
          <cell r="D18">
            <v>165</v>
          </cell>
        </row>
        <row r="19">
          <cell r="A19">
            <v>87149410006</v>
          </cell>
          <cell r="B19" t="str">
            <v>鋼?煞車器及其零件</v>
          </cell>
          <cell r="C19">
            <v>1974</v>
          </cell>
          <cell r="D19">
            <v>13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53791669</v>
          </cell>
          <cell r="D10">
            <v>952124</v>
          </cell>
        </row>
        <row r="11">
          <cell r="A11">
            <v>87149490009</v>
          </cell>
          <cell r="B11" t="str">
            <v>其他煞車器及其零件</v>
          </cell>
          <cell r="C11">
            <v>32543241</v>
          </cell>
          <cell r="D11">
            <v>872779</v>
          </cell>
        </row>
        <row r="12">
          <cell r="A12">
            <v>87149990111</v>
          </cell>
          <cell r="B12" t="str">
            <v>腳踏車用變速器</v>
          </cell>
          <cell r="C12">
            <v>14999046</v>
          </cell>
          <cell r="D12">
            <v>140532</v>
          </cell>
        </row>
        <row r="13">
          <cell r="A13">
            <v>87149200304</v>
          </cell>
          <cell r="B13" t="str">
            <v>輪圈及輪幅</v>
          </cell>
          <cell r="C13">
            <v>14656786</v>
          </cell>
          <cell r="D13">
            <v>90701</v>
          </cell>
        </row>
        <row r="14">
          <cell r="A14">
            <v>87149620002</v>
          </cell>
          <cell r="B14" t="str">
            <v>曲柄齒輪及其零件</v>
          </cell>
          <cell r="C14">
            <v>10245334</v>
          </cell>
          <cell r="D14">
            <v>168569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8863418</v>
          </cell>
          <cell r="D15">
            <v>47084</v>
          </cell>
        </row>
        <row r="16">
          <cell r="A16">
            <v>87149200206</v>
          </cell>
          <cell r="B16" t="str">
            <v>輪幅</v>
          </cell>
          <cell r="C16">
            <v>7750198</v>
          </cell>
          <cell r="D16">
            <v>266556</v>
          </cell>
        </row>
        <row r="17">
          <cell r="A17">
            <v>87149320906</v>
          </cell>
          <cell r="B17" t="str">
            <v>其他飛輪之鏈輪</v>
          </cell>
          <cell r="C17">
            <v>7466609</v>
          </cell>
          <cell r="D17">
            <v>258818</v>
          </cell>
        </row>
        <row r="18">
          <cell r="A18">
            <v>87149990166</v>
          </cell>
          <cell r="B18" t="str">
            <v>腳踏車用把手</v>
          </cell>
          <cell r="C18">
            <v>4898874</v>
          </cell>
          <cell r="D18">
            <v>115389</v>
          </cell>
        </row>
        <row r="19">
          <cell r="A19">
            <v>87149200108</v>
          </cell>
          <cell r="B19" t="str">
            <v>輪圈</v>
          </cell>
          <cell r="C19">
            <v>4070262</v>
          </cell>
          <cell r="D19">
            <v>161515</v>
          </cell>
        </row>
        <row r="20">
          <cell r="A20">
            <v>87149610004</v>
          </cell>
          <cell r="B20" t="str">
            <v>踏板及其零件</v>
          </cell>
          <cell r="C20">
            <v>2974718</v>
          </cell>
          <cell r="D20">
            <v>173739</v>
          </cell>
        </row>
        <row r="21">
          <cell r="A21">
            <v>87149500007</v>
          </cell>
          <cell r="B21" t="str">
            <v>腳踏車車座</v>
          </cell>
          <cell r="C21">
            <v>2358202</v>
          </cell>
          <cell r="D21">
            <v>55248</v>
          </cell>
        </row>
        <row r="22">
          <cell r="A22">
            <v>87149990148</v>
          </cell>
          <cell r="B22" t="str">
            <v>腳踏車用把手豎管</v>
          </cell>
          <cell r="C22">
            <v>1659186</v>
          </cell>
          <cell r="D22">
            <v>43054</v>
          </cell>
        </row>
        <row r="23">
          <cell r="A23">
            <v>87149990157</v>
          </cell>
          <cell r="B23" t="str">
            <v>腳踏車用座管及上下管</v>
          </cell>
          <cell r="C23">
            <v>1520076</v>
          </cell>
          <cell r="D23">
            <v>47499</v>
          </cell>
        </row>
        <row r="24">
          <cell r="A24">
            <v>87149990139</v>
          </cell>
          <cell r="B24" t="str">
            <v>腳踏車用軸心</v>
          </cell>
          <cell r="C24">
            <v>330409</v>
          </cell>
          <cell r="D24">
            <v>12574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30165</v>
          </cell>
          <cell r="D25">
            <v>917</v>
          </cell>
        </row>
        <row r="26">
          <cell r="A26">
            <v>87149410006</v>
          </cell>
          <cell r="B26" t="str">
            <v>鋼?煞車器及其零件</v>
          </cell>
          <cell r="C26">
            <v>16888</v>
          </cell>
          <cell r="D26">
            <v>308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200567277</v>
          </cell>
          <cell r="D3">
            <v>3530373</v>
          </cell>
        </row>
        <row r="4">
          <cell r="A4">
            <v>87149200108</v>
          </cell>
          <cell r="B4" t="str">
            <v>輪圈</v>
          </cell>
          <cell r="C4">
            <v>64938026</v>
          </cell>
          <cell r="D4">
            <v>603957</v>
          </cell>
        </row>
        <row r="5">
          <cell r="A5">
            <v>87149990166</v>
          </cell>
          <cell r="B5" t="str">
            <v>腳踏車用把手</v>
          </cell>
          <cell r="C5">
            <v>23699016</v>
          </cell>
          <cell r="D5">
            <v>323975</v>
          </cell>
        </row>
        <row r="6">
          <cell r="A6">
            <v>87149490009</v>
          </cell>
          <cell r="B6" t="str">
            <v>其他煞車器及其零件</v>
          </cell>
          <cell r="C6">
            <v>15727744</v>
          </cell>
          <cell r="D6">
            <v>1260218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14400113</v>
          </cell>
          <cell r="D7">
            <v>373189</v>
          </cell>
        </row>
        <row r="8">
          <cell r="A8">
            <v>87149990157</v>
          </cell>
          <cell r="B8" t="str">
            <v>腳踏車用座管及上下管</v>
          </cell>
          <cell r="C8">
            <v>12077579</v>
          </cell>
          <cell r="D8">
            <v>287506</v>
          </cell>
        </row>
        <row r="9">
          <cell r="A9">
            <v>87149620002</v>
          </cell>
          <cell r="B9" t="str">
            <v>曲柄齒輪及其零件</v>
          </cell>
          <cell r="C9">
            <v>10267090</v>
          </cell>
          <cell r="D9">
            <v>929797</v>
          </cell>
        </row>
        <row r="10">
          <cell r="A10">
            <v>87149500007</v>
          </cell>
          <cell r="B10" t="str">
            <v>腳踏車車座</v>
          </cell>
          <cell r="C10">
            <v>6258139</v>
          </cell>
          <cell r="D10">
            <v>583714</v>
          </cell>
        </row>
        <row r="11">
          <cell r="A11">
            <v>87149200206</v>
          </cell>
          <cell r="B11" t="str">
            <v>輪幅</v>
          </cell>
          <cell r="C11">
            <v>4898894</v>
          </cell>
          <cell r="D11">
            <v>80476</v>
          </cell>
        </row>
        <row r="12">
          <cell r="A12">
            <v>87149990111</v>
          </cell>
          <cell r="B12" t="str">
            <v>腳踏車用變速器</v>
          </cell>
          <cell r="C12">
            <v>4546063</v>
          </cell>
          <cell r="D12">
            <v>172645</v>
          </cell>
        </row>
        <row r="13">
          <cell r="A13">
            <v>87149990148</v>
          </cell>
          <cell r="B13" t="str">
            <v>腳踏車用把手豎管</v>
          </cell>
          <cell r="C13">
            <v>3267287</v>
          </cell>
          <cell r="D13">
            <v>111811</v>
          </cell>
        </row>
        <row r="14">
          <cell r="A14">
            <v>87149200304</v>
          </cell>
          <cell r="B14" t="str">
            <v>輪圈及輪幅</v>
          </cell>
          <cell r="C14">
            <v>2672687</v>
          </cell>
          <cell r="D14">
            <v>82614</v>
          </cell>
        </row>
        <row r="15">
          <cell r="A15">
            <v>87149320906</v>
          </cell>
          <cell r="B15" t="str">
            <v>其他飛輪之鏈輪</v>
          </cell>
          <cell r="C15">
            <v>2358191</v>
          </cell>
          <cell r="D15">
            <v>230010</v>
          </cell>
        </row>
        <row r="16">
          <cell r="A16">
            <v>87149610004</v>
          </cell>
          <cell r="B16" t="str">
            <v>踏板及其零件</v>
          </cell>
          <cell r="C16">
            <v>1602932</v>
          </cell>
          <cell r="D16">
            <v>240859</v>
          </cell>
        </row>
        <row r="17">
          <cell r="A17">
            <v>87149410006</v>
          </cell>
          <cell r="B17" t="str">
            <v>鋼?煞車器及其零件</v>
          </cell>
          <cell r="C17">
            <v>328906</v>
          </cell>
          <cell r="D17">
            <v>19670</v>
          </cell>
        </row>
        <row r="18">
          <cell r="A18">
            <v>87149990139</v>
          </cell>
          <cell r="B18" t="str">
            <v>腳踏車用軸心</v>
          </cell>
          <cell r="C18">
            <v>140758</v>
          </cell>
          <cell r="D18">
            <v>35172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82778</v>
          </cell>
          <cell r="D19">
            <v>3251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238563019</v>
          </cell>
          <cell r="D3">
            <v>3698426</v>
          </cell>
        </row>
        <row r="4">
          <cell r="A4">
            <v>87149200108</v>
          </cell>
          <cell r="B4" t="str">
            <v>輪圈</v>
          </cell>
          <cell r="C4">
            <v>62865782</v>
          </cell>
          <cell r="D4">
            <v>609753</v>
          </cell>
        </row>
        <row r="5">
          <cell r="A5">
            <v>87149990166</v>
          </cell>
          <cell r="B5" t="str">
            <v>腳踏車用把手</v>
          </cell>
          <cell r="C5">
            <v>17555594</v>
          </cell>
          <cell r="D5">
            <v>335841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16380376</v>
          </cell>
          <cell r="D6">
            <v>438484</v>
          </cell>
        </row>
        <row r="7">
          <cell r="A7">
            <v>87149990157</v>
          </cell>
          <cell r="B7" t="str">
            <v>腳踏車用座管及上下管</v>
          </cell>
          <cell r="C7">
            <v>13134601</v>
          </cell>
          <cell r="D7">
            <v>308255</v>
          </cell>
        </row>
        <row r="8">
          <cell r="A8">
            <v>87149490009</v>
          </cell>
          <cell r="B8" t="str">
            <v>其他煞車器及其零件</v>
          </cell>
          <cell r="C8">
            <v>11857148</v>
          </cell>
          <cell r="D8">
            <v>807088</v>
          </cell>
        </row>
        <row r="9">
          <cell r="A9">
            <v>87149620002</v>
          </cell>
          <cell r="B9" t="str">
            <v>曲柄齒輪及其零件</v>
          </cell>
          <cell r="C9">
            <v>7077414</v>
          </cell>
          <cell r="D9">
            <v>715022</v>
          </cell>
        </row>
        <row r="10">
          <cell r="A10">
            <v>87149500007</v>
          </cell>
          <cell r="B10" t="str">
            <v>腳踏車車座</v>
          </cell>
          <cell r="C10">
            <v>5469444</v>
          </cell>
          <cell r="D10">
            <v>490632</v>
          </cell>
        </row>
        <row r="11">
          <cell r="A11">
            <v>87149200206</v>
          </cell>
          <cell r="B11" t="str">
            <v>輪幅</v>
          </cell>
          <cell r="C11">
            <v>4594331</v>
          </cell>
          <cell r="D11">
            <v>75915</v>
          </cell>
        </row>
        <row r="12">
          <cell r="A12">
            <v>87149990111</v>
          </cell>
          <cell r="B12" t="str">
            <v>腳踏車用變速器</v>
          </cell>
          <cell r="C12">
            <v>4030737</v>
          </cell>
          <cell r="D12">
            <v>166913</v>
          </cell>
        </row>
        <row r="13">
          <cell r="A13">
            <v>87149990148</v>
          </cell>
          <cell r="B13" t="str">
            <v>腳踏車用把手豎管</v>
          </cell>
          <cell r="C13">
            <v>3466515</v>
          </cell>
          <cell r="D13">
            <v>148304</v>
          </cell>
        </row>
        <row r="14">
          <cell r="A14">
            <v>87149610004</v>
          </cell>
          <cell r="B14" t="str">
            <v>踏板及其零件</v>
          </cell>
          <cell r="C14">
            <v>3066835</v>
          </cell>
          <cell r="D14">
            <v>244096</v>
          </cell>
        </row>
        <row r="15">
          <cell r="A15">
            <v>87149200304</v>
          </cell>
          <cell r="B15" t="str">
            <v>輪圈及輪幅</v>
          </cell>
          <cell r="C15">
            <v>2150696</v>
          </cell>
          <cell r="D15">
            <v>134969</v>
          </cell>
        </row>
        <row r="16">
          <cell r="A16">
            <v>87149320906</v>
          </cell>
          <cell r="B16" t="str">
            <v>其他飛輪之鏈輪</v>
          </cell>
          <cell r="C16">
            <v>1370653</v>
          </cell>
          <cell r="D16">
            <v>171354</v>
          </cell>
        </row>
        <row r="17">
          <cell r="A17">
            <v>87149410006</v>
          </cell>
          <cell r="B17" t="str">
            <v>鋼?煞車器及其零件</v>
          </cell>
          <cell r="C17">
            <v>282065</v>
          </cell>
          <cell r="D17">
            <v>19945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157603</v>
          </cell>
          <cell r="D18">
            <v>4781</v>
          </cell>
        </row>
        <row r="19">
          <cell r="A19">
            <v>87149990139</v>
          </cell>
          <cell r="B19" t="str">
            <v>腳踏車用軸心</v>
          </cell>
          <cell r="C19">
            <v>99900</v>
          </cell>
          <cell r="D19">
            <v>28697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35591924</v>
          </cell>
          <cell r="D3">
            <v>643456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18316424</v>
          </cell>
          <cell r="D4">
            <v>464871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11197508</v>
          </cell>
          <cell r="D5">
            <v>204266</v>
          </cell>
          <cell r="E5">
            <v>0</v>
          </cell>
        </row>
        <row r="6">
          <cell r="A6">
            <v>87149200304</v>
          </cell>
          <cell r="B6" t="str">
            <v>輪圈及輪幅</v>
          </cell>
          <cell r="C6">
            <v>9474806</v>
          </cell>
          <cell r="D6">
            <v>64280</v>
          </cell>
          <cell r="E6">
            <v>65997</v>
          </cell>
        </row>
        <row r="7">
          <cell r="A7">
            <v>87149990111</v>
          </cell>
          <cell r="B7" t="str">
            <v>腳踏車用變速器</v>
          </cell>
          <cell r="C7">
            <v>8594543</v>
          </cell>
          <cell r="D7">
            <v>62560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7206769</v>
          </cell>
          <cell r="D8">
            <v>194463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4934647</v>
          </cell>
          <cell r="D9">
            <v>150727</v>
          </cell>
          <cell r="E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4066192</v>
          </cell>
          <cell r="D10">
            <v>114620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4033870</v>
          </cell>
          <cell r="D11">
            <v>62382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3423349</v>
          </cell>
          <cell r="D12">
            <v>154572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3031863</v>
          </cell>
          <cell r="D13">
            <v>140963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2992442</v>
          </cell>
          <cell r="D14">
            <v>127607</v>
          </cell>
          <cell r="E14">
            <v>232264</v>
          </cell>
        </row>
        <row r="15">
          <cell r="A15">
            <v>87149990148</v>
          </cell>
          <cell r="B15" t="str">
            <v>腳踏車用把手豎管</v>
          </cell>
          <cell r="C15">
            <v>2256172</v>
          </cell>
          <cell r="D15">
            <v>70949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1177291</v>
          </cell>
          <cell r="D16">
            <v>93137</v>
          </cell>
          <cell r="E16">
            <v>14479755</v>
          </cell>
        </row>
        <row r="17">
          <cell r="A17">
            <v>87149990139</v>
          </cell>
          <cell r="B17" t="str">
            <v>腳踏車用軸心</v>
          </cell>
          <cell r="C17">
            <v>181084</v>
          </cell>
          <cell r="D17">
            <v>3212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164303</v>
          </cell>
          <cell r="D18">
            <v>7885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48324</v>
          </cell>
          <cell r="D19">
            <v>1447</v>
          </cell>
          <cell r="E19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481614220</v>
          </cell>
          <cell r="D3">
            <v>7436681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184148540</v>
          </cell>
          <cell r="D4">
            <v>4286645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109572709</v>
          </cell>
          <cell r="D5">
            <v>767328</v>
          </cell>
          <cell r="E5">
            <v>866927</v>
          </cell>
        </row>
        <row r="6">
          <cell r="A6">
            <v>87149620002</v>
          </cell>
          <cell r="B6" t="str">
            <v>曲柄齒輪及其零件</v>
          </cell>
          <cell r="C6">
            <v>102955693</v>
          </cell>
          <cell r="D6">
            <v>1829478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92926599</v>
          </cell>
          <cell r="D7">
            <v>800765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78279873</v>
          </cell>
          <cell r="D8">
            <v>1938354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56028462</v>
          </cell>
          <cell r="D9">
            <v>1296873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46718056</v>
          </cell>
          <cell r="D10">
            <v>627640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42840451</v>
          </cell>
          <cell r="D11">
            <v>1155303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39879476</v>
          </cell>
          <cell r="D12">
            <v>1689296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39192736</v>
          </cell>
          <cell r="D13">
            <v>1184861</v>
          </cell>
          <cell r="E13">
            <v>2125680</v>
          </cell>
        </row>
        <row r="14">
          <cell r="A14">
            <v>87149500007</v>
          </cell>
          <cell r="B14" t="str">
            <v>腳踏車車座</v>
          </cell>
          <cell r="C14">
            <v>30294289</v>
          </cell>
          <cell r="D14">
            <v>1374818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21925131</v>
          </cell>
          <cell r="D15">
            <v>643178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11323900</v>
          </cell>
          <cell r="D16">
            <v>888790</v>
          </cell>
          <cell r="E16">
            <v>135747553</v>
          </cell>
        </row>
        <row r="17">
          <cell r="A17">
            <v>87149410006</v>
          </cell>
          <cell r="B17" t="str">
            <v>鋼?煞車器及其零件</v>
          </cell>
          <cell r="C17">
            <v>2082500</v>
          </cell>
          <cell r="D17">
            <v>92060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2042479</v>
          </cell>
          <cell r="D18">
            <v>122380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907610</v>
          </cell>
          <cell r="D19">
            <v>23588</v>
          </cell>
          <cell r="E19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19577720</v>
          </cell>
          <cell r="D3">
            <v>432538</v>
          </cell>
          <cell r="E3">
            <v>0</v>
          </cell>
        </row>
        <row r="4">
          <cell r="A4">
            <v>87149200108</v>
          </cell>
          <cell r="B4" t="str">
            <v>輪圈</v>
          </cell>
          <cell r="C4">
            <v>6734641</v>
          </cell>
          <cell r="D4">
            <v>62819</v>
          </cell>
          <cell r="E4">
            <v>143696</v>
          </cell>
        </row>
        <row r="5">
          <cell r="A5">
            <v>87149490009</v>
          </cell>
          <cell r="B5" t="str">
            <v>其他煞車器及其零件</v>
          </cell>
          <cell r="C5">
            <v>6087357</v>
          </cell>
          <cell r="D5">
            <v>229512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3478563</v>
          </cell>
          <cell r="D6">
            <v>56301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2921975</v>
          </cell>
          <cell r="D7">
            <v>124968</v>
          </cell>
          <cell r="E7">
            <v>0</v>
          </cell>
        </row>
        <row r="8">
          <cell r="A8">
            <v>87149990166</v>
          </cell>
          <cell r="B8" t="str">
            <v>腳踏車用把手</v>
          </cell>
          <cell r="C8">
            <v>2689422</v>
          </cell>
          <cell r="D8">
            <v>42493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1982237</v>
          </cell>
          <cell r="D9">
            <v>48785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1525485</v>
          </cell>
          <cell r="D10">
            <v>42511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1051564</v>
          </cell>
          <cell r="D11">
            <v>83328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1036920</v>
          </cell>
          <cell r="D12">
            <v>24690</v>
          </cell>
          <cell r="E12">
            <v>0</v>
          </cell>
        </row>
        <row r="13">
          <cell r="A13">
            <v>87149410006</v>
          </cell>
          <cell r="B13" t="str">
            <v>鋼?煞車器及其零件</v>
          </cell>
          <cell r="C13">
            <v>688736</v>
          </cell>
          <cell r="D13">
            <v>4974</v>
          </cell>
          <cell r="E13">
            <v>0</v>
          </cell>
        </row>
        <row r="14">
          <cell r="A14">
            <v>87149200206</v>
          </cell>
          <cell r="B14" t="str">
            <v>輪幅</v>
          </cell>
          <cell r="C14">
            <v>522926</v>
          </cell>
          <cell r="D14">
            <v>10777</v>
          </cell>
          <cell r="E14">
            <v>1796263</v>
          </cell>
        </row>
        <row r="15">
          <cell r="A15">
            <v>87149200304</v>
          </cell>
          <cell r="B15" t="str">
            <v>輪圈及輪幅</v>
          </cell>
          <cell r="C15">
            <v>447681</v>
          </cell>
          <cell r="D15">
            <v>21839</v>
          </cell>
          <cell r="E15">
            <v>28670</v>
          </cell>
        </row>
        <row r="16">
          <cell r="A16">
            <v>87149990148</v>
          </cell>
          <cell r="B16" t="str">
            <v>腳踏車用把手豎管</v>
          </cell>
          <cell r="C16">
            <v>442648</v>
          </cell>
          <cell r="D16">
            <v>16959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235072</v>
          </cell>
          <cell r="D17">
            <v>20843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13908</v>
          </cell>
          <cell r="D18">
            <v>474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8390</v>
          </cell>
          <cell r="D19">
            <v>1303</v>
          </cell>
          <cell r="E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出10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13459831</v>
          </cell>
        </row>
        <row r="12">
          <cell r="C12" t="str">
            <v>荷蘭</v>
          </cell>
          <cell r="D12" t="str">
            <v>Netherlands</v>
          </cell>
          <cell r="E12">
            <v>6690644</v>
          </cell>
        </row>
        <row r="13">
          <cell r="C13" t="str">
            <v>澳大利亞</v>
          </cell>
          <cell r="D13" t="str">
            <v>Australia</v>
          </cell>
          <cell r="E13">
            <v>5860618</v>
          </cell>
        </row>
        <row r="14">
          <cell r="C14" t="str">
            <v>英國</v>
          </cell>
          <cell r="D14" t="str">
            <v>United Kingdom</v>
          </cell>
          <cell r="E14">
            <v>3632262</v>
          </cell>
        </row>
        <row r="15">
          <cell r="C15" t="str">
            <v>中國大陸</v>
          </cell>
          <cell r="D15" t="str">
            <v>China</v>
          </cell>
          <cell r="E15">
            <v>2829933</v>
          </cell>
        </row>
        <row r="16">
          <cell r="C16" t="str">
            <v>加拿大</v>
          </cell>
          <cell r="D16" t="str">
            <v>Canada</v>
          </cell>
          <cell r="E16">
            <v>2780472</v>
          </cell>
        </row>
        <row r="17">
          <cell r="C17" t="str">
            <v>香港</v>
          </cell>
          <cell r="D17" t="str">
            <v>Hong Kong</v>
          </cell>
          <cell r="E17">
            <v>1828028</v>
          </cell>
        </row>
        <row r="18">
          <cell r="C18" t="str">
            <v>比利時</v>
          </cell>
          <cell r="D18" t="str">
            <v>Belgium</v>
          </cell>
          <cell r="E18">
            <v>1820382</v>
          </cell>
        </row>
        <row r="19">
          <cell r="C19" t="str">
            <v>哥倫比亞</v>
          </cell>
          <cell r="D19" t="str">
            <v>Colombia</v>
          </cell>
          <cell r="E19">
            <v>1278536</v>
          </cell>
        </row>
        <row r="20">
          <cell r="C20" t="str">
            <v>日本</v>
          </cell>
          <cell r="D20" t="str">
            <v>Japan</v>
          </cell>
          <cell r="E20">
            <v>1217525</v>
          </cell>
        </row>
        <row r="21">
          <cell r="C21" t="str">
            <v>西班牙</v>
          </cell>
          <cell r="D21" t="str">
            <v>Spain</v>
          </cell>
          <cell r="E21">
            <v>1125565</v>
          </cell>
        </row>
        <row r="22">
          <cell r="C22" t="str">
            <v>韓國</v>
          </cell>
          <cell r="D22" t="str">
            <v>Republic of Korea</v>
          </cell>
          <cell r="E22">
            <v>1089203</v>
          </cell>
        </row>
        <row r="23">
          <cell r="C23" t="str">
            <v>南非</v>
          </cell>
          <cell r="D23" t="str">
            <v>South Africa</v>
          </cell>
          <cell r="E23">
            <v>1060616</v>
          </cell>
        </row>
        <row r="24">
          <cell r="C24" t="str">
            <v>法國</v>
          </cell>
          <cell r="D24" t="str">
            <v>France</v>
          </cell>
          <cell r="E24">
            <v>1018510</v>
          </cell>
        </row>
        <row r="25">
          <cell r="C25" t="str">
            <v>德國</v>
          </cell>
          <cell r="D25" t="str">
            <v>Germany</v>
          </cell>
          <cell r="E25">
            <v>893406</v>
          </cell>
        </row>
        <row r="26">
          <cell r="C26" t="str">
            <v>智利</v>
          </cell>
          <cell r="D26" t="str">
            <v>Chile</v>
          </cell>
          <cell r="E26">
            <v>693960</v>
          </cell>
        </row>
        <row r="27">
          <cell r="C27" t="str">
            <v>紐西蘭</v>
          </cell>
          <cell r="D27" t="str">
            <v>New Zealand</v>
          </cell>
          <cell r="E27">
            <v>664588</v>
          </cell>
        </row>
        <row r="28">
          <cell r="C28" t="str">
            <v>墨西哥</v>
          </cell>
          <cell r="D28" t="str">
            <v>Mexico</v>
          </cell>
          <cell r="E28">
            <v>631703</v>
          </cell>
        </row>
        <row r="29">
          <cell r="C29" t="str">
            <v>義大利</v>
          </cell>
          <cell r="D29" t="str">
            <v>Italy</v>
          </cell>
          <cell r="E29">
            <v>573318</v>
          </cell>
        </row>
        <row r="30">
          <cell r="C30" t="str">
            <v>波蘭</v>
          </cell>
          <cell r="D30" t="str">
            <v>Poland</v>
          </cell>
          <cell r="E30">
            <v>480505</v>
          </cell>
        </row>
        <row r="31">
          <cell r="C31" t="str">
            <v>以色列</v>
          </cell>
          <cell r="D31" t="str">
            <v>Israel</v>
          </cell>
          <cell r="E31">
            <v>380078</v>
          </cell>
        </row>
        <row r="32">
          <cell r="C32" t="str">
            <v>挪威</v>
          </cell>
          <cell r="D32" t="str">
            <v>Norway</v>
          </cell>
          <cell r="E32">
            <v>342370</v>
          </cell>
        </row>
        <row r="33">
          <cell r="C33" t="str">
            <v>瑞士</v>
          </cell>
          <cell r="D33" t="str">
            <v>Switzerland</v>
          </cell>
          <cell r="E33">
            <v>299442</v>
          </cell>
        </row>
        <row r="34">
          <cell r="C34" t="str">
            <v>哥斯大黎加</v>
          </cell>
          <cell r="D34" t="str">
            <v>Costa Rica</v>
          </cell>
          <cell r="E34">
            <v>293207</v>
          </cell>
        </row>
        <row r="35">
          <cell r="C35" t="str">
            <v>巴拉圭</v>
          </cell>
          <cell r="D35" t="str">
            <v>Paraguay</v>
          </cell>
          <cell r="E35">
            <v>285396</v>
          </cell>
        </row>
        <row r="36">
          <cell r="C36" t="str">
            <v>阿根廷</v>
          </cell>
          <cell r="D36" t="str">
            <v>Argentina</v>
          </cell>
          <cell r="E36">
            <v>284836</v>
          </cell>
        </row>
        <row r="37">
          <cell r="C37" t="str">
            <v>新加坡</v>
          </cell>
          <cell r="D37" t="str">
            <v>Singapore</v>
          </cell>
          <cell r="E37">
            <v>218312</v>
          </cell>
        </row>
        <row r="38">
          <cell r="C38" t="str">
            <v>巴拿馬</v>
          </cell>
          <cell r="D38" t="str">
            <v>Panama</v>
          </cell>
          <cell r="E38">
            <v>198391</v>
          </cell>
        </row>
        <row r="39">
          <cell r="C39" t="str">
            <v>瓜地馬拉</v>
          </cell>
          <cell r="D39" t="str">
            <v>Guatemala</v>
          </cell>
          <cell r="E39">
            <v>179094</v>
          </cell>
        </row>
        <row r="40">
          <cell r="C40" t="str">
            <v>泰國</v>
          </cell>
          <cell r="D40" t="str">
            <v>Thailand</v>
          </cell>
          <cell r="E40">
            <v>178734</v>
          </cell>
        </row>
        <row r="41">
          <cell r="C41" t="str">
            <v>丹麥</v>
          </cell>
          <cell r="D41" t="str">
            <v>Denmark</v>
          </cell>
          <cell r="E41">
            <v>121824</v>
          </cell>
        </row>
        <row r="42">
          <cell r="C42" t="str">
            <v>波多黎各</v>
          </cell>
          <cell r="D42" t="str">
            <v>Puerto Rico</v>
          </cell>
          <cell r="E42">
            <v>118773</v>
          </cell>
        </row>
        <row r="43">
          <cell r="C43" t="str">
            <v>俄羅斯</v>
          </cell>
          <cell r="D43" t="str">
            <v>Russian Federation</v>
          </cell>
          <cell r="E43">
            <v>114866</v>
          </cell>
        </row>
        <row r="44">
          <cell r="C44" t="str">
            <v>烏拉圭</v>
          </cell>
          <cell r="D44" t="str">
            <v>Uruguay</v>
          </cell>
          <cell r="E44">
            <v>110994</v>
          </cell>
        </row>
        <row r="45">
          <cell r="C45" t="str">
            <v>巴西</v>
          </cell>
          <cell r="D45" t="str">
            <v>Brazil</v>
          </cell>
          <cell r="E45">
            <v>105842</v>
          </cell>
        </row>
        <row r="46">
          <cell r="C46" t="str">
            <v>馬來西亞</v>
          </cell>
          <cell r="D46" t="str">
            <v>Malaysia</v>
          </cell>
          <cell r="E46">
            <v>101019</v>
          </cell>
        </row>
        <row r="47">
          <cell r="C47" t="str">
            <v>捷克</v>
          </cell>
          <cell r="D47" t="str">
            <v>Czech Republic</v>
          </cell>
          <cell r="E47">
            <v>92747</v>
          </cell>
        </row>
        <row r="48">
          <cell r="C48" t="str">
            <v>愛沙尼亞</v>
          </cell>
          <cell r="D48" t="str">
            <v>Estonia</v>
          </cell>
          <cell r="E48">
            <v>74271</v>
          </cell>
        </row>
        <row r="49">
          <cell r="C49" t="str">
            <v>菲律賓</v>
          </cell>
          <cell r="D49" t="str">
            <v>Philippines</v>
          </cell>
          <cell r="E49">
            <v>60552</v>
          </cell>
        </row>
        <row r="50">
          <cell r="C50" t="str">
            <v>阿拉伯聯合大公國</v>
          </cell>
          <cell r="D50" t="str">
            <v>United Arab Emirates</v>
          </cell>
          <cell r="E50">
            <v>57106</v>
          </cell>
        </row>
        <row r="51">
          <cell r="C51" t="str">
            <v>厄瓜多</v>
          </cell>
          <cell r="D51" t="str">
            <v>Ecuador</v>
          </cell>
          <cell r="E51">
            <v>49721</v>
          </cell>
        </row>
        <row r="52">
          <cell r="C52" t="str">
            <v>薩爾瓦多</v>
          </cell>
          <cell r="D52" t="str">
            <v>El Salvador</v>
          </cell>
          <cell r="E52">
            <v>38300</v>
          </cell>
        </row>
        <row r="53">
          <cell r="C53" t="str">
            <v>印度</v>
          </cell>
          <cell r="D53" t="str">
            <v>India</v>
          </cell>
          <cell r="E53">
            <v>37874</v>
          </cell>
        </row>
        <row r="54">
          <cell r="C54" t="str">
            <v>印尼</v>
          </cell>
          <cell r="D54" t="str">
            <v>Indonesia</v>
          </cell>
          <cell r="E54">
            <v>5579</v>
          </cell>
        </row>
        <row r="55">
          <cell r="C55" t="str">
            <v>越南</v>
          </cell>
          <cell r="D55" t="str">
            <v>Viet Nam</v>
          </cell>
          <cell r="E55">
            <v>5218</v>
          </cell>
        </row>
        <row r="56">
          <cell r="C56" t="str">
            <v>奧地利</v>
          </cell>
          <cell r="D56" t="str">
            <v>Austria</v>
          </cell>
          <cell r="E56">
            <v>1674</v>
          </cell>
        </row>
        <row r="57">
          <cell r="C57" t="str">
            <v>迦納</v>
          </cell>
          <cell r="D57" t="str">
            <v>Ghana</v>
          </cell>
          <cell r="E57">
            <v>66</v>
          </cell>
        </row>
        <row r="58">
          <cell r="C58" t="str">
            <v>約旦</v>
          </cell>
          <cell r="D58" t="str">
            <v>Jordan</v>
          </cell>
          <cell r="E58">
            <v>66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264729291</v>
          </cell>
          <cell r="D3">
            <v>3939383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80227141</v>
          </cell>
          <cell r="D4">
            <v>1923987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72125724</v>
          </cell>
          <cell r="D5">
            <v>647261</v>
          </cell>
          <cell r="E5">
            <v>1402531</v>
          </cell>
        </row>
        <row r="6">
          <cell r="A6">
            <v>87149620002</v>
          </cell>
          <cell r="B6" t="str">
            <v>曲柄齒輪及其零件</v>
          </cell>
          <cell r="C6">
            <v>31452584</v>
          </cell>
          <cell r="D6">
            <v>1227593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30423900</v>
          </cell>
          <cell r="D7">
            <v>355385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29363294</v>
          </cell>
          <cell r="D8">
            <v>346047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24131843</v>
          </cell>
          <cell r="D9">
            <v>514419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16621765</v>
          </cell>
          <cell r="D10">
            <v>395721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12606946</v>
          </cell>
          <cell r="D11">
            <v>302963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11030406</v>
          </cell>
          <cell r="D12">
            <v>691044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10363605</v>
          </cell>
          <cell r="D13">
            <v>131398</v>
          </cell>
          <cell r="E13">
            <v>24332320</v>
          </cell>
        </row>
        <row r="14">
          <cell r="A14">
            <v>87149200304</v>
          </cell>
          <cell r="B14" t="str">
            <v>輪圈及輪幅</v>
          </cell>
          <cell r="C14">
            <v>6197232</v>
          </cell>
          <cell r="D14">
            <v>106573</v>
          </cell>
          <cell r="E14">
            <v>2042917</v>
          </cell>
        </row>
        <row r="15">
          <cell r="A15">
            <v>87149990148</v>
          </cell>
          <cell r="B15" t="str">
            <v>腳踏車用把手豎管</v>
          </cell>
          <cell r="C15">
            <v>4832338</v>
          </cell>
          <cell r="D15">
            <v>123322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2837485</v>
          </cell>
          <cell r="D16">
            <v>252059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2228381</v>
          </cell>
          <cell r="D17">
            <v>32700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425260</v>
          </cell>
          <cell r="D18">
            <v>10933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217068</v>
          </cell>
          <cell r="D19">
            <v>35615</v>
          </cell>
          <cell r="E19">
            <v>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試算"/>
      <sheetName val="整車比較"/>
      <sheetName val="摺疊車試算"/>
      <sheetName val="折疊車"/>
      <sheetName val="摺疊車比較"/>
      <sheetName val="整車進口試算"/>
      <sheetName val="整車進口"/>
      <sheetName val="台灣出口大陸試算"/>
      <sheetName val="自大陸進口試算"/>
      <sheetName val="台灣--中國"/>
      <sheetName val="台灣--中國出口比較"/>
      <sheetName val="台灣--中國進口比較"/>
      <sheetName val="電動車"/>
      <sheetName val="電動車比較"/>
      <sheetName val="電動車試算"/>
      <sheetName val="零件試算表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">
          <cell r="C14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517352099</v>
          </cell>
          <cell r="D3">
            <v>8036410</v>
          </cell>
        </row>
        <row r="4">
          <cell r="A4">
            <v>87149490009</v>
          </cell>
          <cell r="B4" t="str">
            <v>其他煞車器及其零件</v>
          </cell>
          <cell r="C4">
            <v>168179873</v>
          </cell>
          <cell r="D4">
            <v>3850133</v>
          </cell>
        </row>
        <row r="5">
          <cell r="A5">
            <v>87149620002</v>
          </cell>
          <cell r="B5" t="str">
            <v>曲柄齒輪及其零件</v>
          </cell>
          <cell r="C5">
            <v>84331251</v>
          </cell>
          <cell r="D5">
            <v>1677031</v>
          </cell>
        </row>
        <row r="6">
          <cell r="A6">
            <v>87149990111</v>
          </cell>
          <cell r="B6" t="str">
            <v>腳踏車用變速器</v>
          </cell>
          <cell r="C6">
            <v>81681293</v>
          </cell>
          <cell r="D6">
            <v>676288</v>
          </cell>
        </row>
        <row r="7">
          <cell r="A7">
            <v>87149200304</v>
          </cell>
          <cell r="B7" t="str">
            <v>輪圈及輪幅</v>
          </cell>
          <cell r="C7">
            <v>77139068</v>
          </cell>
          <cell r="D7">
            <v>620078</v>
          </cell>
        </row>
        <row r="8">
          <cell r="A8">
            <v>87149320906</v>
          </cell>
          <cell r="B8" t="str">
            <v>其他飛輪之鏈輪</v>
          </cell>
          <cell r="C8">
            <v>61317101</v>
          </cell>
          <cell r="D8">
            <v>1547101</v>
          </cell>
        </row>
        <row r="9">
          <cell r="A9">
            <v>87149990157</v>
          </cell>
          <cell r="B9" t="str">
            <v>腳踏車用座管及上下管</v>
          </cell>
          <cell r="C9">
            <v>54407790</v>
          </cell>
          <cell r="D9">
            <v>1248509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45526081</v>
          </cell>
          <cell r="D10">
            <v>722063</v>
          </cell>
        </row>
        <row r="11">
          <cell r="A11">
            <v>87149990166</v>
          </cell>
          <cell r="B11" t="str">
            <v>腳踏車用把手</v>
          </cell>
          <cell r="C11">
            <v>43236659</v>
          </cell>
          <cell r="D11">
            <v>1212319</v>
          </cell>
        </row>
        <row r="12">
          <cell r="A12">
            <v>87149200108</v>
          </cell>
          <cell r="B12" t="str">
            <v>輪圈</v>
          </cell>
          <cell r="C12">
            <v>42038241</v>
          </cell>
          <cell r="D12">
            <v>1230779</v>
          </cell>
        </row>
        <row r="13">
          <cell r="A13">
            <v>87149610004</v>
          </cell>
          <cell r="B13" t="str">
            <v>踏板及其零件</v>
          </cell>
          <cell r="C13">
            <v>37471931</v>
          </cell>
          <cell r="D13">
            <v>1531039</v>
          </cell>
        </row>
        <row r="14">
          <cell r="A14">
            <v>87149500007</v>
          </cell>
          <cell r="B14" t="str">
            <v>腳踏車車座</v>
          </cell>
          <cell r="C14">
            <v>27516630</v>
          </cell>
          <cell r="D14">
            <v>1235816</v>
          </cell>
        </row>
        <row r="15">
          <cell r="A15">
            <v>87149990148</v>
          </cell>
          <cell r="B15" t="str">
            <v>腳踏車用把手豎管</v>
          </cell>
          <cell r="C15">
            <v>21328473</v>
          </cell>
          <cell r="D15">
            <v>602650</v>
          </cell>
        </row>
        <row r="16">
          <cell r="A16">
            <v>87149200206</v>
          </cell>
          <cell r="B16" t="str">
            <v>輪幅</v>
          </cell>
          <cell r="C16">
            <v>15094257</v>
          </cell>
          <cell r="D16">
            <v>981577</v>
          </cell>
        </row>
        <row r="17">
          <cell r="A17">
            <v>87149990139</v>
          </cell>
          <cell r="B17" t="str">
            <v>腳踏車用軸心</v>
          </cell>
          <cell r="C17">
            <v>2370794</v>
          </cell>
          <cell r="D17">
            <v>130635</v>
          </cell>
        </row>
        <row r="18">
          <cell r="A18">
            <v>87149410006</v>
          </cell>
          <cell r="B18" t="str">
            <v>鋼?煞車器及其零件</v>
          </cell>
          <cell r="C18">
            <v>1880938</v>
          </cell>
          <cell r="D18">
            <v>76887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647110</v>
          </cell>
          <cell r="D19">
            <v>19501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折疊車"/>
      <sheetName val="摺疊車比較"/>
      <sheetName val="台灣--中國"/>
      <sheetName val="台灣--中國出口比較"/>
      <sheetName val="台灣--中國進口比較"/>
      <sheetName val="整車進口"/>
      <sheetName val="電動車"/>
      <sheetName val="電動車比較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N3">
            <v>1951078</v>
          </cell>
        </row>
        <row r="4">
          <cell r="N4">
            <v>2472625</v>
          </cell>
        </row>
        <row r="5">
          <cell r="N5">
            <v>3048527</v>
          </cell>
        </row>
        <row r="6">
          <cell r="N6">
            <v>2777994</v>
          </cell>
        </row>
        <row r="7">
          <cell r="N7">
            <v>3333227</v>
          </cell>
        </row>
        <row r="8">
          <cell r="N8">
            <v>3617436</v>
          </cell>
        </row>
        <row r="9">
          <cell r="N9">
            <v>2806218</v>
          </cell>
        </row>
        <row r="10">
          <cell r="N10">
            <v>3502051</v>
          </cell>
        </row>
        <row r="11">
          <cell r="N11">
            <v>2746697</v>
          </cell>
        </row>
        <row r="12">
          <cell r="N12">
            <v>2515626</v>
          </cell>
        </row>
        <row r="13">
          <cell r="N13">
            <v>1980857</v>
          </cell>
        </row>
        <row r="14">
          <cell r="N14">
            <v>2078881</v>
          </cell>
        </row>
        <row r="15">
          <cell r="N15">
            <v>2205064</v>
          </cell>
        </row>
        <row r="16">
          <cell r="N16">
            <v>1621980</v>
          </cell>
        </row>
        <row r="17">
          <cell r="N17">
            <v>1283683</v>
          </cell>
        </row>
      </sheetData>
      <sheetData sheetId="15" refreshError="1">
        <row r="3">
          <cell r="N3">
            <v>262473763</v>
          </cell>
        </row>
        <row r="4">
          <cell r="N4">
            <v>355443421</v>
          </cell>
        </row>
        <row r="5">
          <cell r="N5">
            <v>470898878</v>
          </cell>
        </row>
        <row r="6">
          <cell r="N6">
            <v>431688008</v>
          </cell>
        </row>
        <row r="7">
          <cell r="N7">
            <v>565309262</v>
          </cell>
        </row>
        <row r="8">
          <cell r="N8">
            <v>723477440</v>
          </cell>
        </row>
        <row r="9">
          <cell r="N9">
            <v>625011069</v>
          </cell>
        </row>
        <row r="10">
          <cell r="N10">
            <v>791841148</v>
          </cell>
        </row>
        <row r="11">
          <cell r="N11">
            <v>763468518</v>
          </cell>
        </row>
        <row r="12">
          <cell r="N12">
            <v>826938645</v>
          </cell>
        </row>
        <row r="13">
          <cell r="N13">
            <v>702874319</v>
          </cell>
        </row>
        <row r="14">
          <cell r="N14">
            <v>723710386</v>
          </cell>
        </row>
        <row r="15">
          <cell r="N15">
            <v>768784797</v>
          </cell>
        </row>
        <row r="16">
          <cell r="N16">
            <v>609989050</v>
          </cell>
        </row>
        <row r="17">
          <cell r="N17">
            <v>525419005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 refreshError="1">
        <row r="22">
          <cell r="B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</sheetNames>
    <sheetDataSet>
      <sheetData sheetId="0" refreshError="1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264662806</v>
          </cell>
          <cell r="F11">
            <v>183918775</v>
          </cell>
          <cell r="G11">
            <v>3547468</v>
          </cell>
          <cell r="H11">
            <v>3081050</v>
          </cell>
          <cell r="I11">
            <v>250929</v>
          </cell>
          <cell r="J11">
            <v>225278</v>
          </cell>
        </row>
        <row r="12">
          <cell r="C12" t="str">
            <v>荷蘭</v>
          </cell>
          <cell r="D12" t="str">
            <v>Netherlands</v>
          </cell>
          <cell r="E12">
            <v>117391715</v>
          </cell>
          <cell r="F12">
            <v>96225491</v>
          </cell>
          <cell r="G12">
            <v>856215</v>
          </cell>
          <cell r="H12">
            <v>764423</v>
          </cell>
          <cell r="I12">
            <v>68759</v>
          </cell>
          <cell r="J12">
            <v>63667</v>
          </cell>
        </row>
        <row r="13">
          <cell r="C13" t="str">
            <v>英國</v>
          </cell>
          <cell r="D13" t="str">
            <v>United Kingdom</v>
          </cell>
          <cell r="E13">
            <v>45618106</v>
          </cell>
          <cell r="F13">
            <v>44460383</v>
          </cell>
          <cell r="G13">
            <v>573421</v>
          </cell>
          <cell r="H13">
            <v>529103</v>
          </cell>
          <cell r="I13">
            <v>45229</v>
          </cell>
          <cell r="J13">
            <v>44372</v>
          </cell>
        </row>
        <row r="14">
          <cell r="C14" t="str">
            <v>中國大陸</v>
          </cell>
          <cell r="D14" t="str">
            <v>China</v>
          </cell>
          <cell r="E14">
            <v>125998459</v>
          </cell>
          <cell r="F14">
            <v>37889955</v>
          </cell>
          <cell r="G14">
            <v>911533</v>
          </cell>
          <cell r="H14">
            <v>261308</v>
          </cell>
          <cell r="I14">
            <v>92223</v>
          </cell>
          <cell r="J14">
            <v>24748</v>
          </cell>
        </row>
        <row r="15">
          <cell r="C15" t="str">
            <v>澳大利亞</v>
          </cell>
          <cell r="D15" t="str">
            <v>Australia</v>
          </cell>
          <cell r="E15">
            <v>31810120</v>
          </cell>
          <cell r="F15">
            <v>37070524</v>
          </cell>
          <cell r="G15">
            <v>340823</v>
          </cell>
          <cell r="H15">
            <v>488211</v>
          </cell>
          <cell r="I15">
            <v>26679</v>
          </cell>
          <cell r="J15">
            <v>37352</v>
          </cell>
        </row>
        <row r="16">
          <cell r="C16" t="str">
            <v>比利時</v>
          </cell>
          <cell r="D16" t="str">
            <v>Belgium</v>
          </cell>
          <cell r="E16">
            <v>20190657</v>
          </cell>
          <cell r="F16">
            <v>26994391</v>
          </cell>
          <cell r="G16">
            <v>348504</v>
          </cell>
          <cell r="H16">
            <v>272780</v>
          </cell>
          <cell r="I16">
            <v>21561</v>
          </cell>
          <cell r="J16">
            <v>18511</v>
          </cell>
        </row>
        <row r="17">
          <cell r="C17" t="str">
            <v>加拿大</v>
          </cell>
          <cell r="D17" t="str">
            <v>Canada</v>
          </cell>
          <cell r="E17">
            <v>32938592</v>
          </cell>
          <cell r="F17">
            <v>21365908</v>
          </cell>
          <cell r="G17">
            <v>316410</v>
          </cell>
          <cell r="H17">
            <v>203372</v>
          </cell>
          <cell r="I17">
            <v>22021</v>
          </cell>
          <cell r="J17">
            <v>15653</v>
          </cell>
        </row>
        <row r="18">
          <cell r="C18" t="str">
            <v>法國</v>
          </cell>
          <cell r="D18" t="str">
            <v>France</v>
          </cell>
          <cell r="E18">
            <v>11987189</v>
          </cell>
          <cell r="F18">
            <v>21056714</v>
          </cell>
          <cell r="G18">
            <v>87495</v>
          </cell>
          <cell r="H18">
            <v>132476</v>
          </cell>
          <cell r="I18">
            <v>7422</v>
          </cell>
          <cell r="J18">
            <v>11532</v>
          </cell>
        </row>
        <row r="19">
          <cell r="C19" t="str">
            <v>德國</v>
          </cell>
          <cell r="D19" t="str">
            <v>Germany</v>
          </cell>
          <cell r="E19">
            <v>30458870</v>
          </cell>
          <cell r="F19">
            <v>17796196</v>
          </cell>
          <cell r="G19">
            <v>548602</v>
          </cell>
          <cell r="H19">
            <v>301743</v>
          </cell>
          <cell r="I19">
            <v>43133</v>
          </cell>
          <cell r="J19">
            <v>21696</v>
          </cell>
        </row>
        <row r="20">
          <cell r="C20" t="str">
            <v>西班牙</v>
          </cell>
          <cell r="D20" t="str">
            <v>Spain</v>
          </cell>
          <cell r="E20">
            <v>19250196</v>
          </cell>
          <cell r="F20">
            <v>17306329</v>
          </cell>
          <cell r="G20">
            <v>147288</v>
          </cell>
          <cell r="H20">
            <v>133091</v>
          </cell>
          <cell r="I20">
            <v>11381</v>
          </cell>
          <cell r="J20">
            <v>11326</v>
          </cell>
        </row>
        <row r="21">
          <cell r="C21" t="str">
            <v>日本</v>
          </cell>
          <cell r="D21" t="str">
            <v>Japan</v>
          </cell>
          <cell r="E21">
            <v>23132196</v>
          </cell>
          <cell r="F21">
            <v>13919703</v>
          </cell>
          <cell r="G21">
            <v>349827</v>
          </cell>
          <cell r="H21">
            <v>153430</v>
          </cell>
          <cell r="I21">
            <v>30195</v>
          </cell>
          <cell r="J21">
            <v>13365</v>
          </cell>
        </row>
        <row r="22">
          <cell r="C22" t="str">
            <v>韓國</v>
          </cell>
          <cell r="D22" t="str">
            <v>Republic of Korea</v>
          </cell>
          <cell r="E22">
            <v>15965743</v>
          </cell>
          <cell r="F22">
            <v>13479704</v>
          </cell>
          <cell r="G22">
            <v>106260</v>
          </cell>
          <cell r="H22">
            <v>83748</v>
          </cell>
          <cell r="I22">
            <v>9673</v>
          </cell>
          <cell r="J22">
            <v>8024</v>
          </cell>
        </row>
        <row r="23">
          <cell r="C23" t="str">
            <v>義大利</v>
          </cell>
          <cell r="D23" t="str">
            <v>Italy</v>
          </cell>
          <cell r="E23">
            <v>15852606</v>
          </cell>
          <cell r="F23">
            <v>10657464</v>
          </cell>
          <cell r="G23">
            <v>129933</v>
          </cell>
          <cell r="H23">
            <v>93955</v>
          </cell>
          <cell r="I23">
            <v>10598</v>
          </cell>
          <cell r="J23">
            <v>7747</v>
          </cell>
        </row>
        <row r="24">
          <cell r="C24" t="str">
            <v>南非</v>
          </cell>
          <cell r="D24" t="str">
            <v>South Africa</v>
          </cell>
          <cell r="E24">
            <v>5234467</v>
          </cell>
          <cell r="F24">
            <v>7004127</v>
          </cell>
          <cell r="G24">
            <v>34029</v>
          </cell>
          <cell r="H24">
            <v>41662</v>
          </cell>
          <cell r="I24">
            <v>2559</v>
          </cell>
          <cell r="J24">
            <v>3385</v>
          </cell>
        </row>
        <row r="25">
          <cell r="C25" t="str">
            <v>哥倫比亞</v>
          </cell>
          <cell r="D25" t="str">
            <v>Colombia</v>
          </cell>
          <cell r="E25">
            <v>4139742</v>
          </cell>
          <cell r="F25">
            <v>6908033</v>
          </cell>
          <cell r="G25">
            <v>28626</v>
          </cell>
          <cell r="H25">
            <v>36833</v>
          </cell>
          <cell r="I25">
            <v>2635</v>
          </cell>
          <cell r="J25">
            <v>3695</v>
          </cell>
        </row>
        <row r="26">
          <cell r="C26" t="str">
            <v>墨西哥</v>
          </cell>
          <cell r="D26" t="str">
            <v>Mexico</v>
          </cell>
          <cell r="E26">
            <v>5325773</v>
          </cell>
          <cell r="F26">
            <v>6898533</v>
          </cell>
          <cell r="G26">
            <v>48451</v>
          </cell>
          <cell r="H26">
            <v>67222</v>
          </cell>
          <cell r="I26">
            <v>3795</v>
          </cell>
          <cell r="J26">
            <v>4939</v>
          </cell>
        </row>
        <row r="27">
          <cell r="C27" t="str">
            <v>紐西蘭</v>
          </cell>
          <cell r="D27" t="str">
            <v>New Zealand</v>
          </cell>
          <cell r="E27">
            <v>4358555</v>
          </cell>
          <cell r="F27">
            <v>6132202</v>
          </cell>
          <cell r="G27">
            <v>46793</v>
          </cell>
          <cell r="H27">
            <v>80556</v>
          </cell>
          <cell r="I27">
            <v>3316</v>
          </cell>
          <cell r="J27">
            <v>5732</v>
          </cell>
        </row>
        <row r="28">
          <cell r="C28" t="str">
            <v>巴西</v>
          </cell>
          <cell r="D28" t="str">
            <v>Brazil</v>
          </cell>
          <cell r="E28">
            <v>2980499</v>
          </cell>
          <cell r="F28">
            <v>5743889</v>
          </cell>
          <cell r="G28">
            <v>19048</v>
          </cell>
          <cell r="H28">
            <v>34293</v>
          </cell>
          <cell r="I28">
            <v>1617</v>
          </cell>
          <cell r="J28">
            <v>2844</v>
          </cell>
        </row>
        <row r="29">
          <cell r="C29" t="str">
            <v>阿根廷</v>
          </cell>
          <cell r="D29" t="str">
            <v>Argentina</v>
          </cell>
          <cell r="E29">
            <v>1592284</v>
          </cell>
          <cell r="F29">
            <v>5662674</v>
          </cell>
          <cell r="G29">
            <v>9362</v>
          </cell>
          <cell r="H29">
            <v>37207</v>
          </cell>
          <cell r="I29">
            <v>789</v>
          </cell>
          <cell r="J29">
            <v>3095</v>
          </cell>
        </row>
        <row r="30">
          <cell r="C30" t="str">
            <v>挪威</v>
          </cell>
          <cell r="D30" t="str">
            <v>Norway</v>
          </cell>
          <cell r="E30">
            <v>6618399</v>
          </cell>
          <cell r="F30">
            <v>4844561</v>
          </cell>
          <cell r="G30">
            <v>117731</v>
          </cell>
          <cell r="H30">
            <v>54966</v>
          </cell>
          <cell r="I30">
            <v>9037</v>
          </cell>
          <cell r="J30">
            <v>4746</v>
          </cell>
        </row>
        <row r="31">
          <cell r="C31" t="str">
            <v>瑞士</v>
          </cell>
          <cell r="D31" t="str">
            <v>Switzerland</v>
          </cell>
          <cell r="E31">
            <v>17376897</v>
          </cell>
          <cell r="F31">
            <v>4086110</v>
          </cell>
          <cell r="G31">
            <v>144048</v>
          </cell>
          <cell r="H31">
            <v>53194</v>
          </cell>
          <cell r="I31">
            <v>11765</v>
          </cell>
          <cell r="J31">
            <v>4036</v>
          </cell>
        </row>
        <row r="32">
          <cell r="C32" t="str">
            <v>波蘭</v>
          </cell>
          <cell r="D32" t="str">
            <v>Poland</v>
          </cell>
          <cell r="E32">
            <v>6914716</v>
          </cell>
          <cell r="F32">
            <v>3468436</v>
          </cell>
          <cell r="G32">
            <v>189892</v>
          </cell>
          <cell r="H32">
            <v>70827</v>
          </cell>
          <cell r="I32">
            <v>13773</v>
          </cell>
          <cell r="J32">
            <v>5613</v>
          </cell>
        </row>
        <row r="33">
          <cell r="C33" t="str">
            <v>智利</v>
          </cell>
          <cell r="D33" t="str">
            <v>Chile</v>
          </cell>
          <cell r="E33">
            <v>2709505</v>
          </cell>
          <cell r="F33">
            <v>3445236</v>
          </cell>
          <cell r="G33">
            <v>26438</v>
          </cell>
          <cell r="H33">
            <v>31849</v>
          </cell>
          <cell r="I33">
            <v>1893</v>
          </cell>
          <cell r="J33">
            <v>2363</v>
          </cell>
        </row>
        <row r="34">
          <cell r="C34" t="str">
            <v>捷克</v>
          </cell>
          <cell r="D34" t="str">
            <v>Czech Republic</v>
          </cell>
          <cell r="E34">
            <v>4105285</v>
          </cell>
          <cell r="F34">
            <v>3135417</v>
          </cell>
          <cell r="G34">
            <v>75246</v>
          </cell>
          <cell r="H34">
            <v>63638</v>
          </cell>
          <cell r="I34">
            <v>7093</v>
          </cell>
          <cell r="J34">
            <v>6665</v>
          </cell>
        </row>
        <row r="35">
          <cell r="C35" t="str">
            <v>香港</v>
          </cell>
          <cell r="D35" t="str">
            <v>Hong Kong</v>
          </cell>
          <cell r="E35">
            <v>3455628</v>
          </cell>
          <cell r="F35">
            <v>2932376</v>
          </cell>
          <cell r="G35">
            <v>24310</v>
          </cell>
          <cell r="H35">
            <v>19455</v>
          </cell>
          <cell r="I35">
            <v>2475</v>
          </cell>
          <cell r="J35">
            <v>2027</v>
          </cell>
        </row>
        <row r="36">
          <cell r="C36" t="str">
            <v>巴拿馬</v>
          </cell>
          <cell r="D36" t="str">
            <v>Panama</v>
          </cell>
          <cell r="E36">
            <v>4913106</v>
          </cell>
          <cell r="F36">
            <v>2850454</v>
          </cell>
          <cell r="G36">
            <v>30462</v>
          </cell>
          <cell r="H36">
            <v>16864</v>
          </cell>
          <cell r="I36">
            <v>2328</v>
          </cell>
          <cell r="J36">
            <v>1253</v>
          </cell>
        </row>
        <row r="37">
          <cell r="C37" t="str">
            <v>阿拉伯聯合大公國</v>
          </cell>
          <cell r="D37" t="str">
            <v>United Arab Emirates</v>
          </cell>
          <cell r="E37">
            <v>1678674</v>
          </cell>
          <cell r="F37">
            <v>2538906</v>
          </cell>
          <cell r="G37">
            <v>22262</v>
          </cell>
          <cell r="H37">
            <v>26915</v>
          </cell>
          <cell r="I37">
            <v>1736</v>
          </cell>
          <cell r="J37">
            <v>2102</v>
          </cell>
        </row>
        <row r="38">
          <cell r="C38" t="str">
            <v>以色列</v>
          </cell>
          <cell r="D38" t="str">
            <v>Israel</v>
          </cell>
          <cell r="E38">
            <v>810583</v>
          </cell>
          <cell r="F38">
            <v>2197227</v>
          </cell>
          <cell r="G38">
            <v>6960</v>
          </cell>
          <cell r="H38">
            <v>31571</v>
          </cell>
          <cell r="I38">
            <v>533</v>
          </cell>
          <cell r="J38">
            <v>2330</v>
          </cell>
        </row>
        <row r="39">
          <cell r="C39" t="str">
            <v>新加坡</v>
          </cell>
          <cell r="D39" t="str">
            <v>Singapore</v>
          </cell>
          <cell r="E39">
            <v>2528313</v>
          </cell>
          <cell r="F39">
            <v>2174926</v>
          </cell>
          <cell r="G39">
            <v>16689</v>
          </cell>
          <cell r="H39">
            <v>13966</v>
          </cell>
          <cell r="I39">
            <v>1488</v>
          </cell>
          <cell r="J39">
            <v>1260</v>
          </cell>
        </row>
        <row r="40">
          <cell r="C40" t="str">
            <v>菲律賓</v>
          </cell>
          <cell r="D40" t="str">
            <v>Philippines</v>
          </cell>
          <cell r="E40">
            <v>1923653</v>
          </cell>
          <cell r="F40">
            <v>1636773</v>
          </cell>
          <cell r="G40">
            <v>42927</v>
          </cell>
          <cell r="H40">
            <v>17175</v>
          </cell>
          <cell r="I40">
            <v>2886</v>
          </cell>
          <cell r="J40">
            <v>1419</v>
          </cell>
        </row>
        <row r="41">
          <cell r="C41" t="str">
            <v>泰國</v>
          </cell>
          <cell r="D41" t="str">
            <v>Thailand</v>
          </cell>
          <cell r="E41">
            <v>2023062</v>
          </cell>
          <cell r="F41">
            <v>1593551</v>
          </cell>
          <cell r="G41">
            <v>18491</v>
          </cell>
          <cell r="H41">
            <v>16409</v>
          </cell>
          <cell r="I41">
            <v>1624</v>
          </cell>
          <cell r="J41">
            <v>1481</v>
          </cell>
        </row>
        <row r="42">
          <cell r="C42" t="str">
            <v>哥斯大黎加</v>
          </cell>
          <cell r="D42" t="str">
            <v>Costa Rica</v>
          </cell>
          <cell r="E42">
            <v>1824144</v>
          </cell>
          <cell r="F42">
            <v>1237155</v>
          </cell>
          <cell r="G42">
            <v>10398</v>
          </cell>
          <cell r="H42">
            <v>8601</v>
          </cell>
          <cell r="I42">
            <v>937</v>
          </cell>
          <cell r="J42">
            <v>792</v>
          </cell>
        </row>
        <row r="43">
          <cell r="C43" t="str">
            <v>丹麥</v>
          </cell>
          <cell r="D43" t="str">
            <v>Denmark</v>
          </cell>
          <cell r="E43">
            <v>3106059</v>
          </cell>
          <cell r="F43">
            <v>1160427</v>
          </cell>
          <cell r="G43">
            <v>152510</v>
          </cell>
          <cell r="H43">
            <v>84541</v>
          </cell>
          <cell r="I43">
            <v>13087</v>
          </cell>
          <cell r="J43">
            <v>7199</v>
          </cell>
        </row>
        <row r="44">
          <cell r="C44" t="str">
            <v>瓜地馬拉</v>
          </cell>
          <cell r="D44" t="str">
            <v>Guatemala</v>
          </cell>
          <cell r="E44">
            <v>654667</v>
          </cell>
          <cell r="F44">
            <v>1066967</v>
          </cell>
          <cell r="G44">
            <v>5308</v>
          </cell>
          <cell r="H44">
            <v>7813</v>
          </cell>
          <cell r="I44">
            <v>413</v>
          </cell>
          <cell r="J44">
            <v>642</v>
          </cell>
        </row>
        <row r="45">
          <cell r="C45" t="str">
            <v>馬來西亞</v>
          </cell>
          <cell r="D45" t="str">
            <v>Malaysia</v>
          </cell>
          <cell r="E45">
            <v>2373767</v>
          </cell>
          <cell r="F45">
            <v>828648</v>
          </cell>
          <cell r="G45">
            <v>11650</v>
          </cell>
          <cell r="H45">
            <v>4743</v>
          </cell>
          <cell r="I45">
            <v>1111</v>
          </cell>
          <cell r="J45">
            <v>421</v>
          </cell>
        </row>
        <row r="46">
          <cell r="C46" t="str">
            <v>匈牙利</v>
          </cell>
          <cell r="D46" t="str">
            <v>Hungary</v>
          </cell>
          <cell r="E46">
            <v>408758</v>
          </cell>
          <cell r="F46">
            <v>814298</v>
          </cell>
          <cell r="G46">
            <v>7107</v>
          </cell>
          <cell r="H46">
            <v>17976</v>
          </cell>
          <cell r="I46">
            <v>565</v>
          </cell>
          <cell r="J46">
            <v>1371</v>
          </cell>
        </row>
        <row r="47">
          <cell r="C47" t="str">
            <v>印度</v>
          </cell>
          <cell r="D47" t="str">
            <v>India</v>
          </cell>
          <cell r="E47">
            <v>991588</v>
          </cell>
          <cell r="F47">
            <v>717694</v>
          </cell>
          <cell r="G47">
            <v>10032</v>
          </cell>
          <cell r="H47">
            <v>8855</v>
          </cell>
          <cell r="I47">
            <v>939</v>
          </cell>
          <cell r="J47">
            <v>768</v>
          </cell>
        </row>
        <row r="48">
          <cell r="C48" t="str">
            <v>瑞典</v>
          </cell>
          <cell r="D48" t="str">
            <v>Sweden</v>
          </cell>
          <cell r="E48">
            <v>3022579</v>
          </cell>
          <cell r="F48">
            <v>709177</v>
          </cell>
          <cell r="G48">
            <v>121890</v>
          </cell>
          <cell r="H48">
            <v>34889</v>
          </cell>
          <cell r="I48">
            <v>8900</v>
          </cell>
          <cell r="J48">
            <v>2534</v>
          </cell>
        </row>
        <row r="49">
          <cell r="C49" t="str">
            <v>愛爾蘭</v>
          </cell>
          <cell r="D49" t="str">
            <v>Ireland</v>
          </cell>
          <cell r="E49">
            <v>454951</v>
          </cell>
          <cell r="F49">
            <v>707764</v>
          </cell>
          <cell r="G49">
            <v>15150</v>
          </cell>
          <cell r="H49">
            <v>18414</v>
          </cell>
          <cell r="I49">
            <v>1148</v>
          </cell>
          <cell r="J49">
            <v>1302</v>
          </cell>
        </row>
        <row r="50">
          <cell r="C50" t="str">
            <v>厄瓜多</v>
          </cell>
          <cell r="D50" t="str">
            <v>Ecuador</v>
          </cell>
          <cell r="E50">
            <v>1611517</v>
          </cell>
          <cell r="F50">
            <v>671931</v>
          </cell>
          <cell r="G50">
            <v>13812</v>
          </cell>
          <cell r="H50">
            <v>5954</v>
          </cell>
          <cell r="I50">
            <v>1163</v>
          </cell>
          <cell r="J50">
            <v>533</v>
          </cell>
        </row>
        <row r="51">
          <cell r="C51" t="str">
            <v>盧森堡</v>
          </cell>
          <cell r="D51" t="str">
            <v>Luxembourg</v>
          </cell>
          <cell r="E51">
            <v>426812</v>
          </cell>
          <cell r="F51">
            <v>629231</v>
          </cell>
          <cell r="G51">
            <v>1314</v>
          </cell>
          <cell r="H51">
            <v>3195</v>
          </cell>
          <cell r="I51">
            <v>151</v>
          </cell>
          <cell r="J51">
            <v>244</v>
          </cell>
        </row>
        <row r="52">
          <cell r="C52" t="str">
            <v>俄羅斯</v>
          </cell>
          <cell r="D52" t="str">
            <v>Russian Federation</v>
          </cell>
          <cell r="E52">
            <v>3566850</v>
          </cell>
          <cell r="F52">
            <v>628941</v>
          </cell>
          <cell r="G52">
            <v>46974</v>
          </cell>
          <cell r="H52">
            <v>18493</v>
          </cell>
          <cell r="I52">
            <v>3464</v>
          </cell>
          <cell r="J52">
            <v>1423</v>
          </cell>
        </row>
        <row r="53">
          <cell r="C53" t="str">
            <v>烏拉圭</v>
          </cell>
          <cell r="D53" t="str">
            <v>Uruguay</v>
          </cell>
          <cell r="E53">
            <v>368972</v>
          </cell>
          <cell r="F53">
            <v>426310</v>
          </cell>
          <cell r="G53">
            <v>3176</v>
          </cell>
          <cell r="H53">
            <v>2679</v>
          </cell>
          <cell r="I53">
            <v>276</v>
          </cell>
          <cell r="J53">
            <v>217</v>
          </cell>
        </row>
        <row r="54">
          <cell r="C54" t="str">
            <v>巴拉圭</v>
          </cell>
          <cell r="D54" t="str">
            <v>Paraguay</v>
          </cell>
          <cell r="E54">
            <v>158606</v>
          </cell>
          <cell r="F54">
            <v>387290</v>
          </cell>
          <cell r="G54">
            <v>759</v>
          </cell>
          <cell r="H54">
            <v>1695</v>
          </cell>
          <cell r="I54">
            <v>76</v>
          </cell>
          <cell r="J54">
            <v>166</v>
          </cell>
        </row>
        <row r="55">
          <cell r="C55" t="str">
            <v>哈薩克</v>
          </cell>
          <cell r="D55" t="str">
            <v>Kazakhstan</v>
          </cell>
          <cell r="E55">
            <v>354272</v>
          </cell>
          <cell r="F55">
            <v>356877</v>
          </cell>
          <cell r="G55">
            <v>2128</v>
          </cell>
          <cell r="H55">
            <v>4512</v>
          </cell>
          <cell r="I55">
            <v>208</v>
          </cell>
          <cell r="J55">
            <v>406</v>
          </cell>
        </row>
        <row r="56">
          <cell r="C56" t="str">
            <v>秘魯</v>
          </cell>
          <cell r="D56" t="str">
            <v>Peru</v>
          </cell>
          <cell r="E56">
            <v>288478</v>
          </cell>
          <cell r="F56">
            <v>311082</v>
          </cell>
          <cell r="G56">
            <v>1803</v>
          </cell>
          <cell r="H56">
            <v>2294</v>
          </cell>
          <cell r="I56">
            <v>144</v>
          </cell>
          <cell r="J56">
            <v>185</v>
          </cell>
        </row>
        <row r="57">
          <cell r="C57" t="str">
            <v>愛沙尼亞</v>
          </cell>
          <cell r="D57" t="str">
            <v>Estonia</v>
          </cell>
          <cell r="E57">
            <v>216361</v>
          </cell>
          <cell r="F57">
            <v>261655</v>
          </cell>
          <cell r="G57">
            <v>11997</v>
          </cell>
          <cell r="H57">
            <v>6335</v>
          </cell>
          <cell r="I57">
            <v>815</v>
          </cell>
          <cell r="J57">
            <v>471</v>
          </cell>
        </row>
        <row r="58">
          <cell r="C58" t="str">
            <v>斯洛維尼亞</v>
          </cell>
          <cell r="D58" t="str">
            <v>Slovenia</v>
          </cell>
          <cell r="E58">
            <v>1647256</v>
          </cell>
          <cell r="F58">
            <v>214912</v>
          </cell>
          <cell r="G58">
            <v>11512</v>
          </cell>
          <cell r="H58">
            <v>1296</v>
          </cell>
          <cell r="I58">
            <v>1375</v>
          </cell>
          <cell r="J58">
            <v>113</v>
          </cell>
        </row>
        <row r="59">
          <cell r="C59" t="str">
            <v>模里西斯</v>
          </cell>
          <cell r="D59" t="str">
            <v>Mauritius</v>
          </cell>
          <cell r="E59">
            <v>226623</v>
          </cell>
          <cell r="F59">
            <v>209860</v>
          </cell>
          <cell r="G59">
            <v>1989</v>
          </cell>
          <cell r="H59">
            <v>2541</v>
          </cell>
          <cell r="I59">
            <v>166</v>
          </cell>
          <cell r="J59">
            <v>185</v>
          </cell>
        </row>
        <row r="60">
          <cell r="C60" t="str">
            <v>立陶宛</v>
          </cell>
          <cell r="D60" t="str">
            <v>Lithuania</v>
          </cell>
          <cell r="E60">
            <v>255739</v>
          </cell>
          <cell r="F60">
            <v>167494</v>
          </cell>
          <cell r="G60">
            <v>6669</v>
          </cell>
          <cell r="H60">
            <v>5293</v>
          </cell>
          <cell r="I60">
            <v>466</v>
          </cell>
          <cell r="J60">
            <v>365</v>
          </cell>
        </row>
        <row r="61">
          <cell r="C61" t="str">
            <v>越南</v>
          </cell>
          <cell r="D61" t="str">
            <v>Viet Nam</v>
          </cell>
          <cell r="E61">
            <v>734463</v>
          </cell>
          <cell r="F61">
            <v>160993</v>
          </cell>
          <cell r="G61">
            <v>4639</v>
          </cell>
          <cell r="H61">
            <v>837</v>
          </cell>
          <cell r="I61">
            <v>413</v>
          </cell>
          <cell r="J61">
            <v>80</v>
          </cell>
        </row>
        <row r="62">
          <cell r="C62" t="str">
            <v>多明尼加</v>
          </cell>
          <cell r="D62" t="str">
            <v>Dominican Republic</v>
          </cell>
          <cell r="E62">
            <v>194065</v>
          </cell>
          <cell r="F62">
            <v>156037</v>
          </cell>
          <cell r="G62">
            <v>2078</v>
          </cell>
          <cell r="H62">
            <v>1621</v>
          </cell>
          <cell r="I62">
            <v>163</v>
          </cell>
          <cell r="J62">
            <v>114</v>
          </cell>
        </row>
        <row r="63">
          <cell r="C63" t="str">
            <v>薩爾瓦多</v>
          </cell>
          <cell r="D63" t="str">
            <v>El Salvador</v>
          </cell>
          <cell r="E63">
            <v>306896</v>
          </cell>
          <cell r="F63">
            <v>152342</v>
          </cell>
          <cell r="G63">
            <v>2697</v>
          </cell>
          <cell r="H63">
            <v>2206</v>
          </cell>
          <cell r="I63">
            <v>206</v>
          </cell>
          <cell r="J63">
            <v>170</v>
          </cell>
        </row>
        <row r="64">
          <cell r="C64" t="str">
            <v>拉脫維亞</v>
          </cell>
          <cell r="D64" t="str">
            <v>Latvia</v>
          </cell>
          <cell r="E64">
            <v>16606</v>
          </cell>
          <cell r="F64">
            <v>151357</v>
          </cell>
          <cell r="G64">
            <v>1040</v>
          </cell>
          <cell r="H64">
            <v>6439</v>
          </cell>
          <cell r="I64">
            <v>89</v>
          </cell>
          <cell r="J64">
            <v>445</v>
          </cell>
        </row>
        <row r="65">
          <cell r="C65" t="str">
            <v>沙烏地阿拉伯</v>
          </cell>
          <cell r="D65" t="str">
            <v>Saudi Arabia</v>
          </cell>
          <cell r="E65">
            <v>74164</v>
          </cell>
          <cell r="F65">
            <v>146550</v>
          </cell>
          <cell r="G65">
            <v>11200</v>
          </cell>
          <cell r="H65">
            <v>12030</v>
          </cell>
          <cell r="I65">
            <v>400</v>
          </cell>
          <cell r="J65">
            <v>452</v>
          </cell>
        </row>
        <row r="66">
          <cell r="C66" t="str">
            <v>奧地利</v>
          </cell>
          <cell r="D66" t="str">
            <v>Austria</v>
          </cell>
          <cell r="E66">
            <v>149544</v>
          </cell>
          <cell r="F66">
            <v>139164</v>
          </cell>
          <cell r="G66">
            <v>676</v>
          </cell>
          <cell r="H66">
            <v>530</v>
          </cell>
          <cell r="I66">
            <v>65</v>
          </cell>
          <cell r="J66">
            <v>45</v>
          </cell>
        </row>
        <row r="67">
          <cell r="C67" t="str">
            <v>波多黎各</v>
          </cell>
          <cell r="D67" t="str">
            <v>Puerto Rico</v>
          </cell>
          <cell r="E67">
            <v>605194</v>
          </cell>
          <cell r="F67">
            <v>122650</v>
          </cell>
          <cell r="G67">
            <v>6300</v>
          </cell>
          <cell r="H67">
            <v>669</v>
          </cell>
          <cell r="I67">
            <v>405</v>
          </cell>
          <cell r="J67">
            <v>66</v>
          </cell>
        </row>
        <row r="68">
          <cell r="C68" t="str">
            <v>土耳其</v>
          </cell>
          <cell r="D68" t="str">
            <v>Turkiye</v>
          </cell>
          <cell r="E68">
            <v>111748</v>
          </cell>
          <cell r="F68">
            <v>118933</v>
          </cell>
          <cell r="G68">
            <v>760</v>
          </cell>
          <cell r="H68">
            <v>515</v>
          </cell>
          <cell r="I68">
            <v>79</v>
          </cell>
          <cell r="J68">
            <v>56</v>
          </cell>
        </row>
        <row r="69">
          <cell r="C69" t="str">
            <v>冰島</v>
          </cell>
          <cell r="D69" t="str">
            <v>Iceland</v>
          </cell>
          <cell r="E69">
            <v>6535</v>
          </cell>
          <cell r="F69">
            <v>107944</v>
          </cell>
          <cell r="G69">
            <v>67</v>
          </cell>
          <cell r="H69">
            <v>6824</v>
          </cell>
          <cell r="I69">
            <v>4</v>
          </cell>
          <cell r="J69">
            <v>647</v>
          </cell>
        </row>
        <row r="70">
          <cell r="C70" t="str">
            <v>關島</v>
          </cell>
          <cell r="D70" t="str">
            <v>Guam</v>
          </cell>
          <cell r="E70">
            <v>402202</v>
          </cell>
          <cell r="F70">
            <v>105600</v>
          </cell>
          <cell r="G70">
            <v>1287</v>
          </cell>
          <cell r="H70">
            <v>392</v>
          </cell>
          <cell r="I70">
            <v>148</v>
          </cell>
          <cell r="J70">
            <v>45</v>
          </cell>
        </row>
        <row r="71">
          <cell r="C71" t="str">
            <v>柬埔寨</v>
          </cell>
          <cell r="D71" t="str">
            <v>Cambodia</v>
          </cell>
          <cell r="E71">
            <v>78382</v>
          </cell>
          <cell r="F71">
            <v>102848</v>
          </cell>
          <cell r="G71">
            <v>214</v>
          </cell>
          <cell r="H71">
            <v>601</v>
          </cell>
          <cell r="I71">
            <v>26</v>
          </cell>
          <cell r="J71">
            <v>52</v>
          </cell>
        </row>
        <row r="72">
          <cell r="C72" t="str">
            <v>印尼</v>
          </cell>
          <cell r="D72" t="str">
            <v>Indonesia</v>
          </cell>
          <cell r="E72">
            <v>285886</v>
          </cell>
          <cell r="F72">
            <v>74186</v>
          </cell>
          <cell r="G72">
            <v>1871</v>
          </cell>
          <cell r="H72">
            <v>473</v>
          </cell>
          <cell r="I72">
            <v>175</v>
          </cell>
          <cell r="J72">
            <v>45</v>
          </cell>
        </row>
        <row r="73">
          <cell r="C73" t="str">
            <v>克羅埃西亞</v>
          </cell>
          <cell r="D73" t="str">
            <v>Croatia</v>
          </cell>
          <cell r="E73">
            <v>117992</v>
          </cell>
          <cell r="F73">
            <v>67715</v>
          </cell>
          <cell r="G73">
            <v>4697</v>
          </cell>
          <cell r="H73">
            <v>3791</v>
          </cell>
          <cell r="I73">
            <v>335</v>
          </cell>
          <cell r="J73">
            <v>256</v>
          </cell>
        </row>
        <row r="74">
          <cell r="C74" t="str">
            <v>斯洛伐克</v>
          </cell>
          <cell r="D74" t="str">
            <v>Slovakia</v>
          </cell>
          <cell r="E74">
            <v>0</v>
          </cell>
          <cell r="F74">
            <v>57583</v>
          </cell>
          <cell r="G74">
            <v>0</v>
          </cell>
          <cell r="H74">
            <v>1787</v>
          </cell>
          <cell r="I74">
            <v>0</v>
          </cell>
          <cell r="J74">
            <v>245</v>
          </cell>
        </row>
        <row r="75">
          <cell r="C75" t="str">
            <v>黎巴嫩</v>
          </cell>
          <cell r="D75" t="str">
            <v>Lebanon</v>
          </cell>
          <cell r="E75">
            <v>10743</v>
          </cell>
          <cell r="F75">
            <v>55731</v>
          </cell>
          <cell r="G75">
            <v>264</v>
          </cell>
          <cell r="H75">
            <v>310</v>
          </cell>
          <cell r="I75">
            <v>24</v>
          </cell>
          <cell r="J75">
            <v>38</v>
          </cell>
        </row>
        <row r="76">
          <cell r="C76" t="str">
            <v>芬蘭</v>
          </cell>
          <cell r="D76" t="str">
            <v>Finland</v>
          </cell>
          <cell r="E76">
            <v>85539</v>
          </cell>
          <cell r="F76">
            <v>34288</v>
          </cell>
          <cell r="G76">
            <v>1673</v>
          </cell>
          <cell r="H76">
            <v>811</v>
          </cell>
          <cell r="I76">
            <v>137</v>
          </cell>
          <cell r="J76">
            <v>47</v>
          </cell>
        </row>
        <row r="77">
          <cell r="C77" t="str">
            <v>希臘</v>
          </cell>
          <cell r="D77" t="str">
            <v>Greece</v>
          </cell>
          <cell r="E77">
            <v>5233</v>
          </cell>
          <cell r="F77">
            <v>30708</v>
          </cell>
          <cell r="G77">
            <v>411</v>
          </cell>
          <cell r="H77">
            <v>121</v>
          </cell>
          <cell r="I77">
            <v>34</v>
          </cell>
          <cell r="J77">
            <v>9</v>
          </cell>
        </row>
        <row r="78">
          <cell r="C78" t="str">
            <v>千里達</v>
          </cell>
          <cell r="D78" t="str">
            <v>Trinidad and Tobago</v>
          </cell>
          <cell r="E78">
            <v>0</v>
          </cell>
          <cell r="F78">
            <v>12123</v>
          </cell>
          <cell r="G78">
            <v>0</v>
          </cell>
          <cell r="H78">
            <v>81</v>
          </cell>
          <cell r="I78">
            <v>0</v>
          </cell>
          <cell r="J78">
            <v>8</v>
          </cell>
        </row>
        <row r="79">
          <cell r="C79" t="str">
            <v>馬爾他</v>
          </cell>
          <cell r="D79" t="str">
            <v>Malta</v>
          </cell>
          <cell r="E79">
            <v>0</v>
          </cell>
          <cell r="F79">
            <v>10302</v>
          </cell>
          <cell r="G79">
            <v>0</v>
          </cell>
          <cell r="H79">
            <v>42</v>
          </cell>
          <cell r="I79">
            <v>0</v>
          </cell>
          <cell r="J79">
            <v>3</v>
          </cell>
        </row>
        <row r="80">
          <cell r="C80" t="str">
            <v>甘比亞</v>
          </cell>
          <cell r="D80" t="str">
            <v>Gambia</v>
          </cell>
          <cell r="E80">
            <v>64</v>
          </cell>
          <cell r="F80">
            <v>7863</v>
          </cell>
          <cell r="G80">
            <v>20</v>
          </cell>
          <cell r="H80">
            <v>4550</v>
          </cell>
          <cell r="I80">
            <v>2</v>
          </cell>
          <cell r="J80">
            <v>182</v>
          </cell>
        </row>
        <row r="81">
          <cell r="C81" t="str">
            <v>尼泊爾</v>
          </cell>
          <cell r="D81" t="str">
            <v>Nepal</v>
          </cell>
          <cell r="E81">
            <v>67349</v>
          </cell>
          <cell r="F81">
            <v>6494</v>
          </cell>
          <cell r="G81">
            <v>670</v>
          </cell>
          <cell r="H81">
            <v>71</v>
          </cell>
          <cell r="I81">
            <v>42</v>
          </cell>
          <cell r="J81">
            <v>5</v>
          </cell>
        </row>
        <row r="82">
          <cell r="C82" t="str">
            <v>保加利亞</v>
          </cell>
          <cell r="D82" t="str">
            <v>Bulgaria</v>
          </cell>
          <cell r="E82">
            <v>19564</v>
          </cell>
          <cell r="F82">
            <v>4556</v>
          </cell>
          <cell r="G82">
            <v>1335</v>
          </cell>
          <cell r="H82">
            <v>500</v>
          </cell>
          <cell r="I82">
            <v>110</v>
          </cell>
          <cell r="J82">
            <v>40</v>
          </cell>
        </row>
        <row r="83">
          <cell r="C83" t="str">
            <v>賴比瑞亞</v>
          </cell>
          <cell r="D83" t="str">
            <v>Liberia</v>
          </cell>
          <cell r="E83">
            <v>0</v>
          </cell>
          <cell r="F83">
            <v>2993</v>
          </cell>
          <cell r="G83">
            <v>0</v>
          </cell>
          <cell r="H83">
            <v>3000</v>
          </cell>
          <cell r="I83">
            <v>0</v>
          </cell>
          <cell r="J83">
            <v>600</v>
          </cell>
        </row>
        <row r="84">
          <cell r="C84" t="str">
            <v>蒙古</v>
          </cell>
          <cell r="D84" t="str">
            <v>Mongolia</v>
          </cell>
          <cell r="E84">
            <v>39760</v>
          </cell>
          <cell r="F84">
            <v>2952</v>
          </cell>
          <cell r="G84">
            <v>473</v>
          </cell>
          <cell r="H84">
            <v>8</v>
          </cell>
          <cell r="I84">
            <v>35</v>
          </cell>
          <cell r="J84">
            <v>1</v>
          </cell>
        </row>
        <row r="85">
          <cell r="C85" t="str">
            <v>迦納</v>
          </cell>
          <cell r="D85" t="str">
            <v>Ghana</v>
          </cell>
          <cell r="E85">
            <v>32</v>
          </cell>
          <cell r="F85">
            <v>595</v>
          </cell>
          <cell r="G85">
            <v>44</v>
          </cell>
          <cell r="H85">
            <v>948</v>
          </cell>
          <cell r="I85">
            <v>4</v>
          </cell>
          <cell r="J85">
            <v>64</v>
          </cell>
        </row>
        <row r="86">
          <cell r="C86" t="str">
            <v>帛琉</v>
          </cell>
          <cell r="D86" t="str">
            <v>Palau</v>
          </cell>
          <cell r="E86">
            <v>0</v>
          </cell>
          <cell r="F86">
            <v>559</v>
          </cell>
          <cell r="G86">
            <v>0</v>
          </cell>
          <cell r="H86">
            <v>20</v>
          </cell>
          <cell r="I86">
            <v>0</v>
          </cell>
          <cell r="J86">
            <v>1</v>
          </cell>
        </row>
        <row r="87">
          <cell r="C87" t="str">
            <v>奈及利亞</v>
          </cell>
          <cell r="D87" t="str">
            <v>Nigeria</v>
          </cell>
          <cell r="E87">
            <v>0</v>
          </cell>
          <cell r="F87">
            <v>183</v>
          </cell>
          <cell r="G87">
            <v>0</v>
          </cell>
          <cell r="H87">
            <v>920</v>
          </cell>
          <cell r="I87">
            <v>0</v>
          </cell>
          <cell r="J87">
            <v>110</v>
          </cell>
        </row>
        <row r="88">
          <cell r="C88" t="str">
            <v>約旦</v>
          </cell>
          <cell r="D88" t="str">
            <v>Jordan</v>
          </cell>
          <cell r="E88">
            <v>0</v>
          </cell>
          <cell r="F88">
            <v>127</v>
          </cell>
          <cell r="G88">
            <v>0</v>
          </cell>
          <cell r="H88">
            <v>53</v>
          </cell>
          <cell r="I88">
            <v>0</v>
          </cell>
          <cell r="J88">
            <v>2</v>
          </cell>
        </row>
        <row r="89">
          <cell r="C89" t="str">
            <v>坦尚尼亞</v>
          </cell>
          <cell r="D89" t="str">
            <v>United Republic of Tanzania</v>
          </cell>
          <cell r="E89">
            <v>125</v>
          </cell>
          <cell r="F89">
            <v>91</v>
          </cell>
          <cell r="G89">
            <v>40</v>
          </cell>
          <cell r="H89">
            <v>80</v>
          </cell>
          <cell r="I89">
            <v>1</v>
          </cell>
          <cell r="J89">
            <v>5</v>
          </cell>
        </row>
        <row r="90">
          <cell r="C90" t="str">
            <v>肯亞</v>
          </cell>
          <cell r="D90" t="str">
            <v>Kenya</v>
          </cell>
          <cell r="E90">
            <v>104251</v>
          </cell>
          <cell r="F90">
            <v>61</v>
          </cell>
          <cell r="G90">
            <v>655</v>
          </cell>
          <cell r="H90">
            <v>17</v>
          </cell>
          <cell r="I90">
            <v>62</v>
          </cell>
          <cell r="J90">
            <v>1</v>
          </cell>
        </row>
        <row r="91">
          <cell r="C91" t="str">
            <v>幾內亞</v>
          </cell>
          <cell r="D91" t="str">
            <v>Guinea</v>
          </cell>
          <cell r="E91">
            <v>0</v>
          </cell>
          <cell r="F91">
            <v>61</v>
          </cell>
          <cell r="G91">
            <v>0</v>
          </cell>
          <cell r="H91">
            <v>250</v>
          </cell>
          <cell r="I91">
            <v>0</v>
          </cell>
          <cell r="J91">
            <v>50</v>
          </cell>
        </row>
        <row r="92">
          <cell r="C92" t="str">
            <v>阿魯巴</v>
          </cell>
          <cell r="D92" t="str">
            <v>Aruba</v>
          </cell>
          <cell r="E92">
            <v>40092</v>
          </cell>
          <cell r="F92">
            <v>0</v>
          </cell>
          <cell r="G92">
            <v>340</v>
          </cell>
          <cell r="H92">
            <v>0</v>
          </cell>
          <cell r="I92">
            <v>25</v>
          </cell>
          <cell r="J92">
            <v>0</v>
          </cell>
        </row>
        <row r="93">
          <cell r="C93" t="str">
            <v>賽普勒斯</v>
          </cell>
          <cell r="D93" t="str">
            <v>Cyprus</v>
          </cell>
          <cell r="E93">
            <v>17159</v>
          </cell>
          <cell r="F93">
            <v>0</v>
          </cell>
          <cell r="G93">
            <v>1672</v>
          </cell>
          <cell r="H93">
            <v>0</v>
          </cell>
          <cell r="I93">
            <v>128</v>
          </cell>
          <cell r="J93">
            <v>0</v>
          </cell>
        </row>
        <row r="94">
          <cell r="C94" t="str">
            <v>象牙海岸</v>
          </cell>
          <cell r="D94" t="str">
            <v>Cote Divoire</v>
          </cell>
          <cell r="E94">
            <v>281</v>
          </cell>
          <cell r="F94">
            <v>0</v>
          </cell>
          <cell r="G94">
            <v>670</v>
          </cell>
          <cell r="H94">
            <v>0</v>
          </cell>
          <cell r="I94">
            <v>55</v>
          </cell>
          <cell r="J94">
            <v>0</v>
          </cell>
        </row>
        <row r="95">
          <cell r="C95" t="str">
            <v>吉爾吉斯</v>
          </cell>
          <cell r="D95" t="str">
            <v>Kyrgyzstan</v>
          </cell>
          <cell r="E95">
            <v>95032</v>
          </cell>
          <cell r="F95">
            <v>0</v>
          </cell>
          <cell r="G95">
            <v>289</v>
          </cell>
          <cell r="H95">
            <v>0</v>
          </cell>
          <cell r="I95">
            <v>35</v>
          </cell>
          <cell r="J95">
            <v>0</v>
          </cell>
        </row>
        <row r="96">
          <cell r="C96" t="str">
            <v>伊拉克</v>
          </cell>
          <cell r="D96" t="str">
            <v>Iraq</v>
          </cell>
          <cell r="E96">
            <v>96</v>
          </cell>
          <cell r="F96">
            <v>0</v>
          </cell>
          <cell r="G96">
            <v>24</v>
          </cell>
          <cell r="H96">
            <v>0</v>
          </cell>
          <cell r="I96">
            <v>3</v>
          </cell>
          <cell r="J96">
            <v>0</v>
          </cell>
        </row>
        <row r="97">
          <cell r="C97" t="str">
            <v>馬達加斯加</v>
          </cell>
          <cell r="D97" t="str">
            <v>Madagascar</v>
          </cell>
          <cell r="E97">
            <v>312</v>
          </cell>
          <cell r="F97">
            <v>0</v>
          </cell>
          <cell r="G97">
            <v>12</v>
          </cell>
          <cell r="H97">
            <v>0</v>
          </cell>
          <cell r="I97">
            <v>1</v>
          </cell>
          <cell r="J97">
            <v>0</v>
          </cell>
        </row>
        <row r="98">
          <cell r="C98" t="str">
            <v>馬紹爾群島共和國</v>
          </cell>
          <cell r="D98" t="str">
            <v>Marshall Islands</v>
          </cell>
          <cell r="E98">
            <v>781</v>
          </cell>
          <cell r="F98">
            <v>0</v>
          </cell>
          <cell r="G98">
            <v>95</v>
          </cell>
          <cell r="H98">
            <v>0</v>
          </cell>
          <cell r="I98">
            <v>10</v>
          </cell>
          <cell r="J98">
            <v>0</v>
          </cell>
        </row>
        <row r="99">
          <cell r="C99" t="str">
            <v>法屬玻里尼西亞</v>
          </cell>
          <cell r="D99" t="str">
            <v>French Polynesia</v>
          </cell>
          <cell r="E99">
            <v>18330</v>
          </cell>
          <cell r="F99">
            <v>0</v>
          </cell>
          <cell r="G99">
            <v>1234</v>
          </cell>
          <cell r="H99">
            <v>0</v>
          </cell>
          <cell r="I99">
            <v>100</v>
          </cell>
          <cell r="J99">
            <v>0</v>
          </cell>
        </row>
        <row r="100">
          <cell r="C100" t="str">
            <v>烏克蘭</v>
          </cell>
          <cell r="D100" t="str">
            <v>Ukraine</v>
          </cell>
          <cell r="E100">
            <v>63160</v>
          </cell>
          <cell r="F100">
            <v>0</v>
          </cell>
          <cell r="G100">
            <v>1894</v>
          </cell>
          <cell r="H100">
            <v>0</v>
          </cell>
          <cell r="I100">
            <v>151</v>
          </cell>
          <cell r="J100">
            <v>0</v>
          </cell>
        </row>
        <row r="101">
          <cell r="C101" t="str">
            <v>塞內加爾</v>
          </cell>
          <cell r="D101" t="str">
            <v>Senegal</v>
          </cell>
          <cell r="E101">
            <v>156</v>
          </cell>
          <cell r="F101">
            <v>0</v>
          </cell>
          <cell r="G101">
            <v>300</v>
          </cell>
          <cell r="H101">
            <v>0</v>
          </cell>
          <cell r="I101">
            <v>6</v>
          </cell>
          <cell r="J101">
            <v>0</v>
          </cell>
        </row>
        <row r="102">
          <cell r="C102" t="str">
            <v>蘇利南</v>
          </cell>
          <cell r="D102" t="str">
            <v>Suriname</v>
          </cell>
          <cell r="E102">
            <v>5147</v>
          </cell>
          <cell r="F102">
            <v>0</v>
          </cell>
          <cell r="G102">
            <v>29</v>
          </cell>
          <cell r="H102">
            <v>0</v>
          </cell>
          <cell r="I102">
            <v>2</v>
          </cell>
          <cell r="J102">
            <v>0</v>
          </cell>
        </row>
        <row r="103">
          <cell r="C103" t="str">
            <v>葡萄牙</v>
          </cell>
          <cell r="D103" t="str">
            <v>Portugal</v>
          </cell>
          <cell r="E103">
            <v>52032</v>
          </cell>
          <cell r="F103">
            <v>0</v>
          </cell>
          <cell r="G103">
            <v>382</v>
          </cell>
          <cell r="H103">
            <v>0</v>
          </cell>
          <cell r="I103">
            <v>23</v>
          </cell>
          <cell r="J103">
            <v>0</v>
          </cell>
        </row>
        <row r="104">
          <cell r="C104" t="str">
            <v>卡達</v>
          </cell>
          <cell r="D104" t="str">
            <v>Qatar</v>
          </cell>
          <cell r="E104">
            <v>35476</v>
          </cell>
          <cell r="F104">
            <v>0</v>
          </cell>
          <cell r="G104">
            <v>496</v>
          </cell>
          <cell r="H104">
            <v>0</v>
          </cell>
          <cell r="I104">
            <v>33</v>
          </cell>
          <cell r="J104">
            <v>0</v>
          </cell>
        </row>
        <row r="105">
          <cell r="C105" t="str">
            <v>留尼旺</v>
          </cell>
          <cell r="D105" t="str">
            <v>Reunion</v>
          </cell>
          <cell r="E105">
            <v>49075</v>
          </cell>
          <cell r="F105">
            <v>0</v>
          </cell>
          <cell r="G105">
            <v>649</v>
          </cell>
          <cell r="H105">
            <v>0</v>
          </cell>
          <cell r="I105">
            <v>34</v>
          </cell>
          <cell r="J105">
            <v>0</v>
          </cell>
        </row>
        <row r="106">
          <cell r="C106" t="str">
            <v>史瓦帝尼王國</v>
          </cell>
          <cell r="D106" t="str">
            <v>Kingdom of Eswatini</v>
          </cell>
          <cell r="E106">
            <v>338</v>
          </cell>
          <cell r="F106">
            <v>0</v>
          </cell>
          <cell r="G106">
            <v>26</v>
          </cell>
          <cell r="H106">
            <v>0</v>
          </cell>
          <cell r="I106">
            <v>4</v>
          </cell>
          <cell r="J106">
            <v>0</v>
          </cell>
        </row>
        <row r="107">
          <cell r="C107" t="str">
            <v>多哥</v>
          </cell>
          <cell r="D107" t="str">
            <v>Togo</v>
          </cell>
          <cell r="E107">
            <v>219</v>
          </cell>
          <cell r="F107">
            <v>0</v>
          </cell>
          <cell r="G107">
            <v>126</v>
          </cell>
          <cell r="H107">
            <v>0</v>
          </cell>
          <cell r="I107">
            <v>14</v>
          </cell>
          <cell r="J107">
            <v>0</v>
          </cell>
        </row>
        <row r="108">
          <cell r="C108" t="str">
            <v>委內瑞拉</v>
          </cell>
          <cell r="D108" t="str">
            <v>Venezuela</v>
          </cell>
          <cell r="E108">
            <v>29720</v>
          </cell>
          <cell r="F108">
            <v>0</v>
          </cell>
          <cell r="G108">
            <v>345</v>
          </cell>
          <cell r="H108">
            <v>0</v>
          </cell>
          <cell r="I108">
            <v>24</v>
          </cell>
          <cell r="J108">
            <v>0</v>
          </cell>
        </row>
      </sheetData>
      <sheetData sheetId="1" refreshError="1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21156776</v>
          </cell>
          <cell r="F11">
            <v>18718647</v>
          </cell>
          <cell r="G11">
            <v>2114949</v>
          </cell>
          <cell r="H11">
            <v>1920744</v>
          </cell>
          <cell r="I11">
            <v>171102</v>
          </cell>
          <cell r="J11">
            <v>156044</v>
          </cell>
        </row>
        <row r="12">
          <cell r="C12" t="str">
            <v>越南</v>
          </cell>
          <cell r="D12" t="str">
            <v>Viet Nam</v>
          </cell>
          <cell r="E12">
            <v>846856</v>
          </cell>
          <cell r="F12">
            <v>1569143</v>
          </cell>
          <cell r="G12">
            <v>9243</v>
          </cell>
          <cell r="H12">
            <v>22932</v>
          </cell>
          <cell r="I12">
            <v>763</v>
          </cell>
          <cell r="J12">
            <v>1975</v>
          </cell>
        </row>
        <row r="13">
          <cell r="C13" t="str">
            <v>英國</v>
          </cell>
          <cell r="D13" t="str">
            <v>United Kingdom</v>
          </cell>
          <cell r="E13">
            <v>632669</v>
          </cell>
          <cell r="F13">
            <v>675850</v>
          </cell>
          <cell r="G13">
            <v>6871</v>
          </cell>
          <cell r="H13">
            <v>5856</v>
          </cell>
          <cell r="I13">
            <v>438</v>
          </cell>
          <cell r="J13">
            <v>391</v>
          </cell>
        </row>
        <row r="14">
          <cell r="C14" t="str">
            <v>德國</v>
          </cell>
          <cell r="D14" t="str">
            <v>Germany</v>
          </cell>
          <cell r="E14">
            <v>458062</v>
          </cell>
          <cell r="F14">
            <v>496696</v>
          </cell>
          <cell r="G14">
            <v>495</v>
          </cell>
          <cell r="H14">
            <v>492</v>
          </cell>
          <cell r="I14">
            <v>85</v>
          </cell>
          <cell r="J14">
            <v>91</v>
          </cell>
        </row>
        <row r="15">
          <cell r="C15" t="str">
            <v>柬埔寨</v>
          </cell>
          <cell r="D15" t="str">
            <v>Cambodia</v>
          </cell>
          <cell r="E15">
            <v>317847</v>
          </cell>
          <cell r="F15">
            <v>460479</v>
          </cell>
          <cell r="G15">
            <v>8469</v>
          </cell>
          <cell r="H15">
            <v>9713</v>
          </cell>
          <cell r="I15">
            <v>802</v>
          </cell>
          <cell r="J15">
            <v>850</v>
          </cell>
        </row>
        <row r="16">
          <cell r="C16" t="str">
            <v>義大利</v>
          </cell>
          <cell r="D16" t="str">
            <v>Italy</v>
          </cell>
          <cell r="E16">
            <v>383613</v>
          </cell>
          <cell r="F16">
            <v>370272</v>
          </cell>
          <cell r="G16">
            <v>920</v>
          </cell>
          <cell r="H16">
            <v>1041</v>
          </cell>
          <cell r="I16">
            <v>106</v>
          </cell>
          <cell r="J16">
            <v>106</v>
          </cell>
        </row>
        <row r="17">
          <cell r="C17" t="str">
            <v>中華民國</v>
          </cell>
          <cell r="D17" t="str">
            <v>Taiwan, Roc</v>
          </cell>
          <cell r="E17">
            <v>701501</v>
          </cell>
          <cell r="F17">
            <v>246240</v>
          </cell>
          <cell r="G17">
            <v>19315</v>
          </cell>
          <cell r="H17">
            <v>1809</v>
          </cell>
          <cell r="I17">
            <v>1697</v>
          </cell>
          <cell r="J17">
            <v>125</v>
          </cell>
        </row>
        <row r="18">
          <cell r="C18" t="str">
            <v>美國</v>
          </cell>
          <cell r="D18" t="str">
            <v>United States</v>
          </cell>
          <cell r="E18">
            <v>157251</v>
          </cell>
          <cell r="F18">
            <v>67251</v>
          </cell>
          <cell r="G18">
            <v>718</v>
          </cell>
          <cell r="H18">
            <v>531</v>
          </cell>
          <cell r="I18">
            <v>51</v>
          </cell>
          <cell r="J18">
            <v>41</v>
          </cell>
        </row>
        <row r="19">
          <cell r="C19" t="str">
            <v>澳大利亞</v>
          </cell>
          <cell r="D19" t="str">
            <v>Australia</v>
          </cell>
          <cell r="E19">
            <v>0</v>
          </cell>
          <cell r="F19">
            <v>52982</v>
          </cell>
          <cell r="G19">
            <v>0</v>
          </cell>
          <cell r="H19">
            <v>33</v>
          </cell>
          <cell r="I19">
            <v>0</v>
          </cell>
          <cell r="J19">
            <v>3</v>
          </cell>
        </row>
        <row r="20">
          <cell r="C20" t="str">
            <v>孟加拉</v>
          </cell>
          <cell r="D20" t="str">
            <v>Bangladesh</v>
          </cell>
          <cell r="E20">
            <v>9813</v>
          </cell>
          <cell r="F20">
            <v>47122</v>
          </cell>
          <cell r="G20">
            <v>925</v>
          </cell>
          <cell r="H20">
            <v>3148</v>
          </cell>
          <cell r="I20">
            <v>104</v>
          </cell>
          <cell r="J20">
            <v>407</v>
          </cell>
        </row>
        <row r="21">
          <cell r="C21" t="str">
            <v>法國</v>
          </cell>
          <cell r="D21" t="str">
            <v>France</v>
          </cell>
          <cell r="E21">
            <v>25722</v>
          </cell>
          <cell r="F21">
            <v>38792</v>
          </cell>
          <cell r="G21">
            <v>193</v>
          </cell>
          <cell r="H21">
            <v>283</v>
          </cell>
          <cell r="I21">
            <v>12</v>
          </cell>
          <cell r="J21">
            <v>13</v>
          </cell>
        </row>
        <row r="22">
          <cell r="C22" t="str">
            <v>西班牙</v>
          </cell>
          <cell r="D22" t="str">
            <v>Spain</v>
          </cell>
          <cell r="E22">
            <v>59527</v>
          </cell>
          <cell r="F22">
            <v>22448</v>
          </cell>
          <cell r="G22">
            <v>278</v>
          </cell>
          <cell r="H22">
            <v>164</v>
          </cell>
          <cell r="I22">
            <v>26</v>
          </cell>
          <cell r="J22">
            <v>14</v>
          </cell>
        </row>
        <row r="23">
          <cell r="C23" t="str">
            <v>日本</v>
          </cell>
          <cell r="D23" t="str">
            <v>Japan</v>
          </cell>
          <cell r="E23">
            <v>28584</v>
          </cell>
          <cell r="F23">
            <v>14872</v>
          </cell>
          <cell r="G23">
            <v>2741</v>
          </cell>
          <cell r="H23">
            <v>1241</v>
          </cell>
          <cell r="I23">
            <v>178</v>
          </cell>
          <cell r="J23">
            <v>75</v>
          </cell>
        </row>
        <row r="24">
          <cell r="C24" t="str">
            <v>加拿大</v>
          </cell>
          <cell r="D24" t="str">
            <v>Canada</v>
          </cell>
          <cell r="E24">
            <v>0</v>
          </cell>
          <cell r="F24">
            <v>9278</v>
          </cell>
          <cell r="G24">
            <v>0</v>
          </cell>
          <cell r="H24">
            <v>30</v>
          </cell>
          <cell r="I24">
            <v>0</v>
          </cell>
          <cell r="J24">
            <v>2</v>
          </cell>
        </row>
        <row r="25">
          <cell r="C25" t="str">
            <v>印尼</v>
          </cell>
          <cell r="D25" t="str">
            <v>Indonesia</v>
          </cell>
          <cell r="E25">
            <v>0</v>
          </cell>
          <cell r="F25">
            <v>8947</v>
          </cell>
          <cell r="G25">
            <v>0</v>
          </cell>
          <cell r="H25">
            <v>161</v>
          </cell>
          <cell r="I25">
            <v>0</v>
          </cell>
          <cell r="J25">
            <v>9</v>
          </cell>
        </row>
        <row r="26">
          <cell r="C26" t="str">
            <v>丹麥</v>
          </cell>
          <cell r="D26" t="str">
            <v>Denmark</v>
          </cell>
          <cell r="E26">
            <v>0</v>
          </cell>
          <cell r="F26">
            <v>4867</v>
          </cell>
          <cell r="G26">
            <v>0</v>
          </cell>
          <cell r="H26">
            <v>40</v>
          </cell>
          <cell r="I26">
            <v>0</v>
          </cell>
          <cell r="J26">
            <v>3</v>
          </cell>
        </row>
        <row r="27">
          <cell r="C27" t="str">
            <v>奧地利</v>
          </cell>
          <cell r="D27" t="str">
            <v>Austria</v>
          </cell>
          <cell r="E27">
            <v>10927</v>
          </cell>
          <cell r="F27">
            <v>3315</v>
          </cell>
          <cell r="G27">
            <v>49</v>
          </cell>
          <cell r="H27">
            <v>14</v>
          </cell>
          <cell r="I27">
            <v>4</v>
          </cell>
          <cell r="J27">
            <v>1</v>
          </cell>
        </row>
        <row r="28">
          <cell r="C28" t="str">
            <v>新加坡</v>
          </cell>
          <cell r="D28" t="str">
            <v>Singapore</v>
          </cell>
          <cell r="E28">
            <v>21666</v>
          </cell>
          <cell r="F28">
            <v>2955</v>
          </cell>
          <cell r="G28">
            <v>128</v>
          </cell>
          <cell r="H28">
            <v>20</v>
          </cell>
          <cell r="I28">
            <v>11</v>
          </cell>
          <cell r="J28">
            <v>1</v>
          </cell>
        </row>
        <row r="29">
          <cell r="C29" t="str">
            <v>瑞士</v>
          </cell>
          <cell r="D29" t="str">
            <v>Switzerland</v>
          </cell>
          <cell r="E29">
            <v>155</v>
          </cell>
          <cell r="F29">
            <v>2599</v>
          </cell>
          <cell r="G29">
            <v>14</v>
          </cell>
          <cell r="H29">
            <v>30</v>
          </cell>
          <cell r="I29">
            <v>1</v>
          </cell>
          <cell r="J29">
            <v>1</v>
          </cell>
        </row>
        <row r="30">
          <cell r="C30" t="str">
            <v>喬治亞</v>
          </cell>
          <cell r="D30" t="str">
            <v>Georgia</v>
          </cell>
          <cell r="E30">
            <v>0</v>
          </cell>
          <cell r="F30">
            <v>519</v>
          </cell>
          <cell r="G30">
            <v>0</v>
          </cell>
          <cell r="H30">
            <v>62</v>
          </cell>
          <cell r="I30">
            <v>0</v>
          </cell>
          <cell r="J30">
            <v>4</v>
          </cell>
        </row>
        <row r="31">
          <cell r="C31" t="str">
            <v>比利時</v>
          </cell>
          <cell r="D31" t="str">
            <v>Belgium</v>
          </cell>
          <cell r="E31">
            <v>103833</v>
          </cell>
          <cell r="F31">
            <v>269</v>
          </cell>
          <cell r="G31">
            <v>683</v>
          </cell>
          <cell r="H31">
            <v>14</v>
          </cell>
          <cell r="I31">
            <v>57</v>
          </cell>
          <cell r="J31">
            <v>1</v>
          </cell>
        </row>
        <row r="32">
          <cell r="C32" t="str">
            <v>瑞典</v>
          </cell>
          <cell r="D32" t="str">
            <v>Sweden</v>
          </cell>
          <cell r="E32">
            <v>0</v>
          </cell>
          <cell r="F32">
            <v>162</v>
          </cell>
          <cell r="G32">
            <v>0</v>
          </cell>
          <cell r="H32">
            <v>12</v>
          </cell>
          <cell r="I32">
            <v>0</v>
          </cell>
          <cell r="J32">
            <v>1</v>
          </cell>
        </row>
        <row r="33">
          <cell r="C33" t="str">
            <v>韓國</v>
          </cell>
          <cell r="D33" t="str">
            <v>Republic of Korea</v>
          </cell>
          <cell r="E33">
            <v>0</v>
          </cell>
          <cell r="F33">
            <v>92</v>
          </cell>
          <cell r="G33">
            <v>0</v>
          </cell>
          <cell r="H33">
            <v>15</v>
          </cell>
          <cell r="I33">
            <v>0</v>
          </cell>
          <cell r="J33">
            <v>1</v>
          </cell>
        </row>
        <row r="34">
          <cell r="C34" t="str">
            <v>馬來西亞</v>
          </cell>
          <cell r="D34" t="str">
            <v>Malaysia</v>
          </cell>
          <cell r="E34">
            <v>866</v>
          </cell>
          <cell r="F34">
            <v>0</v>
          </cell>
          <cell r="G34">
            <v>14</v>
          </cell>
          <cell r="H34">
            <v>0</v>
          </cell>
          <cell r="I34">
            <v>1</v>
          </cell>
          <cell r="J34">
            <v>0</v>
          </cell>
        </row>
        <row r="35">
          <cell r="C35" t="str">
            <v>荷蘭</v>
          </cell>
          <cell r="D35" t="str">
            <v>Netherlands</v>
          </cell>
          <cell r="E35">
            <v>5320</v>
          </cell>
          <cell r="F35">
            <v>0</v>
          </cell>
          <cell r="G35">
            <v>33</v>
          </cell>
          <cell r="H35">
            <v>0</v>
          </cell>
          <cell r="I35">
            <v>2</v>
          </cell>
          <cell r="J35">
            <v>0</v>
          </cell>
        </row>
        <row r="36">
          <cell r="C36" t="str">
            <v>保加利亞</v>
          </cell>
          <cell r="D36" t="str">
            <v>Bulgaria</v>
          </cell>
          <cell r="E36">
            <v>2015</v>
          </cell>
          <cell r="F36">
            <v>0</v>
          </cell>
          <cell r="G36">
            <v>20</v>
          </cell>
          <cell r="H36">
            <v>0</v>
          </cell>
          <cell r="I36">
            <v>2</v>
          </cell>
          <cell r="J3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1028522832</v>
          </cell>
          <cell r="C10">
            <v>908325</v>
          </cell>
        </row>
        <row r="11">
          <cell r="A11" t="str">
            <v>美國</v>
          </cell>
          <cell r="B11">
            <v>308326671</v>
          </cell>
          <cell r="C11">
            <v>306799</v>
          </cell>
        </row>
        <row r="12">
          <cell r="A12" t="str">
            <v>中國大陸</v>
          </cell>
          <cell r="B12">
            <v>149703683</v>
          </cell>
          <cell r="C12">
            <v>109288</v>
          </cell>
        </row>
        <row r="13">
          <cell r="A13" t="str">
            <v>荷蘭</v>
          </cell>
          <cell r="B13">
            <v>142313509</v>
          </cell>
          <cell r="C13">
            <v>85477</v>
          </cell>
        </row>
        <row r="14">
          <cell r="A14" t="str">
            <v>英國</v>
          </cell>
          <cell r="B14">
            <v>55361517</v>
          </cell>
          <cell r="C14">
            <v>54359</v>
          </cell>
        </row>
        <row r="15">
          <cell r="A15" t="str">
            <v>澳大利亞</v>
          </cell>
          <cell r="B15">
            <v>39360698</v>
          </cell>
          <cell r="C15">
            <v>32813</v>
          </cell>
        </row>
        <row r="16">
          <cell r="A16" t="str">
            <v>加拿大</v>
          </cell>
          <cell r="B16">
            <v>39000764</v>
          </cell>
          <cell r="C16">
            <v>26417</v>
          </cell>
        </row>
        <row r="17">
          <cell r="A17" t="str">
            <v>德國</v>
          </cell>
          <cell r="B17">
            <v>38609261</v>
          </cell>
          <cell r="C17">
            <v>49886</v>
          </cell>
        </row>
        <row r="18">
          <cell r="A18" t="str">
            <v>日本</v>
          </cell>
          <cell r="B18">
            <v>26586572</v>
          </cell>
          <cell r="C18">
            <v>33321</v>
          </cell>
        </row>
        <row r="19">
          <cell r="A19" t="str">
            <v>比利時</v>
          </cell>
          <cell r="B19">
            <v>24330657</v>
          </cell>
          <cell r="C19">
            <v>24375</v>
          </cell>
        </row>
        <row r="20">
          <cell r="A20" t="str">
            <v>西班牙</v>
          </cell>
          <cell r="B20">
            <v>23259284</v>
          </cell>
          <cell r="C20">
            <v>14080</v>
          </cell>
        </row>
        <row r="21">
          <cell r="A21" t="str">
            <v>瑞士</v>
          </cell>
          <cell r="B21">
            <v>19682146</v>
          </cell>
          <cell r="C21">
            <v>13783</v>
          </cell>
        </row>
        <row r="22">
          <cell r="A22" t="str">
            <v>義大利</v>
          </cell>
          <cell r="B22">
            <v>19183597</v>
          </cell>
          <cell r="C22">
            <v>12889</v>
          </cell>
        </row>
        <row r="23">
          <cell r="A23" t="str">
            <v>韓國</v>
          </cell>
          <cell r="B23">
            <v>18367386</v>
          </cell>
          <cell r="C23">
            <v>10839</v>
          </cell>
        </row>
        <row r="24">
          <cell r="A24" t="str">
            <v>法國</v>
          </cell>
          <cell r="B24">
            <v>17420407</v>
          </cell>
          <cell r="C24">
            <v>10306</v>
          </cell>
        </row>
        <row r="25">
          <cell r="A25" t="str">
            <v>波蘭</v>
          </cell>
          <cell r="B25">
            <v>8933148</v>
          </cell>
          <cell r="C25">
            <v>17771</v>
          </cell>
        </row>
        <row r="26">
          <cell r="A26" t="str">
            <v>挪威</v>
          </cell>
          <cell r="B26">
            <v>7732931</v>
          </cell>
          <cell r="C26">
            <v>10317</v>
          </cell>
        </row>
        <row r="27">
          <cell r="A27" t="str">
            <v>巴拿馬</v>
          </cell>
          <cell r="B27">
            <v>6766200</v>
          </cell>
          <cell r="C27">
            <v>3051</v>
          </cell>
        </row>
        <row r="28">
          <cell r="A28" t="str">
            <v>南非</v>
          </cell>
          <cell r="B28">
            <v>6631872</v>
          </cell>
          <cell r="C28">
            <v>3249</v>
          </cell>
        </row>
        <row r="29">
          <cell r="A29" t="str">
            <v>墨西哥</v>
          </cell>
          <cell r="B29">
            <v>6577450</v>
          </cell>
          <cell r="C29">
            <v>4659</v>
          </cell>
        </row>
        <row r="30">
          <cell r="A30" t="str">
            <v>紐西蘭</v>
          </cell>
          <cell r="B30">
            <v>5745938</v>
          </cell>
          <cell r="C30">
            <v>4575</v>
          </cell>
        </row>
        <row r="31">
          <cell r="A31" t="str">
            <v>捷克</v>
          </cell>
          <cell r="B31">
            <v>5466456</v>
          </cell>
          <cell r="C31">
            <v>9589</v>
          </cell>
        </row>
        <row r="32">
          <cell r="A32" t="str">
            <v>哥倫比亞</v>
          </cell>
          <cell r="B32">
            <v>5285719</v>
          </cell>
          <cell r="C32">
            <v>3220</v>
          </cell>
        </row>
        <row r="33">
          <cell r="A33" t="str">
            <v>俄羅斯</v>
          </cell>
          <cell r="B33">
            <v>4782213</v>
          </cell>
          <cell r="C33">
            <v>4711</v>
          </cell>
        </row>
        <row r="34">
          <cell r="A34" t="str">
            <v>巴西</v>
          </cell>
          <cell r="B34">
            <v>3754515</v>
          </cell>
          <cell r="C34">
            <v>1972</v>
          </cell>
        </row>
        <row r="35">
          <cell r="A35" t="str">
            <v>香港</v>
          </cell>
          <cell r="B35">
            <v>3744588</v>
          </cell>
          <cell r="C35">
            <v>2732</v>
          </cell>
        </row>
        <row r="36">
          <cell r="A36" t="str">
            <v>丹麥</v>
          </cell>
          <cell r="B36">
            <v>3227272</v>
          </cell>
          <cell r="C36">
            <v>15429</v>
          </cell>
        </row>
        <row r="37">
          <cell r="A37" t="str">
            <v>智利</v>
          </cell>
          <cell r="B37">
            <v>3114181</v>
          </cell>
          <cell r="C37">
            <v>2136</v>
          </cell>
        </row>
        <row r="38">
          <cell r="A38" t="str">
            <v>新加坡</v>
          </cell>
          <cell r="B38">
            <v>3111294</v>
          </cell>
          <cell r="C38">
            <v>1938</v>
          </cell>
        </row>
        <row r="39">
          <cell r="A39" t="str">
            <v>瑞典</v>
          </cell>
          <cell r="B39">
            <v>3049795</v>
          </cell>
          <cell r="C39">
            <v>8913</v>
          </cell>
        </row>
        <row r="40">
          <cell r="A40" t="str">
            <v>馬來西亞</v>
          </cell>
          <cell r="B40">
            <v>2762246</v>
          </cell>
          <cell r="C40">
            <v>1316</v>
          </cell>
        </row>
        <row r="41">
          <cell r="A41" t="str">
            <v>阿根廷</v>
          </cell>
          <cell r="B41">
            <v>2463225</v>
          </cell>
          <cell r="C41">
            <v>3599</v>
          </cell>
        </row>
        <row r="42">
          <cell r="A42" t="str">
            <v>泰國</v>
          </cell>
          <cell r="B42">
            <v>2333946</v>
          </cell>
          <cell r="C42">
            <v>1828</v>
          </cell>
        </row>
        <row r="43">
          <cell r="A43" t="str">
            <v>哥斯大黎加</v>
          </cell>
          <cell r="B43">
            <v>2156102</v>
          </cell>
          <cell r="C43">
            <v>1124</v>
          </cell>
        </row>
        <row r="44">
          <cell r="A44" t="str">
            <v>厄瓜多</v>
          </cell>
          <cell r="B44">
            <v>2150235</v>
          </cell>
          <cell r="C44">
            <v>2050</v>
          </cell>
        </row>
        <row r="45">
          <cell r="A45" t="str">
            <v>阿拉伯聯合大公國</v>
          </cell>
          <cell r="B45">
            <v>2040518</v>
          </cell>
          <cell r="C45">
            <v>1945</v>
          </cell>
        </row>
        <row r="46">
          <cell r="A46" t="str">
            <v>菲律賓</v>
          </cell>
          <cell r="B46">
            <v>2012061</v>
          </cell>
          <cell r="C46">
            <v>3428</v>
          </cell>
        </row>
        <row r="47">
          <cell r="A47" t="str">
            <v>斯洛維尼亞</v>
          </cell>
          <cell r="B47">
            <v>1647256</v>
          </cell>
          <cell r="C47">
            <v>1375</v>
          </cell>
        </row>
        <row r="48">
          <cell r="A48" t="str">
            <v>印度</v>
          </cell>
          <cell r="B48">
            <v>1008060</v>
          </cell>
          <cell r="C48">
            <v>958</v>
          </cell>
        </row>
        <row r="49">
          <cell r="A49" t="str">
            <v>愛爾蘭</v>
          </cell>
          <cell r="B49">
            <v>961724</v>
          </cell>
          <cell r="C49">
            <v>1959</v>
          </cell>
        </row>
        <row r="50">
          <cell r="A50" t="str">
            <v>以色列</v>
          </cell>
          <cell r="B50">
            <v>843374</v>
          </cell>
          <cell r="C50">
            <v>578</v>
          </cell>
        </row>
        <row r="51">
          <cell r="A51" t="str">
            <v>匈牙利</v>
          </cell>
          <cell r="B51">
            <v>820157</v>
          </cell>
          <cell r="C51">
            <v>1021</v>
          </cell>
        </row>
        <row r="52">
          <cell r="A52" t="str">
            <v>越南</v>
          </cell>
          <cell r="B52">
            <v>745654</v>
          </cell>
          <cell r="C52">
            <v>419</v>
          </cell>
        </row>
        <row r="53">
          <cell r="A53" t="str">
            <v>瓜地馬拉</v>
          </cell>
          <cell r="B53">
            <v>688442</v>
          </cell>
          <cell r="C53">
            <v>429</v>
          </cell>
        </row>
        <row r="54">
          <cell r="A54" t="str">
            <v>波多黎各</v>
          </cell>
          <cell r="B54">
            <v>605194</v>
          </cell>
          <cell r="C54">
            <v>405</v>
          </cell>
        </row>
        <row r="55">
          <cell r="A55" t="str">
            <v>關島</v>
          </cell>
          <cell r="B55">
            <v>483729</v>
          </cell>
          <cell r="C55">
            <v>178</v>
          </cell>
        </row>
        <row r="56">
          <cell r="A56" t="str">
            <v>盧森堡</v>
          </cell>
          <cell r="B56">
            <v>426812</v>
          </cell>
          <cell r="C56">
            <v>151</v>
          </cell>
        </row>
        <row r="57">
          <cell r="A57" t="str">
            <v>烏拉圭</v>
          </cell>
          <cell r="B57">
            <v>400319</v>
          </cell>
          <cell r="C57">
            <v>290</v>
          </cell>
        </row>
        <row r="58">
          <cell r="A58" t="str">
            <v>立陶宛</v>
          </cell>
          <cell r="B58">
            <v>357262</v>
          </cell>
          <cell r="C58">
            <v>562</v>
          </cell>
        </row>
        <row r="59">
          <cell r="A59" t="str">
            <v>哈薩克</v>
          </cell>
          <cell r="B59">
            <v>354272</v>
          </cell>
          <cell r="C59">
            <v>208</v>
          </cell>
        </row>
        <row r="60">
          <cell r="A60" t="str">
            <v>克羅埃西亞</v>
          </cell>
          <cell r="B60">
            <v>320084</v>
          </cell>
          <cell r="C60">
            <v>937</v>
          </cell>
        </row>
        <row r="61">
          <cell r="A61" t="str">
            <v>薩爾瓦多</v>
          </cell>
          <cell r="B61">
            <v>315009</v>
          </cell>
          <cell r="C61">
            <v>228</v>
          </cell>
        </row>
        <row r="62">
          <cell r="A62" t="str">
            <v>印尼</v>
          </cell>
          <cell r="B62">
            <v>314519</v>
          </cell>
          <cell r="C62">
            <v>181</v>
          </cell>
        </row>
        <row r="63">
          <cell r="A63" t="str">
            <v>愛沙尼亞</v>
          </cell>
          <cell r="B63">
            <v>310511</v>
          </cell>
          <cell r="C63">
            <v>918</v>
          </cell>
        </row>
        <row r="64">
          <cell r="A64" t="str">
            <v>秘魯</v>
          </cell>
          <cell r="B64">
            <v>288478</v>
          </cell>
          <cell r="C64">
            <v>144</v>
          </cell>
        </row>
        <row r="65">
          <cell r="A65" t="str">
            <v>巴拉圭</v>
          </cell>
          <cell r="B65">
            <v>257904</v>
          </cell>
          <cell r="C65">
            <v>118</v>
          </cell>
        </row>
        <row r="66">
          <cell r="A66" t="str">
            <v>模里西斯</v>
          </cell>
          <cell r="B66">
            <v>246237</v>
          </cell>
          <cell r="C66">
            <v>176</v>
          </cell>
        </row>
        <row r="67">
          <cell r="A67" t="str">
            <v>多明尼加</v>
          </cell>
          <cell r="B67">
            <v>241281</v>
          </cell>
          <cell r="C67">
            <v>201</v>
          </cell>
        </row>
        <row r="68">
          <cell r="A68" t="str">
            <v>拉脫維亞</v>
          </cell>
          <cell r="B68">
            <v>180060</v>
          </cell>
          <cell r="C68">
            <v>332</v>
          </cell>
        </row>
        <row r="69">
          <cell r="A69" t="str">
            <v>柬埔寨</v>
          </cell>
          <cell r="B69">
            <v>168222</v>
          </cell>
          <cell r="C69">
            <v>85</v>
          </cell>
        </row>
        <row r="70">
          <cell r="A70" t="str">
            <v>奧地利</v>
          </cell>
          <cell r="B70">
            <v>149544</v>
          </cell>
          <cell r="C70">
            <v>65</v>
          </cell>
        </row>
        <row r="71">
          <cell r="A71" t="str">
            <v>土耳其</v>
          </cell>
          <cell r="B71">
            <v>148055</v>
          </cell>
          <cell r="C71">
            <v>104</v>
          </cell>
        </row>
        <row r="72">
          <cell r="A72" t="str">
            <v>芬蘭</v>
          </cell>
          <cell r="B72">
            <v>113125</v>
          </cell>
          <cell r="C72">
            <v>177</v>
          </cell>
        </row>
        <row r="73">
          <cell r="A73" t="str">
            <v>肯亞</v>
          </cell>
          <cell r="B73">
            <v>104251</v>
          </cell>
          <cell r="C73">
            <v>62</v>
          </cell>
        </row>
        <row r="74">
          <cell r="A74" t="str">
            <v>吉爾吉斯</v>
          </cell>
          <cell r="B74">
            <v>95032</v>
          </cell>
          <cell r="C74">
            <v>35</v>
          </cell>
        </row>
        <row r="75">
          <cell r="A75" t="str">
            <v>沙烏地阿拉伯</v>
          </cell>
          <cell r="B75">
            <v>74164</v>
          </cell>
          <cell r="C75">
            <v>400</v>
          </cell>
        </row>
        <row r="76">
          <cell r="A76" t="str">
            <v>尼泊爾</v>
          </cell>
          <cell r="B76">
            <v>67349</v>
          </cell>
          <cell r="C76">
            <v>42</v>
          </cell>
        </row>
        <row r="77">
          <cell r="A77" t="str">
            <v>烏克蘭</v>
          </cell>
          <cell r="B77">
            <v>63160</v>
          </cell>
          <cell r="C77">
            <v>151</v>
          </cell>
        </row>
        <row r="78">
          <cell r="A78" t="str">
            <v>葡萄牙</v>
          </cell>
          <cell r="B78">
            <v>55265</v>
          </cell>
          <cell r="C78">
            <v>24</v>
          </cell>
        </row>
        <row r="79">
          <cell r="A79" t="str">
            <v>留尼旺</v>
          </cell>
          <cell r="B79">
            <v>49075</v>
          </cell>
          <cell r="C79">
            <v>34</v>
          </cell>
        </row>
        <row r="80">
          <cell r="A80" t="str">
            <v>蒙古</v>
          </cell>
          <cell r="B80">
            <v>45138</v>
          </cell>
          <cell r="C80">
            <v>39</v>
          </cell>
        </row>
        <row r="81">
          <cell r="A81" t="str">
            <v>阿魯巴</v>
          </cell>
          <cell r="B81">
            <v>40092</v>
          </cell>
          <cell r="C81">
            <v>25</v>
          </cell>
        </row>
        <row r="82">
          <cell r="A82" t="str">
            <v>卡達</v>
          </cell>
          <cell r="B82">
            <v>35476</v>
          </cell>
          <cell r="C82">
            <v>33</v>
          </cell>
        </row>
        <row r="83">
          <cell r="A83" t="str">
            <v>委內瑞拉</v>
          </cell>
          <cell r="B83">
            <v>29720</v>
          </cell>
          <cell r="C83">
            <v>24</v>
          </cell>
        </row>
        <row r="84">
          <cell r="A84" t="str">
            <v>甘比亞</v>
          </cell>
          <cell r="B84">
            <v>28320</v>
          </cell>
          <cell r="C84">
            <v>564</v>
          </cell>
        </row>
        <row r="85">
          <cell r="A85" t="str">
            <v>保加利亞</v>
          </cell>
          <cell r="B85">
            <v>19564</v>
          </cell>
          <cell r="C85">
            <v>110</v>
          </cell>
        </row>
        <row r="86">
          <cell r="A86" t="str">
            <v>法屬玻里尼西亞</v>
          </cell>
          <cell r="B86">
            <v>18330</v>
          </cell>
          <cell r="C86">
            <v>100</v>
          </cell>
        </row>
        <row r="87">
          <cell r="A87" t="str">
            <v>賽普勒斯</v>
          </cell>
          <cell r="B87">
            <v>17159</v>
          </cell>
          <cell r="C87">
            <v>128</v>
          </cell>
        </row>
        <row r="88">
          <cell r="A88" t="str">
            <v>黎巴嫩</v>
          </cell>
          <cell r="B88">
            <v>10743</v>
          </cell>
          <cell r="C88">
            <v>24</v>
          </cell>
        </row>
        <row r="89">
          <cell r="A89" t="str">
            <v>阿曼</v>
          </cell>
          <cell r="B89">
            <v>7274</v>
          </cell>
          <cell r="C89">
            <v>5</v>
          </cell>
        </row>
        <row r="90">
          <cell r="A90" t="str">
            <v>冰島</v>
          </cell>
          <cell r="B90">
            <v>6535</v>
          </cell>
          <cell r="C90">
            <v>4</v>
          </cell>
        </row>
        <row r="91">
          <cell r="A91" t="str">
            <v>希臘</v>
          </cell>
          <cell r="B91">
            <v>5233</v>
          </cell>
          <cell r="C91">
            <v>34</v>
          </cell>
        </row>
        <row r="92">
          <cell r="A92" t="str">
            <v>蘇利南</v>
          </cell>
          <cell r="B92">
            <v>5147</v>
          </cell>
          <cell r="C92">
            <v>2</v>
          </cell>
        </row>
        <row r="93">
          <cell r="A93" t="str">
            <v>馬紹爾群島共和國</v>
          </cell>
          <cell r="B93">
            <v>781</v>
          </cell>
          <cell r="C93">
            <v>10</v>
          </cell>
        </row>
        <row r="94">
          <cell r="A94" t="str">
            <v>史瓦帝尼王國</v>
          </cell>
          <cell r="B94">
            <v>338</v>
          </cell>
          <cell r="C94">
            <v>4</v>
          </cell>
        </row>
        <row r="95">
          <cell r="A95" t="str">
            <v>馬達加斯加</v>
          </cell>
          <cell r="B95">
            <v>312</v>
          </cell>
          <cell r="C95">
            <v>1</v>
          </cell>
        </row>
        <row r="96">
          <cell r="A96" t="str">
            <v>象牙海岸</v>
          </cell>
          <cell r="B96">
            <v>281</v>
          </cell>
          <cell r="C96">
            <v>55</v>
          </cell>
        </row>
        <row r="97">
          <cell r="A97" t="str">
            <v>多哥</v>
          </cell>
          <cell r="B97">
            <v>219</v>
          </cell>
          <cell r="C97">
            <v>14</v>
          </cell>
        </row>
        <row r="98">
          <cell r="A98" t="str">
            <v>塞內加爾</v>
          </cell>
          <cell r="B98">
            <v>156</v>
          </cell>
          <cell r="C98">
            <v>6</v>
          </cell>
        </row>
        <row r="99">
          <cell r="A99" t="str">
            <v>坦尚尼亞</v>
          </cell>
          <cell r="B99">
            <v>125</v>
          </cell>
          <cell r="C99">
            <v>1</v>
          </cell>
        </row>
        <row r="100">
          <cell r="A100" t="str">
            <v>伊拉克</v>
          </cell>
          <cell r="B100">
            <v>96</v>
          </cell>
          <cell r="C100">
            <v>3</v>
          </cell>
        </row>
        <row r="101">
          <cell r="A101" t="str">
            <v>約旦</v>
          </cell>
          <cell r="B101">
            <v>62</v>
          </cell>
          <cell r="C101">
            <v>3</v>
          </cell>
        </row>
        <row r="102">
          <cell r="A102" t="str">
            <v>帛琉</v>
          </cell>
          <cell r="B102">
            <v>62</v>
          </cell>
          <cell r="C102">
            <v>1</v>
          </cell>
        </row>
        <row r="103">
          <cell r="A103" t="str">
            <v>迦納</v>
          </cell>
          <cell r="B103">
            <v>32</v>
          </cell>
          <cell r="C103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試算"/>
      <sheetName val="整車出口比較"/>
      <sheetName val="整車進口"/>
      <sheetName val="整車進口試算"/>
      <sheetName val="折疊車出口"/>
      <sheetName val="折疊車出口試算"/>
      <sheetName val="折疊車出口比較"/>
      <sheetName val="台灣--中國"/>
      <sheetName val="台灣出口至中國試算"/>
      <sheetName val="台灣出口至中國"/>
      <sheetName val="台灣自中國進口試算"/>
      <sheetName val="台灣自中國進口"/>
      <sheetName val="電動輔助自行車"/>
      <sheetName val="電動車輔助自行車試算"/>
      <sheetName val="電動輔助自行車比較"/>
      <sheetName val="零件進出口"/>
      <sheetName val="零件進出口試算表"/>
      <sheetName val="零件出口比較"/>
      <sheetName val="零件進口比較"/>
      <sheetName val="平均單價"/>
      <sheetName val="數量 "/>
      <sheetName val="金額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8">
          <cell r="A18" t="str">
            <v>2018年</v>
          </cell>
          <cell r="N18">
            <v>1102826</v>
          </cell>
        </row>
      </sheetData>
      <sheetData sheetId="22" refreshError="1">
        <row r="18">
          <cell r="B18">
            <v>51492860</v>
          </cell>
          <cell r="N18">
            <v>595049608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3460948</v>
          </cell>
          <cell r="C10">
            <v>19268</v>
          </cell>
        </row>
        <row r="11">
          <cell r="A11" t="str">
            <v>中國大陸</v>
          </cell>
          <cell r="B11">
            <v>2301236</v>
          </cell>
          <cell r="C11">
            <v>16341</v>
          </cell>
        </row>
        <row r="12">
          <cell r="A12" t="str">
            <v>中華民國</v>
          </cell>
          <cell r="B12">
            <v>624722</v>
          </cell>
          <cell r="C12">
            <v>475</v>
          </cell>
        </row>
        <row r="13">
          <cell r="A13" t="str">
            <v>柬埔寨</v>
          </cell>
          <cell r="B13">
            <v>155790</v>
          </cell>
          <cell r="C13">
            <v>108</v>
          </cell>
        </row>
        <row r="14">
          <cell r="A14" t="str">
            <v>義大利</v>
          </cell>
          <cell r="B14">
            <v>144113</v>
          </cell>
          <cell r="C14">
            <v>28</v>
          </cell>
        </row>
        <row r="15">
          <cell r="A15" t="str">
            <v>德國</v>
          </cell>
          <cell r="B15">
            <v>78564</v>
          </cell>
          <cell r="C15">
            <v>15</v>
          </cell>
        </row>
        <row r="16">
          <cell r="A16" t="str">
            <v>澳大利亞</v>
          </cell>
          <cell r="B16">
            <v>43636</v>
          </cell>
          <cell r="C16">
            <v>8</v>
          </cell>
        </row>
        <row r="17">
          <cell r="A17" t="str">
            <v>孟加拉</v>
          </cell>
          <cell r="B17">
            <v>41499</v>
          </cell>
          <cell r="C17">
            <v>310</v>
          </cell>
        </row>
        <row r="18">
          <cell r="A18" t="str">
            <v>捷克</v>
          </cell>
          <cell r="B18">
            <v>41340</v>
          </cell>
          <cell r="C18">
            <v>1926</v>
          </cell>
        </row>
        <row r="19">
          <cell r="A19" t="str">
            <v>越南</v>
          </cell>
          <cell r="B19">
            <v>19107</v>
          </cell>
          <cell r="C19">
            <v>25</v>
          </cell>
        </row>
        <row r="20">
          <cell r="A20" t="str">
            <v>奧地利</v>
          </cell>
          <cell r="B20">
            <v>3445</v>
          </cell>
          <cell r="C20">
            <v>1</v>
          </cell>
        </row>
        <row r="21">
          <cell r="A21" t="str">
            <v>英國</v>
          </cell>
          <cell r="B21">
            <v>3285</v>
          </cell>
          <cell r="C21">
            <v>7</v>
          </cell>
        </row>
        <row r="22">
          <cell r="A22" t="str">
            <v>日本</v>
          </cell>
          <cell r="B22">
            <v>2680</v>
          </cell>
          <cell r="C22">
            <v>17</v>
          </cell>
        </row>
        <row r="23">
          <cell r="A23" t="str">
            <v>美國</v>
          </cell>
          <cell r="B23">
            <v>1307</v>
          </cell>
          <cell r="C23">
            <v>5</v>
          </cell>
        </row>
        <row r="24">
          <cell r="A24" t="str">
            <v>加拿大</v>
          </cell>
          <cell r="B24">
            <v>128</v>
          </cell>
          <cell r="C24">
            <v>1</v>
          </cell>
        </row>
        <row r="25">
          <cell r="A25" t="str">
            <v>瑞士</v>
          </cell>
          <cell r="B25">
            <v>96</v>
          </cell>
          <cell r="C25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28684944</v>
          </cell>
          <cell r="C10">
            <v>194056</v>
          </cell>
        </row>
        <row r="11">
          <cell r="A11" t="str">
            <v>中國大陸</v>
          </cell>
          <cell r="B11">
            <v>22446299</v>
          </cell>
          <cell r="C11">
            <v>186379</v>
          </cell>
        </row>
        <row r="12">
          <cell r="A12" t="str">
            <v>越南</v>
          </cell>
          <cell r="B12">
            <v>1808598</v>
          </cell>
          <cell r="C12">
            <v>2233</v>
          </cell>
        </row>
        <row r="13">
          <cell r="A13" t="str">
            <v>中華民國</v>
          </cell>
          <cell r="B13">
            <v>1396543</v>
          </cell>
          <cell r="C13">
            <v>860</v>
          </cell>
        </row>
        <row r="14">
          <cell r="A14" t="str">
            <v>英國</v>
          </cell>
          <cell r="B14">
            <v>680265</v>
          </cell>
          <cell r="C14">
            <v>402</v>
          </cell>
        </row>
        <row r="15">
          <cell r="A15" t="str">
            <v>柬埔寨</v>
          </cell>
          <cell r="B15">
            <v>624505</v>
          </cell>
          <cell r="C15">
            <v>1004</v>
          </cell>
        </row>
        <row r="16">
          <cell r="A16" t="str">
            <v>德國</v>
          </cell>
          <cell r="B16">
            <v>624453</v>
          </cell>
          <cell r="C16">
            <v>116</v>
          </cell>
        </row>
        <row r="17">
          <cell r="A17" t="str">
            <v>義大利</v>
          </cell>
          <cell r="B17">
            <v>538771</v>
          </cell>
          <cell r="C17">
            <v>137</v>
          </cell>
        </row>
        <row r="18">
          <cell r="A18" t="str">
            <v>法國</v>
          </cell>
          <cell r="B18">
            <v>165407</v>
          </cell>
          <cell r="C18">
            <v>36</v>
          </cell>
        </row>
        <row r="19">
          <cell r="A19" t="str">
            <v>澳大利亞</v>
          </cell>
          <cell r="B19">
            <v>96618</v>
          </cell>
          <cell r="C19">
            <v>11</v>
          </cell>
        </row>
        <row r="20">
          <cell r="A20" t="str">
            <v>孟加拉</v>
          </cell>
          <cell r="B20">
            <v>90204</v>
          </cell>
          <cell r="C20">
            <v>749</v>
          </cell>
        </row>
        <row r="21">
          <cell r="A21" t="str">
            <v>美國</v>
          </cell>
          <cell r="B21">
            <v>80284</v>
          </cell>
          <cell r="C21">
            <v>53</v>
          </cell>
        </row>
        <row r="22">
          <cell r="A22" t="str">
            <v>捷克</v>
          </cell>
          <cell r="B22">
            <v>41340</v>
          </cell>
          <cell r="C22">
            <v>1926</v>
          </cell>
        </row>
        <row r="23">
          <cell r="A23" t="str">
            <v>西班牙</v>
          </cell>
          <cell r="B23">
            <v>29294</v>
          </cell>
          <cell r="C23">
            <v>18</v>
          </cell>
        </row>
        <row r="24">
          <cell r="A24" t="str">
            <v>日本</v>
          </cell>
          <cell r="B24">
            <v>20362</v>
          </cell>
          <cell r="C24">
            <v>104</v>
          </cell>
        </row>
        <row r="25">
          <cell r="A25" t="str">
            <v>加拿大</v>
          </cell>
          <cell r="B25">
            <v>9406</v>
          </cell>
          <cell r="C25">
            <v>3</v>
          </cell>
        </row>
        <row r="26">
          <cell r="A26" t="str">
            <v>印尼</v>
          </cell>
          <cell r="B26">
            <v>8947</v>
          </cell>
          <cell r="C26">
            <v>9</v>
          </cell>
        </row>
        <row r="27">
          <cell r="A27" t="str">
            <v>奧地利</v>
          </cell>
          <cell r="B27">
            <v>6760</v>
          </cell>
          <cell r="C27">
            <v>2</v>
          </cell>
        </row>
        <row r="28">
          <cell r="A28" t="str">
            <v>荷蘭</v>
          </cell>
          <cell r="B28">
            <v>5329</v>
          </cell>
          <cell r="C28">
            <v>1</v>
          </cell>
        </row>
        <row r="29">
          <cell r="A29" t="str">
            <v>丹麥</v>
          </cell>
          <cell r="B29">
            <v>4867</v>
          </cell>
          <cell r="C29">
            <v>3</v>
          </cell>
        </row>
        <row r="30">
          <cell r="A30" t="str">
            <v>新加坡</v>
          </cell>
          <cell r="B30">
            <v>2955</v>
          </cell>
          <cell r="C30">
            <v>1</v>
          </cell>
        </row>
        <row r="31">
          <cell r="A31" t="str">
            <v>瑞士</v>
          </cell>
          <cell r="B31">
            <v>2695</v>
          </cell>
          <cell r="C31">
            <v>2</v>
          </cell>
        </row>
        <row r="32">
          <cell r="A32" t="str">
            <v>喬治亞</v>
          </cell>
          <cell r="B32">
            <v>519</v>
          </cell>
          <cell r="C32">
            <v>4</v>
          </cell>
        </row>
        <row r="33">
          <cell r="A33" t="str">
            <v>比利時</v>
          </cell>
          <cell r="B33">
            <v>269</v>
          </cell>
          <cell r="C33">
            <v>1</v>
          </cell>
        </row>
        <row r="34">
          <cell r="A34" t="str">
            <v>瑞典</v>
          </cell>
          <cell r="B34">
            <v>162</v>
          </cell>
          <cell r="C34">
            <v>1</v>
          </cell>
        </row>
        <row r="35">
          <cell r="A35" t="str">
            <v>韓國</v>
          </cell>
          <cell r="B35">
            <v>92</v>
          </cell>
          <cell r="C3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__o�_">
    <pageSetUpPr fitToPage="1"/>
  </sheetPr>
  <dimension ref="A1:I75"/>
  <sheetViews>
    <sheetView topLeftCell="A34" zoomScaleNormal="100" workbookViewId="0">
      <selection activeCell="A69" sqref="A69"/>
    </sheetView>
  </sheetViews>
  <sheetFormatPr defaultRowHeight="16.5"/>
  <cols>
    <col min="1" max="1" width="17.25" customWidth="1"/>
    <col min="2" max="2" width="12.125" customWidth="1"/>
    <col min="3" max="3" width="12.625" customWidth="1"/>
    <col min="4" max="4" width="13.125" customWidth="1"/>
    <col min="5" max="5" width="13.375" customWidth="1"/>
    <col min="6" max="6" width="8.875" customWidth="1"/>
    <col min="7" max="7" width="13.875" customWidth="1"/>
    <col min="8" max="8" width="11.5" customWidth="1"/>
    <col min="9" max="9" width="12.625" customWidth="1"/>
    <col min="15" max="15" width="8.875" customWidth="1"/>
  </cols>
  <sheetData>
    <row r="1" spans="1:9" ht="19.5">
      <c r="A1" s="1" t="s">
        <v>504</v>
      </c>
      <c r="B1" s="1"/>
      <c r="C1" s="1"/>
      <c r="D1" s="2"/>
      <c r="E1" s="1"/>
      <c r="F1" s="1"/>
      <c r="G1" s="1"/>
      <c r="H1" s="1"/>
      <c r="I1" s="2"/>
    </row>
    <row r="2" spans="1:9" ht="7.5" customHeight="1">
      <c r="A2" s="3"/>
      <c r="B2" s="4"/>
      <c r="C2" s="4"/>
      <c r="D2" s="5"/>
      <c r="E2" s="4"/>
      <c r="F2" s="4"/>
      <c r="G2" s="4"/>
      <c r="H2" s="4"/>
      <c r="I2" s="5"/>
    </row>
    <row r="3" spans="1:9">
      <c r="A3" s="759" t="s">
        <v>0</v>
      </c>
      <c r="B3" s="760"/>
      <c r="C3" s="760"/>
      <c r="D3" s="760"/>
      <c r="E3" s="760"/>
      <c r="F3" s="760"/>
      <c r="G3" s="760"/>
      <c r="H3" s="760"/>
      <c r="I3" s="761"/>
    </row>
    <row r="4" spans="1:9" ht="19.5">
      <c r="A4" s="6" t="s">
        <v>505</v>
      </c>
      <c r="B4" s="7" t="s">
        <v>506</v>
      </c>
      <c r="C4" s="7" t="s">
        <v>507</v>
      </c>
      <c r="D4" s="8" t="s">
        <v>1</v>
      </c>
      <c r="E4" s="9" t="s">
        <v>508</v>
      </c>
      <c r="F4" s="10" t="s">
        <v>2</v>
      </c>
      <c r="G4" s="9" t="s">
        <v>509</v>
      </c>
      <c r="H4" s="10" t="s">
        <v>2</v>
      </c>
      <c r="I4" s="11" t="s">
        <v>410</v>
      </c>
    </row>
    <row r="5" spans="1:9">
      <c r="A5" s="12"/>
      <c r="B5" s="12" t="s">
        <v>3</v>
      </c>
      <c r="C5" s="6" t="s">
        <v>4</v>
      </c>
      <c r="D5" s="8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3" t="s">
        <v>4</v>
      </c>
    </row>
    <row r="6" spans="1:9">
      <c r="A6" s="14" t="s">
        <v>6</v>
      </c>
      <c r="B6" s="15"/>
      <c r="C6" s="16"/>
      <c r="D6" s="17"/>
      <c r="E6" s="16"/>
      <c r="F6" s="16"/>
      <c r="G6" s="16"/>
      <c r="H6" s="16"/>
      <c r="I6" s="18"/>
    </row>
    <row r="7" spans="1:9">
      <c r="A7" s="19" t="s">
        <v>7</v>
      </c>
      <c r="B7" s="20">
        <f>SUM(B8:B10)</f>
        <v>20180</v>
      </c>
      <c r="C7" s="21">
        <f>SUM(C8:C10)</f>
        <v>13806888</v>
      </c>
      <c r="D7" s="27">
        <f t="shared" ref="D7:D10" si="0">IF(B7,C7/B7,0)</f>
        <v>684.18671952428144</v>
      </c>
      <c r="E7" s="20">
        <f>SUM(E8:E10)</f>
        <v>282964</v>
      </c>
      <c r="F7" s="22">
        <f>E7/$E$67</f>
        <v>0.40936953411292226</v>
      </c>
      <c r="G7" s="21">
        <f>SUM(G8:G10)</f>
        <v>238981356</v>
      </c>
      <c r="H7" s="22">
        <f>G7/$G$67</f>
        <v>0.32170226675302871</v>
      </c>
      <c r="I7" s="23">
        <f>IF(E7,G7/E7,0)</f>
        <v>844.564524109074</v>
      </c>
    </row>
    <row r="8" spans="1:9">
      <c r="A8" s="24" t="s">
        <v>319</v>
      </c>
      <c r="B8" s="25">
        <f>VLOOKUP(A8,[1]進出口值表查詢結果!$A$10:$C$62,3,0)</f>
        <v>19091</v>
      </c>
      <c r="C8" s="26">
        <f>VLOOKUP(A8,[1]進出口值表查詢結果!$A$10:$C$62,2,0)</f>
        <v>12284720</v>
      </c>
      <c r="D8" s="27">
        <f t="shared" si="0"/>
        <v>643.48226913205178</v>
      </c>
      <c r="E8" s="25">
        <f>VLOOKUP(A8,[2]進出口值表查詢結果!$A$10:$C$95,3,0)</f>
        <v>259594</v>
      </c>
      <c r="F8" s="28">
        <f>E8/$E$67</f>
        <v>0.37555969960316482</v>
      </c>
      <c r="G8" s="26">
        <f>VLOOKUP(A8,[2]進出口值表查詢結果!$A$10:$C$95,2,0)</f>
        <v>206535833</v>
      </c>
      <c r="H8" s="28">
        <f>G8/$G$67</f>
        <v>0.27802606342992292</v>
      </c>
      <c r="I8" s="23">
        <f t="shared" ref="I8:I66" si="1">IF(E8,G8/E8,0)</f>
        <v>795.6109655847207</v>
      </c>
    </row>
    <row r="9" spans="1:9">
      <c r="A9" s="29" t="s">
        <v>8</v>
      </c>
      <c r="B9" s="25">
        <f>VLOOKUP(A9,[1]進出口值表查詢結果!$A$10:$C$62,3,0)</f>
        <v>1037</v>
      </c>
      <c r="C9" s="26">
        <f>VLOOKUP(A9,[1]進出口值表查詢結果!$A$10:$C$62,2,0)</f>
        <v>1449186</v>
      </c>
      <c r="D9" s="27">
        <f t="shared" si="0"/>
        <v>1397.4792671166826</v>
      </c>
      <c r="E9" s="25">
        <f>VLOOKUP(A9,[2]進出口值表查詢結果!$A$10:$C$95,3,0)</f>
        <v>18083</v>
      </c>
      <c r="F9" s="28">
        <f>E9/$E$67</f>
        <v>2.6161028559689475E-2</v>
      </c>
      <c r="G9" s="26">
        <f>VLOOKUP(A9,[2]進出口值表查詢結果!$A$10:$C$95,2,0)</f>
        <v>25207244</v>
      </c>
      <c r="H9" s="28">
        <f>G9/$G$67</f>
        <v>3.3932469332028904E-2</v>
      </c>
      <c r="I9" s="23">
        <f t="shared" si="1"/>
        <v>1393.9746723441906</v>
      </c>
    </row>
    <row r="10" spans="1:9">
      <c r="A10" s="29" t="s">
        <v>9</v>
      </c>
      <c r="B10" s="25">
        <f>VLOOKUP(A10,[1]進出口值表查詢結果!$A$10:$C$62,3,0)</f>
        <v>52</v>
      </c>
      <c r="C10" s="26">
        <f>VLOOKUP(A10,[1]進出口值表查詢結果!$A$10:$C$62,2,0)</f>
        <v>72982</v>
      </c>
      <c r="D10" s="27">
        <f t="shared" si="0"/>
        <v>1403.5</v>
      </c>
      <c r="E10" s="25">
        <f>VLOOKUP(A10,[2]進出口值表查詢結果!$A$10:$C$95,3,0)</f>
        <v>5287</v>
      </c>
      <c r="F10" s="28">
        <f>E10/$E$67</f>
        <v>7.6488059500679235E-3</v>
      </c>
      <c r="G10" s="26">
        <f>VLOOKUP(A10,[2]進出口值表查詢結果!$A$10:$C$95,2,0)</f>
        <v>7238279</v>
      </c>
      <c r="H10" s="28">
        <f>G10/$G$67</f>
        <v>9.7437339910768847E-3</v>
      </c>
      <c r="I10" s="23">
        <f t="shared" si="1"/>
        <v>1369.0711178362019</v>
      </c>
    </row>
    <row r="11" spans="1:9">
      <c r="A11" s="29"/>
      <c r="B11" s="25"/>
      <c r="C11" s="25"/>
      <c r="D11" s="27"/>
      <c r="E11" s="25"/>
      <c r="F11" s="28"/>
      <c r="G11" s="25"/>
      <c r="H11" s="28"/>
      <c r="I11" s="23"/>
    </row>
    <row r="12" spans="1:9">
      <c r="A12" s="30" t="s">
        <v>10</v>
      </c>
      <c r="B12" s="31">
        <f>SUM(B13:B39)</f>
        <v>17741</v>
      </c>
      <c r="C12" s="31">
        <f>SUM(C13:C39)</f>
        <v>25687277</v>
      </c>
      <c r="D12" s="27">
        <f t="shared" ref="D12:D19" si="2">IF(B12,C12/B12,0)</f>
        <v>1447.9046840651597</v>
      </c>
      <c r="E12" s="31">
        <f>SUM(E13:E39)</f>
        <v>194480</v>
      </c>
      <c r="F12" s="22">
        <f t="shared" ref="F12:F39" si="3">E12/$E$67</f>
        <v>0.28135800665201621</v>
      </c>
      <c r="G12" s="31">
        <f>SUM(G13:G39)</f>
        <v>245029220</v>
      </c>
      <c r="H12" s="22">
        <f t="shared" ref="H12:H39" si="4">G12/$G$67</f>
        <v>0.32984353597326876</v>
      </c>
      <c r="I12" s="23">
        <f t="shared" si="1"/>
        <v>1259.9198889345948</v>
      </c>
    </row>
    <row r="13" spans="1:9">
      <c r="A13" s="24" t="s">
        <v>320</v>
      </c>
      <c r="B13" s="25">
        <f>VLOOKUP(A13,[1]進出口值表查詢結果!$A$10:$C$62,3,0)</f>
        <v>8645</v>
      </c>
      <c r="C13" s="26">
        <f>VLOOKUP(A13,[1]進出口值表查詢結果!$A$10:$C$62,2,0)</f>
        <v>14513429</v>
      </c>
      <c r="D13" s="27">
        <f t="shared" si="2"/>
        <v>1678.8234817813766</v>
      </c>
      <c r="E13" s="25">
        <f>VLOOKUP(A13,[2]進出口值表查詢結果!$A$10:$C$95,3,0)</f>
        <v>78308</v>
      </c>
      <c r="F13" s="28">
        <f t="shared" si="3"/>
        <v>0.11328970991827482</v>
      </c>
      <c r="G13" s="26">
        <f>VLOOKUP(A13,[2]進出口值表查詢結果!$A$10:$C$95,2,0)</f>
        <v>120065221</v>
      </c>
      <c r="H13" s="28">
        <f t="shared" si="4"/>
        <v>0.16162454846018759</v>
      </c>
      <c r="I13" s="23">
        <f t="shared" si="1"/>
        <v>1533.2433595545795</v>
      </c>
    </row>
    <row r="14" spans="1:9">
      <c r="A14" s="24" t="s">
        <v>321</v>
      </c>
      <c r="B14" s="25">
        <f>VLOOKUP(A14,[1]進出口值表查詢結果!$A$10:$C$62,3,0)</f>
        <v>2215</v>
      </c>
      <c r="C14" s="26">
        <f>VLOOKUP(A14,[1]進出口值表查詢結果!$A$10:$C$62,2,0)</f>
        <v>2331072</v>
      </c>
      <c r="D14" s="27">
        <f t="shared" si="2"/>
        <v>1052.4027088036116</v>
      </c>
      <c r="E14" s="25">
        <f>VLOOKUP(A14,[2]進出口值表查詢結果!$A$10:$C$95,3,0)</f>
        <v>26917</v>
      </c>
      <c r="F14" s="28">
        <f t="shared" si="3"/>
        <v>3.8941348545106544E-2</v>
      </c>
      <c r="G14" s="26">
        <f>VLOOKUP(A14,[2]進出口值表查詢結果!$A$10:$C$95,2,0)</f>
        <v>22454790</v>
      </c>
      <c r="H14" s="28">
        <f t="shared" si="4"/>
        <v>3.0227282007987442E-2</v>
      </c>
      <c r="I14" s="23">
        <f t="shared" si="1"/>
        <v>834.22335327116696</v>
      </c>
    </row>
    <row r="15" spans="1:9">
      <c r="A15" s="29" t="s">
        <v>13</v>
      </c>
      <c r="B15" s="25">
        <f>VLOOKUP(A15,[1]進出口值表查詢結果!$A$10:$C$62,3,0)</f>
        <v>1218</v>
      </c>
      <c r="C15" s="26">
        <f>VLOOKUP(A15,[1]進出口值表查詢結果!$A$10:$C$62,2,0)</f>
        <v>1778660</v>
      </c>
      <c r="D15" s="27">
        <f t="shared" si="2"/>
        <v>1460.3119868637109</v>
      </c>
      <c r="E15" s="25">
        <f>VLOOKUP(A15,[2]進出口值表查詢結果!$A$10:$C$95,3,0)</f>
        <v>13143</v>
      </c>
      <c r="F15" s="28">
        <f t="shared" si="3"/>
        <v>1.9014234273074093E-2</v>
      </c>
      <c r="G15" s="26">
        <f>VLOOKUP(A15,[2]進出口值表查詢結果!$A$10:$C$95,2,0)</f>
        <v>20078628</v>
      </c>
      <c r="H15" s="28">
        <f t="shared" si="4"/>
        <v>2.7028636245962346E-2</v>
      </c>
      <c r="I15" s="23">
        <f t="shared" si="1"/>
        <v>1527.7050901620635</v>
      </c>
    </row>
    <row r="16" spans="1:9">
      <c r="A16" s="24" t="s">
        <v>323</v>
      </c>
      <c r="B16" s="25">
        <f>VLOOKUP(A16,[1]進出口值表查詢結果!$A$10:$C$62,3,0)</f>
        <v>1514</v>
      </c>
      <c r="C16" s="26">
        <f>VLOOKUP(A16,[1]進出口值表查詢結果!$A$10:$C$62,2,0)</f>
        <v>2796618</v>
      </c>
      <c r="D16" s="27">
        <f t="shared" si="2"/>
        <v>1847.1717305151915</v>
      </c>
      <c r="E16" s="25">
        <f>VLOOKUP(A16,[2]進出口值表查詢結果!$A$10:$C$95,3,0)</f>
        <v>14035</v>
      </c>
      <c r="F16" s="28">
        <f t="shared" si="3"/>
        <v>2.030470805924027E-2</v>
      </c>
      <c r="G16" s="26">
        <f>VLOOKUP(A16,[2]進出口值表查詢結果!$A$10:$C$95,2,0)</f>
        <v>25776524</v>
      </c>
      <c r="H16" s="28">
        <f t="shared" si="4"/>
        <v>3.46987996829922E-2</v>
      </c>
      <c r="I16" s="23">
        <f t="shared" si="1"/>
        <v>1836.5888136800854</v>
      </c>
    </row>
    <row r="17" spans="1:9">
      <c r="A17" s="29" t="s">
        <v>16</v>
      </c>
      <c r="B17" s="25">
        <f>VLOOKUP(A17,[1]進出口值表查詢結果!$A$10:$C$62,3,0)</f>
        <v>1233</v>
      </c>
      <c r="C17" s="26">
        <f>VLOOKUP(A17,[1]進出口值表查詢結果!$A$10:$C$62,2,0)</f>
        <v>1527304</v>
      </c>
      <c r="D17" s="27">
        <f t="shared" si="2"/>
        <v>1238.6893755068938</v>
      </c>
      <c r="E17" s="25">
        <f>VLOOKUP(A17,[2]進出口值表查詢結果!$A$10:$C$95,3,0)</f>
        <v>9452</v>
      </c>
      <c r="F17" s="28">
        <f t="shared" si="3"/>
        <v>1.36743926309896E-2</v>
      </c>
      <c r="G17" s="26">
        <f>VLOOKUP(A17,[2]進出口值表查詢結果!$A$10:$C$95,2,0)</f>
        <v>12950402</v>
      </c>
      <c r="H17" s="28">
        <f t="shared" si="4"/>
        <v>1.7433048956182827E-2</v>
      </c>
      <c r="I17" s="23">
        <f t="shared" si="1"/>
        <v>1370.1229369445621</v>
      </c>
    </row>
    <row r="18" spans="1:9">
      <c r="A18" s="29" t="s">
        <v>17</v>
      </c>
      <c r="B18" s="25">
        <f>VLOOKUP(A18,[1]進出口值表查詢結果!$A$10:$C$62,3,0)</f>
        <v>633</v>
      </c>
      <c r="C18" s="26">
        <f>VLOOKUP(A18,[1]進出口值表查詢結果!$A$10:$C$62,2,0)</f>
        <v>1371579</v>
      </c>
      <c r="D18" s="27">
        <f t="shared" si="2"/>
        <v>2166.7914691943129</v>
      </c>
      <c r="E18" s="25">
        <f>VLOOKUP(A18,[2]進出口值表查詢結果!$A$10:$C$95,3,0)</f>
        <v>19842</v>
      </c>
      <c r="F18" s="28">
        <f t="shared" si="3"/>
        <v>2.8705808144741392E-2</v>
      </c>
      <c r="G18" s="26">
        <f>VLOOKUP(A18,[2]進出口值表查詢結果!$A$10:$C$95,2,0)</f>
        <v>29633864</v>
      </c>
      <c r="H18" s="28">
        <f t="shared" si="4"/>
        <v>3.9891317804100893E-2</v>
      </c>
      <c r="I18" s="23">
        <f t="shared" si="1"/>
        <v>1493.4917851023083</v>
      </c>
    </row>
    <row r="19" spans="1:9" s="679" customFormat="1">
      <c r="A19" s="24" t="s">
        <v>324</v>
      </c>
      <c r="B19" s="742">
        <v>0</v>
      </c>
      <c r="C19" s="743">
        <v>0</v>
      </c>
      <c r="D19" s="744">
        <f t="shared" si="2"/>
        <v>0</v>
      </c>
      <c r="E19" s="25">
        <f>VLOOKUP(A19,[2]進出口值表查詢結果!$A$10:$C$95,3,0)</f>
        <v>9570</v>
      </c>
      <c r="F19" s="745">
        <f t="shared" si="3"/>
        <v>1.3845105530953286E-2</v>
      </c>
      <c r="G19" s="26">
        <f>VLOOKUP(A19,[2]進出口值表查詢結果!$A$10:$C$95,2,0)</f>
        <v>1284522</v>
      </c>
      <c r="H19" s="745">
        <f t="shared" si="4"/>
        <v>1.7291459300872573E-3</v>
      </c>
      <c r="I19" s="746">
        <f t="shared" si="1"/>
        <v>134.22382445141065</v>
      </c>
    </row>
    <row r="20" spans="1:9">
      <c r="A20" s="29" t="s">
        <v>19</v>
      </c>
      <c r="B20" s="25">
        <v>0</v>
      </c>
      <c r="C20" s="25">
        <f>_xlfn.IFNA(VLOOKUP(A20,[3]進出口值表查詢結果!$C$11:$E$569,3,0),-[4]整車!$B$22)</f>
        <v>0</v>
      </c>
      <c r="D20" s="27">
        <f>IF(B20,C20/B20,0)</f>
        <v>0</v>
      </c>
      <c r="E20" s="25">
        <v>0</v>
      </c>
      <c r="F20" s="28">
        <f t="shared" si="3"/>
        <v>0</v>
      </c>
      <c r="G20" s="26">
        <v>0</v>
      </c>
      <c r="H20" s="28">
        <f t="shared" si="4"/>
        <v>0</v>
      </c>
      <c r="I20" s="23">
        <f t="shared" si="1"/>
        <v>0</v>
      </c>
    </row>
    <row r="21" spans="1:9">
      <c r="A21" s="24" t="s">
        <v>325</v>
      </c>
      <c r="B21" s="25">
        <v>0</v>
      </c>
      <c r="C21" s="25">
        <f>_xlfn.IFNA(VLOOKUP(A21,[3]進出口值表查詢結果!$C$11:$E$569,3,0),-[4]整車!$B$22)</f>
        <v>0</v>
      </c>
      <c r="D21" s="27">
        <f t="shared" ref="D21:D66" si="5">IF(B21,C21/B21,0)</f>
        <v>0</v>
      </c>
      <c r="E21" s="25">
        <f>VLOOKUP(A21,[2]進出口值表查詢結果!$A$10:$C$95,3,0)</f>
        <v>9</v>
      </c>
      <c r="F21" s="28">
        <f t="shared" si="3"/>
        <v>1.3020475420959203E-5</v>
      </c>
      <c r="G21" s="26">
        <f>VLOOKUP(A21,[2]進出口值表查詢結果!$A$10:$C$95,2,0)</f>
        <v>30708</v>
      </c>
      <c r="H21" s="28">
        <f t="shared" si="4"/>
        <v>4.1337254808496467E-5</v>
      </c>
      <c r="I21" s="23">
        <f t="shared" si="1"/>
        <v>3412</v>
      </c>
    </row>
    <row r="22" spans="1:9">
      <c r="A22" s="29" t="s">
        <v>21</v>
      </c>
      <c r="B22" s="25">
        <v>0</v>
      </c>
      <c r="C22" s="25">
        <f>_xlfn.IFNA(VLOOKUP(A22,[3]進出口值表查詢結果!$C$11:$E$569,3,0),-[4]整車!$B$22)</f>
        <v>0</v>
      </c>
      <c r="D22" s="27">
        <f t="shared" si="5"/>
        <v>0</v>
      </c>
      <c r="E22" s="25">
        <f>VLOOKUP(A22,[2]進出口值表查詢結果!$A$10:$C$95,3,0)</f>
        <v>1302</v>
      </c>
      <c r="F22" s="28">
        <f t="shared" si="3"/>
        <v>1.8836287775654316E-3</v>
      </c>
      <c r="G22" s="26">
        <f>VLOOKUP(A22,[2]進出口值表查詢結果!$A$10:$C$95,2,0)</f>
        <v>707764</v>
      </c>
      <c r="H22" s="28">
        <f t="shared" si="4"/>
        <v>9.527491472020546E-4</v>
      </c>
      <c r="I22" s="23">
        <f t="shared" si="1"/>
        <v>543.59754224270353</v>
      </c>
    </row>
    <row r="23" spans="1:9">
      <c r="A23" s="29" t="s">
        <v>22</v>
      </c>
      <c r="B23" s="25">
        <v>0</v>
      </c>
      <c r="C23" s="25">
        <f>_xlfn.IFNA(VLOOKUP(A23,[3]進出口值表查詢結果!$C$11:$E$569,3,0),-[4]整車!$B$22)</f>
        <v>0</v>
      </c>
      <c r="D23" s="27">
        <f t="shared" si="5"/>
        <v>0</v>
      </c>
      <c r="E23" s="25">
        <f>VLOOKUP(A23,[2]進出口值表查詢結果!$A$10:$C$95,3,0)</f>
        <v>244</v>
      </c>
      <c r="F23" s="28">
        <f t="shared" si="3"/>
        <v>3.5299955585711619E-4</v>
      </c>
      <c r="G23" s="26">
        <f>VLOOKUP(A23,[2]進出口值表查詢結果!$A$10:$C$95,2,0)</f>
        <v>629231</v>
      </c>
      <c r="H23" s="28">
        <f t="shared" si="4"/>
        <v>8.4703276606763831E-4</v>
      </c>
      <c r="I23" s="23">
        <f t="shared" si="1"/>
        <v>2578.8155737704919</v>
      </c>
    </row>
    <row r="24" spans="1:9">
      <c r="A24" s="29" t="s">
        <v>23</v>
      </c>
      <c r="B24" s="25">
        <v>0</v>
      </c>
      <c r="C24" s="25">
        <v>0</v>
      </c>
      <c r="D24" s="27">
        <f t="shared" si="5"/>
        <v>0</v>
      </c>
      <c r="E24" s="25">
        <f>VLOOKUP(A24,[2]進出口值表查詢結果!$A$10:$C$95,3,0)</f>
        <v>45</v>
      </c>
      <c r="F24" s="28">
        <f t="shared" si="3"/>
        <v>6.5102377104796013E-5</v>
      </c>
      <c r="G24" s="26">
        <f>VLOOKUP(A24,[2]進出口值表查詢結果!$A$10:$C$95,2,0)</f>
        <v>139164</v>
      </c>
      <c r="H24" s="28">
        <f t="shared" si="4"/>
        <v>1.8733417116613266E-4</v>
      </c>
      <c r="I24" s="23">
        <f t="shared" si="1"/>
        <v>3092.5333333333333</v>
      </c>
    </row>
    <row r="25" spans="1:9">
      <c r="A25" s="24" t="s">
        <v>326</v>
      </c>
      <c r="B25" s="25">
        <v>0</v>
      </c>
      <c r="C25" s="25">
        <f>_xlfn.IFNA(VLOOKUP(A25,[3]進出口值表查詢結果!$C$11:$E$569,3,0),-[4]整車!$B$22)</f>
        <v>0</v>
      </c>
      <c r="D25" s="27">
        <f t="shared" si="5"/>
        <v>0</v>
      </c>
      <c r="E25" s="25">
        <f>VLOOKUP(A25,[2]進出口值表查詢結果!$A$10:$C$95,3,0)</f>
        <v>2534</v>
      </c>
      <c r="F25" s="28">
        <f t="shared" si="3"/>
        <v>3.6659871907456249E-3</v>
      </c>
      <c r="G25" s="26">
        <f>VLOOKUP(A25,[2]進出口值表查詢結果!$A$10:$C$95,2,0)</f>
        <v>709177</v>
      </c>
      <c r="H25" s="28">
        <f t="shared" si="4"/>
        <v>9.5465124245555221E-4</v>
      </c>
      <c r="I25" s="23">
        <f t="shared" si="1"/>
        <v>279.86464088397793</v>
      </c>
    </row>
    <row r="26" spans="1:9">
      <c r="A26" s="24" t="s">
        <v>327</v>
      </c>
      <c r="B26" s="25">
        <v>0</v>
      </c>
      <c r="C26" s="25">
        <f>_xlfn.IFNA(VLOOKUP(A26,[3]進出口值表查詢結果!$C$11:$E$569,3,0),-[4]整車!$B$22)</f>
        <v>0</v>
      </c>
      <c r="D26" s="27">
        <f t="shared" si="5"/>
        <v>0</v>
      </c>
      <c r="E26" s="25">
        <f>VLOOKUP(A26,[2]進出口值表查詢結果!$A$10:$C$95,3,0)</f>
        <v>47</v>
      </c>
      <c r="F26" s="28">
        <f t="shared" si="3"/>
        <v>6.7995816087231404E-5</v>
      </c>
      <c r="G26" s="26">
        <f>VLOOKUP(A26,[2]進出口值表查詢結果!$A$10:$C$95,2,0)</f>
        <v>34288</v>
      </c>
      <c r="H26" s="28">
        <f t="shared" si="4"/>
        <v>4.6156434573196781E-5</v>
      </c>
      <c r="I26" s="23">
        <f t="shared" si="1"/>
        <v>729.531914893617</v>
      </c>
    </row>
    <row r="27" spans="1:9">
      <c r="A27" s="499" t="s">
        <v>328</v>
      </c>
      <c r="B27" s="25">
        <f>VLOOKUP(A27,[1]進出口值表查詢結果!$A$10:$C$62,3,0)</f>
        <v>854</v>
      </c>
      <c r="C27" s="26">
        <f>VLOOKUP(A27,[1]進出口值表查詢結果!$A$10:$C$62,2,0)</f>
        <v>716237</v>
      </c>
      <c r="D27" s="27">
        <f t="shared" si="5"/>
        <v>838.68501170960189</v>
      </c>
      <c r="E27" s="25">
        <f>VLOOKUP(A27,[2]進出口值表查詢結果!$A$10:$C$95,3,0)</f>
        <v>7037</v>
      </c>
      <c r="F27" s="28">
        <f t="shared" si="3"/>
        <v>1.018056505969888E-2</v>
      </c>
      <c r="G27" s="26">
        <f>VLOOKUP(A27,[2]進出口值表查詢結果!$A$10:$C$95,2,0)</f>
        <v>4655636</v>
      </c>
      <c r="H27" s="28">
        <f t="shared" si="4"/>
        <v>6.2671359784945042E-3</v>
      </c>
      <c r="I27" s="23">
        <f t="shared" si="1"/>
        <v>661.59386102032113</v>
      </c>
    </row>
    <row r="28" spans="1:9">
      <c r="A28" s="499" t="s">
        <v>329</v>
      </c>
      <c r="B28" s="25">
        <f>VLOOKUP(A28,[1]進出口值表查詢結果!$A$10:$C$62,3,0)</f>
        <v>781</v>
      </c>
      <c r="C28" s="26">
        <f>VLOOKUP(A28,[1]進出口值表查詢結果!$A$10:$C$62,2,0)</f>
        <v>229028</v>
      </c>
      <c r="D28" s="27">
        <f t="shared" si="5"/>
        <v>293.2496798975672</v>
      </c>
      <c r="E28" s="25">
        <f>VLOOKUP(A28,[2]進出口值表查詢結果!$A$10:$C$95,3,0)</f>
        <v>7769</v>
      </c>
      <c r="F28" s="28">
        <f t="shared" si="3"/>
        <v>1.1239563727270228E-2</v>
      </c>
      <c r="G28" s="26">
        <f>VLOOKUP(A28,[2]進出口值表查詢結果!$A$10:$C$95,2,0)</f>
        <v>3509729</v>
      </c>
      <c r="H28" s="28">
        <f t="shared" si="4"/>
        <v>4.7245851889334859E-3</v>
      </c>
      <c r="I28" s="23">
        <f t="shared" si="1"/>
        <v>451.7607156648217</v>
      </c>
    </row>
    <row r="29" spans="1:9">
      <c r="A29" s="29" t="s">
        <v>26</v>
      </c>
      <c r="B29" s="25">
        <f>VLOOKUP(A29,[1]進出口值表查詢結果!$A$10:$C$62,3,0)</f>
        <v>433</v>
      </c>
      <c r="C29" s="26">
        <f>VLOOKUP(A29,[1]進出口值表查詢結果!$A$10:$C$62,2,0)</f>
        <v>335886</v>
      </c>
      <c r="D29" s="27">
        <f t="shared" si="5"/>
        <v>775.71824480369514</v>
      </c>
      <c r="E29" s="25">
        <f>VLOOKUP(A29,[2]進出口值表查詢結果!$A$10:$C$95,3,0)</f>
        <v>2059</v>
      </c>
      <c r="F29" s="28">
        <f t="shared" si="3"/>
        <v>2.9787954324172225E-3</v>
      </c>
      <c r="G29" s="26">
        <f>VLOOKUP(A29,[2]進出口值表查詢結果!$A$10:$C$95,2,0)</f>
        <v>1331806</v>
      </c>
      <c r="H29" s="28">
        <f t="shared" si="4"/>
        <v>1.7927967948900756E-3</v>
      </c>
      <c r="I29" s="23">
        <f t="shared" si="1"/>
        <v>646.82175813501703</v>
      </c>
    </row>
    <row r="30" spans="1:9">
      <c r="A30" s="29" t="s">
        <v>27</v>
      </c>
      <c r="B30" s="25">
        <v>0</v>
      </c>
      <c r="C30" s="25">
        <f>_xlfn.IFNA(VLOOKUP(A30,[3]進出口值表查詢結果!$C$11:$E$569,3,0),-[4]整車!$B$22)</f>
        <v>0</v>
      </c>
      <c r="D30" s="27">
        <f t="shared" si="5"/>
        <v>0</v>
      </c>
      <c r="E30" s="25">
        <f>VLOOKUP(A30,[2]進出口值表查詢結果!$A$10:$C$95,3,0)</f>
        <v>3</v>
      </c>
      <c r="F30" s="28">
        <f t="shared" si="3"/>
        <v>4.3401584736530683E-6</v>
      </c>
      <c r="G30" s="26">
        <f>VLOOKUP(A30,[2]進出口值表查詢結果!$A$10:$C$95,2,0)</f>
        <v>10302</v>
      </c>
      <c r="H30" s="28">
        <f t="shared" si="4"/>
        <v>1.3867930149704656E-5</v>
      </c>
      <c r="I30" s="23">
        <f t="shared" si="1"/>
        <v>3434</v>
      </c>
    </row>
    <row r="31" spans="1:9">
      <c r="A31" s="29" t="s">
        <v>28</v>
      </c>
      <c r="B31" s="25">
        <v>0</v>
      </c>
      <c r="C31" s="26">
        <v>0</v>
      </c>
      <c r="D31" s="27">
        <f t="shared" si="5"/>
        <v>0</v>
      </c>
      <c r="E31" s="25">
        <f>VLOOKUP(A31,[2]進出口值表查詢結果!$A$10:$C$95,3,0)</f>
        <v>124</v>
      </c>
      <c r="F31" s="28">
        <f t="shared" si="3"/>
        <v>1.7939321691099347E-4</v>
      </c>
      <c r="G31" s="26">
        <f>VLOOKUP(A31,[2]進出口值表查詢結果!$A$10:$C$95,2,0)</f>
        <v>229059</v>
      </c>
      <c r="H31" s="28">
        <f t="shared" si="4"/>
        <v>3.0834539042527654E-4</v>
      </c>
      <c r="I31" s="23">
        <f t="shared" si="1"/>
        <v>1847.25</v>
      </c>
    </row>
    <row r="32" spans="1:9">
      <c r="A32" s="29" t="s">
        <v>29</v>
      </c>
      <c r="B32" s="25">
        <v>0</v>
      </c>
      <c r="C32" s="25">
        <f>_xlfn.IFNA(VLOOKUP(A32,[3]進出口值表查詢結果!$C$11:$E$569,3,0),-[4]整車!$B$22)</f>
        <v>0</v>
      </c>
      <c r="D32" s="27">
        <f t="shared" si="5"/>
        <v>0</v>
      </c>
      <c r="E32" s="25">
        <f>VLOOKUP(A32,[2]進出口值表查詢結果!$A$10:$C$95,3,0)</f>
        <v>245</v>
      </c>
      <c r="F32" s="28">
        <f t="shared" si="3"/>
        <v>3.5444627534833388E-4</v>
      </c>
      <c r="G32" s="26">
        <f>VLOOKUP(A32,[2]進出口值表查詢結果!$A$10:$C$95,2,0)</f>
        <v>57583</v>
      </c>
      <c r="H32" s="28">
        <f t="shared" si="4"/>
        <v>7.7514756533725806E-5</v>
      </c>
      <c r="I32" s="23">
        <f t="shared" si="1"/>
        <v>235.03265306122449</v>
      </c>
    </row>
    <row r="33" spans="1:9">
      <c r="A33" s="29" t="s">
        <v>30</v>
      </c>
      <c r="B33" s="25">
        <v>0</v>
      </c>
      <c r="C33" s="25">
        <v>0</v>
      </c>
      <c r="D33" s="27">
        <f t="shared" si="5"/>
        <v>0</v>
      </c>
      <c r="E33" s="25">
        <f>VLOOKUP(A33,[2]進出口值表查詢結果!$A$10:$C$95,3,0)</f>
        <v>471</v>
      </c>
      <c r="F33" s="28">
        <f t="shared" si="3"/>
        <v>6.8140488036353168E-4</v>
      </c>
      <c r="G33" s="26">
        <f>VLOOKUP(A33,[2]進出口值表查詢結果!$A$10:$C$95,2,0)</f>
        <v>261655</v>
      </c>
      <c r="H33" s="28">
        <f t="shared" si="4"/>
        <v>3.5222415679683284E-4</v>
      </c>
      <c r="I33" s="23">
        <f t="shared" si="1"/>
        <v>555.53078556263267</v>
      </c>
    </row>
    <row r="34" spans="1:9">
      <c r="A34" s="29" t="s">
        <v>31</v>
      </c>
      <c r="B34" s="25">
        <f>VLOOKUP(A34,[1]進出口值表查詢結果!$A$10:$C$62,3,0)</f>
        <v>215</v>
      </c>
      <c r="C34" s="26">
        <f>VLOOKUP(A34,[1]進出口值表查詢結果!$A$10:$C$62,2,0)</f>
        <v>87464</v>
      </c>
      <c r="D34" s="27">
        <f t="shared" si="5"/>
        <v>406.80930232558137</v>
      </c>
      <c r="E34" s="25">
        <f>VLOOKUP(A34,[2]進出口值表查詢結果!$A$10:$C$95,3,0)</f>
        <v>660</v>
      </c>
      <c r="F34" s="28">
        <f t="shared" si="3"/>
        <v>9.5483486420367498E-4</v>
      </c>
      <c r="G34" s="26">
        <f>VLOOKUP(A34,[2]進出口值表查詢結果!$A$10:$C$95,2,0)</f>
        <v>238821</v>
      </c>
      <c r="H34" s="28">
        <f t="shared" si="4"/>
        <v>3.214864051914789E-4</v>
      </c>
      <c r="I34" s="23">
        <f t="shared" si="1"/>
        <v>361.85</v>
      </c>
    </row>
    <row r="35" spans="1:9">
      <c r="A35" s="29" t="s">
        <v>32</v>
      </c>
      <c r="B35" s="25">
        <v>0</v>
      </c>
      <c r="C35" s="25">
        <f>_xlfn.IFNA(VLOOKUP(A35,[3]進出口值表查詢結果!$C$11:$E$569,3,0),-[4]整車!$B$22)</f>
        <v>0</v>
      </c>
      <c r="D35" s="27">
        <f t="shared" si="5"/>
        <v>0</v>
      </c>
      <c r="E35" s="25">
        <f>VLOOKUP(A35,[2]進出口值表查詢結果!$A$10:$C$95,3,0)</f>
        <v>365</v>
      </c>
      <c r="F35" s="28">
        <f t="shared" si="3"/>
        <v>5.2805261429445666E-4</v>
      </c>
      <c r="G35" s="26">
        <f>VLOOKUP(A35,[2]進出口值表查詢結果!$A$10:$C$95,2,0)</f>
        <v>167494</v>
      </c>
      <c r="H35" s="28">
        <f t="shared" si="4"/>
        <v>2.2547030600802092E-4</v>
      </c>
      <c r="I35" s="23">
        <f t="shared" si="1"/>
        <v>458.8876712328767</v>
      </c>
    </row>
    <row r="36" spans="1:9">
      <c r="A36" s="29" t="s">
        <v>33</v>
      </c>
      <c r="B36" s="25">
        <v>0</v>
      </c>
      <c r="C36" s="25">
        <f>_xlfn.IFNA(VLOOKUP(A36,[3]進出口值表查詢結果!$C$11:$E$569,3,0),-[4]整車!$B$22)</f>
        <v>0</v>
      </c>
      <c r="D36" s="27">
        <f t="shared" si="5"/>
        <v>0</v>
      </c>
      <c r="E36" s="25">
        <v>0</v>
      </c>
      <c r="F36" s="28">
        <f t="shared" si="3"/>
        <v>0</v>
      </c>
      <c r="G36" s="26">
        <v>0</v>
      </c>
      <c r="H36" s="28">
        <f t="shared" si="4"/>
        <v>0</v>
      </c>
      <c r="I36" s="23">
        <f t="shared" si="1"/>
        <v>0</v>
      </c>
    </row>
    <row r="37" spans="1:9">
      <c r="A37" s="29" t="s">
        <v>34</v>
      </c>
      <c r="B37" s="25">
        <v>0</v>
      </c>
      <c r="C37" s="26">
        <v>0</v>
      </c>
      <c r="D37" s="27">
        <f t="shared" si="5"/>
        <v>0</v>
      </c>
      <c r="E37" s="25">
        <f>VLOOKUP(A37,[2]進出口值表查詢結果!$A$10:$C$95,3,0)</f>
        <v>3</v>
      </c>
      <c r="F37" s="28">
        <f t="shared" si="3"/>
        <v>4.3401584736530683E-6</v>
      </c>
      <c r="G37" s="26">
        <f>VLOOKUP(A37,[2]進出口值表查詢結果!$A$10:$C$95,2,0)</f>
        <v>581</v>
      </c>
      <c r="H37" s="28">
        <f t="shared" si="4"/>
        <v>7.8210710706449282E-7</v>
      </c>
      <c r="I37" s="23">
        <f t="shared" si="1"/>
        <v>193.66666666666666</v>
      </c>
    </row>
    <row r="38" spans="1:9">
      <c r="A38" s="29" t="s">
        <v>35</v>
      </c>
      <c r="B38" s="25">
        <v>0</v>
      </c>
      <c r="C38" s="25">
        <f>_xlfn.IFNA(VLOOKUP(A38,[3]進出口值表查詢結果!$C$11:$E$569,3,0),-[4]整車!$B$22)</f>
        <v>0</v>
      </c>
      <c r="D38" s="27">
        <f t="shared" si="5"/>
        <v>0</v>
      </c>
      <c r="E38" s="25">
        <f>VLOOKUP(A38,[2]進出口值表查詢結果!$A$10:$C$95,3,0)</f>
        <v>40</v>
      </c>
      <c r="F38" s="28">
        <f t="shared" si="3"/>
        <v>5.7868779648707575E-5</v>
      </c>
      <c r="G38" s="26">
        <f>VLOOKUP(A38,[2]進出口值表查詢結果!$A$10:$C$95,2,0)</f>
        <v>4556</v>
      </c>
      <c r="H38" s="28">
        <f t="shared" si="4"/>
        <v>6.1330120134007387E-6</v>
      </c>
      <c r="I38" s="23">
        <f t="shared" si="1"/>
        <v>113.9</v>
      </c>
    </row>
    <row r="39" spans="1:9">
      <c r="A39" s="29" t="s">
        <v>36</v>
      </c>
      <c r="B39" s="25">
        <v>0</v>
      </c>
      <c r="C39" s="25">
        <f>_xlfn.IFNA(VLOOKUP(A39,[3]進出口值表查詢結果!$C$11:$E$569,3,0),-[4]整車!$B$22)</f>
        <v>0</v>
      </c>
      <c r="D39" s="27">
        <f t="shared" si="5"/>
        <v>0</v>
      </c>
      <c r="E39" s="25">
        <f>VLOOKUP(A39,[2]進出口值表查詢結果!$A$10:$C$95,3,0)</f>
        <v>256</v>
      </c>
      <c r="F39" s="28">
        <f t="shared" si="3"/>
        <v>3.7036018975172846E-4</v>
      </c>
      <c r="G39" s="26">
        <f>VLOOKUP(A39,[2]進出口值表查詢結果!$A$10:$C$95,2,0)</f>
        <v>67715</v>
      </c>
      <c r="H39" s="28">
        <f t="shared" si="4"/>
        <v>9.115384295158714E-5</v>
      </c>
      <c r="I39" s="23">
        <f t="shared" si="1"/>
        <v>264.51171875</v>
      </c>
    </row>
    <row r="40" spans="1:9">
      <c r="A40" s="29"/>
      <c r="B40" s="25"/>
      <c r="C40" s="25"/>
      <c r="D40" s="27"/>
      <c r="E40" s="25"/>
      <c r="F40" s="28"/>
      <c r="G40" s="25"/>
      <c r="H40" s="28"/>
      <c r="I40" s="23"/>
    </row>
    <row r="41" spans="1:9">
      <c r="A41" s="32" t="s">
        <v>37</v>
      </c>
      <c r="B41" s="31">
        <f>SUM(B42:B45)</f>
        <v>1629</v>
      </c>
      <c r="C41" s="31">
        <f>SUM(C42:C45)</f>
        <v>1141339</v>
      </c>
      <c r="D41" s="27">
        <f t="shared" si="5"/>
        <v>700.63781461019028</v>
      </c>
      <c r="E41" s="31">
        <f>SUM(E42:E45)</f>
        <v>13822</v>
      </c>
      <c r="F41" s="22">
        <f>E41/$E$67</f>
        <v>1.99965568076109E-2</v>
      </c>
      <c r="G41" s="31">
        <f>SUM(G42:G45)</f>
        <v>12379631</v>
      </c>
      <c r="H41" s="22">
        <f>G41/$G$67</f>
        <v>1.6664711511077304E-2</v>
      </c>
      <c r="I41" s="23">
        <f t="shared" si="1"/>
        <v>895.64686731297934</v>
      </c>
    </row>
    <row r="42" spans="1:9">
      <c r="A42" s="24" t="s">
        <v>330</v>
      </c>
      <c r="B42" s="25">
        <f>VLOOKUP(A42,[1]進出口值表查詢結果!$A$10:$C$62,3,0)</f>
        <v>194</v>
      </c>
      <c r="C42" s="26">
        <f>VLOOKUP(A42,[1]進出口值表查詢結果!$A$10:$C$62,2,0)</f>
        <v>274066</v>
      </c>
      <c r="D42" s="27">
        <f t="shared" si="5"/>
        <v>1412.7113402061855</v>
      </c>
      <c r="E42" s="25">
        <f>VLOOKUP(A42,[2]進出口值表查詢結果!$A$10:$C$95,3,0)</f>
        <v>4792</v>
      </c>
      <c r="F42" s="28">
        <f>E42/$E$67</f>
        <v>6.9326798019151668E-3</v>
      </c>
      <c r="G42" s="26">
        <f>VLOOKUP(A42,[2]進出口值表查詢結果!$A$10:$C$95,2,0)</f>
        <v>4903845</v>
      </c>
      <c r="H42" s="28">
        <f>G42/$G$67</f>
        <v>6.6012599422421306E-3</v>
      </c>
      <c r="I42" s="23">
        <f t="shared" si="1"/>
        <v>1023.3399415692821</v>
      </c>
    </row>
    <row r="43" spans="1:9">
      <c r="A43" s="24" t="s">
        <v>331</v>
      </c>
      <c r="B43" s="25">
        <f>VLOOKUP(A43,[1]進出口值表查詢結果!$A$10:$C$62,3,0)</f>
        <v>1435</v>
      </c>
      <c r="C43" s="26">
        <f>VLOOKUP(A43,[1]進出口值表查詢結果!$A$10:$C$62,2,0)</f>
        <v>867273</v>
      </c>
      <c r="D43" s="27">
        <f t="shared" si="5"/>
        <v>604.37142857142862</v>
      </c>
      <c r="E43" s="25">
        <f>VLOOKUP(A43,[2]進出口值表查詢結果!$A$10:$C$95,3,0)</f>
        <v>8383</v>
      </c>
      <c r="F43" s="28">
        <f>E43/$E$67</f>
        <v>1.212784949487789E-2</v>
      </c>
      <c r="G43" s="26">
        <f>VLOOKUP(A43,[2]進出口值表查詢結果!$A$10:$C$95,2,0)</f>
        <v>7367842</v>
      </c>
      <c r="H43" s="28">
        <f>G43/$G$67</f>
        <v>9.9181438759522664E-3</v>
      </c>
      <c r="I43" s="23">
        <f t="shared" si="1"/>
        <v>878.90277943456999</v>
      </c>
    </row>
    <row r="44" spans="1:9">
      <c r="A44" s="24" t="s">
        <v>332</v>
      </c>
      <c r="B44" s="25">
        <v>0</v>
      </c>
      <c r="C44" s="25">
        <f>_xlfn.IFNA(VLOOKUP(A44,[3]進出口值表查詢結果!$C$11:$E$629,3,0),-[4]整車!$B$22)</f>
        <v>0</v>
      </c>
      <c r="D44" s="27">
        <f t="shared" si="5"/>
        <v>0</v>
      </c>
      <c r="E44" s="25">
        <f>VLOOKUP(A44,[2]進出口值表查詢結果!$A$10:$C$95,3,0)</f>
        <v>647</v>
      </c>
      <c r="F44" s="28">
        <f>E44/$E$67</f>
        <v>9.3602751081784503E-4</v>
      </c>
      <c r="G44" s="26">
        <f>VLOOKUP(A44,[2]進出口值表查詢結果!$A$10:$C$95,2,0)</f>
        <v>107944</v>
      </c>
      <c r="H44" s="28">
        <f>G44/$G$67</f>
        <v>1.4530769288290812E-4</v>
      </c>
      <c r="I44" s="23">
        <f t="shared" si="1"/>
        <v>166.83771251931995</v>
      </c>
    </row>
    <row r="45" spans="1:9">
      <c r="A45" s="29" t="s">
        <v>41</v>
      </c>
      <c r="B45" s="25">
        <v>0</v>
      </c>
      <c r="C45" s="25">
        <f>_xlfn.IFNA(VLOOKUP(A45,[3]進出口值表查詢結果!$C$11:$E$629,3,0),-[4]整車!$B$22)</f>
        <v>0</v>
      </c>
      <c r="D45" s="27">
        <f t="shared" si="5"/>
        <v>0</v>
      </c>
      <c r="E45" s="25">
        <f>_xlfn.IFNA(VLOOKUP(A45,[5]出!$C$11:$J$116,8,0),-[4]整車!$B$22)</f>
        <v>0</v>
      </c>
      <c r="F45" s="28">
        <f>E45/$E$67</f>
        <v>0</v>
      </c>
      <c r="G45" s="25">
        <f>_xlfn.IFNA(VLOOKUP(A45,[5]出!$C$11:$J$116,4,0),-[4]整車!$B$22)</f>
        <v>0</v>
      </c>
      <c r="H45" s="28">
        <f>G45/$G$67</f>
        <v>0</v>
      </c>
      <c r="I45" s="23">
        <f t="shared" si="1"/>
        <v>0</v>
      </c>
    </row>
    <row r="46" spans="1:9">
      <c r="A46" s="29"/>
      <c r="B46" s="25"/>
      <c r="C46" s="25"/>
      <c r="D46" s="27"/>
      <c r="E46" s="25"/>
      <c r="F46" s="28"/>
      <c r="G46" s="25"/>
      <c r="H46" s="28"/>
      <c r="I46" s="23"/>
    </row>
    <row r="47" spans="1:9">
      <c r="A47" s="32" t="s">
        <v>42</v>
      </c>
      <c r="B47" s="31">
        <f>SUM(B48:B65)</f>
        <v>14021</v>
      </c>
      <c r="C47" s="31">
        <f>SUM(C48:C65)</f>
        <v>16388932</v>
      </c>
      <c r="D47" s="27">
        <f t="shared" si="5"/>
        <v>1168.8846729905142</v>
      </c>
      <c r="E47" s="31">
        <f>SUM(E48:E65)</f>
        <v>184046</v>
      </c>
      <c r="F47" s="22">
        <f t="shared" ref="F47:F67" si="6">E47/$E$67</f>
        <v>0.26626293548065083</v>
      </c>
      <c r="G47" s="31">
        <f>SUM(G48:G65)</f>
        <v>222708706</v>
      </c>
      <c r="H47" s="22">
        <f t="shared" ref="H47:H67" si="7">G47/$G$67</f>
        <v>0.29979700820608718</v>
      </c>
      <c r="I47" s="23">
        <f t="shared" si="1"/>
        <v>1210.0708844527999</v>
      </c>
    </row>
    <row r="48" spans="1:9">
      <c r="A48" s="24" t="s">
        <v>322</v>
      </c>
      <c r="B48" s="25">
        <f>VLOOKUP(A48,[1]進出口值表查詢結果!$A$10:$C$62,3,0)</f>
        <v>4358</v>
      </c>
      <c r="C48" s="26">
        <f>VLOOKUP(A48,[1]進出口值表查詢結果!$A$10:$C$62,2,0)</f>
        <v>4004879</v>
      </c>
      <c r="D48" s="27">
        <f t="shared" si="5"/>
        <v>918.97177604405692</v>
      </c>
      <c r="E48" s="25">
        <f>VLOOKUP(A48,[2]進出口值表查詢結果!$A$10:$C$95,3,0)</f>
        <v>52823</v>
      </c>
      <c r="F48" s="28">
        <f t="shared" si="6"/>
        <v>7.6420063684592004E-2</v>
      </c>
      <c r="G48" s="26">
        <f>VLOOKUP(A48,[2]進出口值表查詢結果!$A$10:$C$95,2,0)</f>
        <v>52383059</v>
      </c>
      <c r="H48" s="28">
        <f t="shared" si="7"/>
        <v>7.0514910040754983E-2</v>
      </c>
      <c r="I48" s="23">
        <f t="shared" si="1"/>
        <v>991.67141207428585</v>
      </c>
    </row>
    <row r="49" spans="1:9">
      <c r="A49" s="24" t="s">
        <v>333</v>
      </c>
      <c r="B49" s="25">
        <f>VLOOKUP(A49,[1]進出口值表查詢結果!$A$10:$C$62,3,0)</f>
        <v>1986</v>
      </c>
      <c r="C49" s="26">
        <f>VLOOKUP(A49,[1]進出口值表查詢結果!$A$10:$C$62,2,0)</f>
        <v>2195821</v>
      </c>
      <c r="D49" s="27">
        <f t="shared" si="5"/>
        <v>1105.6500503524674</v>
      </c>
      <c r="E49" s="25">
        <f>VLOOKUP(A49,[2]進出口值表查詢結果!$A$10:$C$95,3,0)</f>
        <v>16539</v>
      </c>
      <c r="F49" s="28">
        <f t="shared" si="6"/>
        <v>2.3927293665249365E-2</v>
      </c>
      <c r="G49" s="26">
        <f>VLOOKUP(A49,[2]進出口值表查詢結果!$A$10:$C$95,2,0)</f>
        <v>17244852</v>
      </c>
      <c r="H49" s="28">
        <f t="shared" si="7"/>
        <v>2.3213978157444637E-2</v>
      </c>
      <c r="I49" s="23">
        <f t="shared" si="1"/>
        <v>1042.6780337384364</v>
      </c>
    </row>
    <row r="50" spans="1:9">
      <c r="A50" s="522" t="s">
        <v>339</v>
      </c>
      <c r="B50" s="25">
        <f>VLOOKUP(A50,[1]進出口值表查詢結果!$A$10:$C$62,3,0)</f>
        <v>125</v>
      </c>
      <c r="C50" s="26">
        <f>VLOOKUP(A50,[1]進出口值表查詢結果!$A$10:$C$62,2,0)</f>
        <v>211802</v>
      </c>
      <c r="D50" s="27">
        <f t="shared" si="5"/>
        <v>1694.4159999999999</v>
      </c>
      <c r="E50" s="25">
        <f>VLOOKUP(A50,[2]進出口值表查詢結果!$A$10:$C$95,3,0)</f>
        <v>2422</v>
      </c>
      <c r="F50" s="28">
        <f t="shared" si="6"/>
        <v>3.5039546077292438E-3</v>
      </c>
      <c r="G50" s="26">
        <f>VLOOKUP(A50,[2]進出口值表查詢結果!$A$10:$C$95,2,0)</f>
        <v>3118828</v>
      </c>
      <c r="H50" s="28">
        <f t="shared" si="7"/>
        <v>4.1983778735141791E-3</v>
      </c>
      <c r="I50" s="23">
        <f t="shared" si="1"/>
        <v>1287.7076796036333</v>
      </c>
    </row>
    <row r="51" spans="1:9">
      <c r="A51" s="24" t="s">
        <v>334</v>
      </c>
      <c r="B51" s="25">
        <f>VLOOKUP(A51,[1]進出口值表查詢結果!$A$10:$C$62,3,0)</f>
        <v>185</v>
      </c>
      <c r="C51" s="26">
        <f>VLOOKUP(A51,[1]進出口值表查詢結果!$A$10:$C$62,2,0)</f>
        <v>212504</v>
      </c>
      <c r="D51" s="27">
        <f t="shared" si="5"/>
        <v>1148.6702702702703</v>
      </c>
      <c r="E51" s="25">
        <f>VLOOKUP(A51,[2]進出口值表查詢結果!$A$10:$C$95,3,0)</f>
        <v>3230</v>
      </c>
      <c r="F51" s="28">
        <f t="shared" si="6"/>
        <v>4.6729039566331364E-3</v>
      </c>
      <c r="G51" s="26">
        <f>VLOOKUP(A51,[2]進出口值表查詢結果!$A$10:$C$95,2,0)</f>
        <v>6401258</v>
      </c>
      <c r="H51" s="28">
        <f t="shared" si="7"/>
        <v>8.6169868777167657E-3</v>
      </c>
      <c r="I51" s="23">
        <f t="shared" si="1"/>
        <v>1981.8136222910216</v>
      </c>
    </row>
    <row r="52" spans="1:9">
      <c r="A52" s="29" t="s">
        <v>46</v>
      </c>
      <c r="B52" s="25">
        <f>VLOOKUP(A52,[1]進出口值表查詢結果!$A$10:$C$62,3,0)</f>
        <v>18</v>
      </c>
      <c r="C52" s="26">
        <f>VLOOKUP(A52,[1]進出口值表查詢結果!$A$10:$C$62,2,0)</f>
        <v>29984</v>
      </c>
      <c r="D52" s="27">
        <f t="shared" si="5"/>
        <v>1665.7777777777778</v>
      </c>
      <c r="E52" s="25">
        <f>VLOOKUP(A52,[2]進出口值表查詢結果!$A$10:$C$95,3,0)</f>
        <v>3209</v>
      </c>
      <c r="F52" s="28">
        <f t="shared" si="6"/>
        <v>4.6425228473175647E-3</v>
      </c>
      <c r="G52" s="26">
        <f>VLOOKUP(A52,[2]進出口值表查詢結果!$A$10:$C$95,2,0)</f>
        <v>5761360</v>
      </c>
      <c r="H52" s="28">
        <f t="shared" si="7"/>
        <v>7.7555948405457599E-3</v>
      </c>
      <c r="I52" s="23">
        <f t="shared" si="1"/>
        <v>1795.3755063882829</v>
      </c>
    </row>
    <row r="53" spans="1:9">
      <c r="A53" s="24" t="s">
        <v>335</v>
      </c>
      <c r="B53" s="25">
        <f>VLOOKUP(A53,[1]進出口值表查詢結果!$A$10:$C$62,3,0)</f>
        <v>242</v>
      </c>
      <c r="C53" s="26">
        <f>VLOOKUP(A53,[1]進出口值表查詢結果!$A$10:$C$62,2,0)</f>
        <v>458979</v>
      </c>
      <c r="D53" s="27">
        <f t="shared" si="5"/>
        <v>1896.6074380165289</v>
      </c>
      <c r="E53" s="25">
        <f>VLOOKUP(A53,[2]進出口值表查詢結果!$A$10:$C$95,3,0)</f>
        <v>2778</v>
      </c>
      <c r="F53" s="28">
        <f t="shared" si="6"/>
        <v>4.018986746602741E-3</v>
      </c>
      <c r="G53" s="26">
        <f>VLOOKUP(A53,[2]進出口值表查詢結果!$A$10:$C$95,2,0)</f>
        <v>4226470</v>
      </c>
      <c r="H53" s="28">
        <f t="shared" si="7"/>
        <v>5.689418631316466E-3</v>
      </c>
      <c r="I53" s="23">
        <f t="shared" si="1"/>
        <v>1521.407487401008</v>
      </c>
    </row>
    <row r="54" spans="1:9">
      <c r="A54" s="29" t="s">
        <v>48</v>
      </c>
      <c r="B54" s="25">
        <f>VLOOKUP(A54,[1]進出口值表查詢結果!$A$10:$C$62,3,0)</f>
        <v>4895</v>
      </c>
      <c r="C54" s="26">
        <f>VLOOKUP(A54,[1]進出口值表查詢結果!$A$10:$C$62,2,0)</f>
        <v>5183830</v>
      </c>
      <c r="D54" s="27">
        <f t="shared" si="5"/>
        <v>1059.0051072522983</v>
      </c>
      <c r="E54" s="25">
        <f>VLOOKUP(A54,[2]進出口值表查詢結果!$A$10:$C$95,3,0)</f>
        <v>45944</v>
      </c>
      <c r="F54" s="28">
        <f t="shared" si="6"/>
        <v>6.6468080304505517E-2</v>
      </c>
      <c r="G54" s="26">
        <f>VLOOKUP(A54,[2]進出口值表查詢結果!$A$10:$C$95,2,0)</f>
        <v>47256258</v>
      </c>
      <c r="H54" s="28">
        <f t="shared" si="7"/>
        <v>6.3613520198060755E-2</v>
      </c>
      <c r="I54" s="23">
        <f t="shared" si="1"/>
        <v>1028.5621191015148</v>
      </c>
    </row>
    <row r="55" spans="1:9">
      <c r="A55" s="29" t="s">
        <v>49</v>
      </c>
      <c r="B55" s="25">
        <f>VLOOKUP(A55,[1]進出口值表查詢結果!$A$10:$C$62,3,0)</f>
        <v>106</v>
      </c>
      <c r="C55" s="26">
        <f>VLOOKUP(A55,[1]進出口值表查詢結果!$A$10:$C$62,2,0)</f>
        <v>245295</v>
      </c>
      <c r="D55" s="27">
        <f t="shared" si="5"/>
        <v>2314.1037735849059</v>
      </c>
      <c r="E55" s="25">
        <f>VLOOKUP(A55,[2]進出口值表查詢結果!$A$10:$C$95,3,0)</f>
        <v>2583</v>
      </c>
      <c r="F55" s="28">
        <f t="shared" si="6"/>
        <v>3.7368764458152915E-3</v>
      </c>
      <c r="G55" s="26">
        <f>VLOOKUP(A55,[2]進出口值表查詢結果!$A$10:$C$95,2,0)</f>
        <v>2760383</v>
      </c>
      <c r="H55" s="28">
        <f t="shared" si="7"/>
        <v>3.7158608649225577E-3</v>
      </c>
      <c r="I55" s="23">
        <f t="shared" si="1"/>
        <v>1068.6732481610532</v>
      </c>
    </row>
    <row r="56" spans="1:9">
      <c r="A56" s="29" t="s">
        <v>50</v>
      </c>
      <c r="B56" s="25">
        <f>VLOOKUP(A56,[1]進出口值表查詢結果!$A$10:$C$62,3,0)</f>
        <v>219</v>
      </c>
      <c r="C56" s="26">
        <f>VLOOKUP(A56,[1]進出口值表查詢結果!$A$10:$C$62,2,0)</f>
        <v>432122</v>
      </c>
      <c r="D56" s="27">
        <f t="shared" si="5"/>
        <v>1973.1598173515981</v>
      </c>
      <c r="E56" s="25">
        <f>VLOOKUP(A56,[2]進出口值表查詢結果!$A$10:$C$95,3,0)</f>
        <v>25525</v>
      </c>
      <c r="F56" s="28">
        <f t="shared" si="6"/>
        <v>3.6927515013331517E-2</v>
      </c>
      <c r="G56" s="26">
        <f>VLOOKUP(A56,[2]進出口值表查詢結果!$A$10:$C$95,2,0)</f>
        <v>38843549</v>
      </c>
      <c r="H56" s="28">
        <f t="shared" si="7"/>
        <v>5.2288839477638335E-2</v>
      </c>
      <c r="I56" s="23">
        <f t="shared" si="1"/>
        <v>1521.784485798237</v>
      </c>
    </row>
    <row r="57" spans="1:9">
      <c r="A57" s="521" t="s">
        <v>338</v>
      </c>
      <c r="B57" s="25">
        <f>VLOOKUP(A57,[1]進出口值表查詢結果!$A$10:$C$62,3,0)</f>
        <v>41</v>
      </c>
      <c r="C57" s="26">
        <f>VLOOKUP(A57,[1]進出口值表查詢結果!$A$10:$C$62,2,0)</f>
        <v>79649</v>
      </c>
      <c r="D57" s="27">
        <f t="shared" si="5"/>
        <v>1942.6585365853659</v>
      </c>
      <c r="E57" s="25">
        <f>VLOOKUP(A57,[2]進出口值表查詢結果!$A$10:$C$95,3,0)</f>
        <v>8908</v>
      </c>
      <c r="F57" s="28">
        <f t="shared" si="6"/>
        <v>1.2887377227767177E-2</v>
      </c>
      <c r="G57" s="26">
        <f>VLOOKUP(A57,[2]進出口值表查詢結果!$A$10:$C$95,2,0)</f>
        <v>14965490</v>
      </c>
      <c r="H57" s="28">
        <f t="shared" si="7"/>
        <v>2.014563870861032E-2</v>
      </c>
      <c r="I57" s="23">
        <f t="shared" si="1"/>
        <v>1680.0056129321958</v>
      </c>
    </row>
    <row r="58" spans="1:9">
      <c r="A58" s="29" t="s">
        <v>51</v>
      </c>
      <c r="B58" s="25">
        <v>0</v>
      </c>
      <c r="C58" s="25">
        <v>0</v>
      </c>
      <c r="D58" s="27">
        <f t="shared" si="5"/>
        <v>0</v>
      </c>
      <c r="E58" s="25">
        <f>VLOOKUP(A58,[2]進出口值表查詢結果!$A$10:$C$95,3,0)</f>
        <v>1423</v>
      </c>
      <c r="F58" s="28">
        <f t="shared" si="6"/>
        <v>2.0586818360027719E-3</v>
      </c>
      <c r="G58" s="26">
        <f>VLOOKUP(A58,[2]進出口值表查詢結果!$A$10:$C$95,2,0)</f>
        <v>628941</v>
      </c>
      <c r="H58" s="28">
        <f t="shared" si="7"/>
        <v>8.4664238558390561E-4</v>
      </c>
      <c r="I58" s="23">
        <f t="shared" si="1"/>
        <v>441.98243148278283</v>
      </c>
    </row>
    <row r="59" spans="1:9">
      <c r="A59" s="29" t="s">
        <v>52</v>
      </c>
      <c r="B59" s="25">
        <v>0</v>
      </c>
      <c r="C59" s="25">
        <f>_xlfn.IFNA(VLOOKUP(A59,[3]進出口值表查詢結果!$C$11:$E$669,3,0),-[4]整車!$B$22)</f>
        <v>0</v>
      </c>
      <c r="D59" s="27">
        <f t="shared" si="5"/>
        <v>0</v>
      </c>
      <c r="E59" s="25">
        <v>0</v>
      </c>
      <c r="F59" s="28">
        <f t="shared" si="6"/>
        <v>0</v>
      </c>
      <c r="G59" s="26">
        <v>0</v>
      </c>
      <c r="H59" s="28">
        <f t="shared" si="7"/>
        <v>0</v>
      </c>
      <c r="I59" s="23">
        <f t="shared" si="1"/>
        <v>0</v>
      </c>
    </row>
    <row r="60" spans="1:9">
      <c r="A60" s="29" t="s">
        <v>53</v>
      </c>
      <c r="B60" s="25">
        <f>VLOOKUP(A60,[1]進出口值表查詢結果!$A$10:$C$62,3,0)</f>
        <v>351</v>
      </c>
      <c r="C60" s="26">
        <f>VLOOKUP(A60,[1]進出口值表查詢結果!$A$10:$C$62,2,0)</f>
        <v>460764</v>
      </c>
      <c r="D60" s="27">
        <f t="shared" si="5"/>
        <v>1312.7179487179487</v>
      </c>
      <c r="E60" s="25">
        <f>VLOOKUP(A60,[2]進出口值表查詢結果!$A$10:$C$95,3,0)</f>
        <v>6910</v>
      </c>
      <c r="F60" s="28">
        <f t="shared" si="6"/>
        <v>9.9968316843142332E-3</v>
      </c>
      <c r="G60" s="26">
        <f>VLOOKUP(A60,[2]進出口值表查詢結果!$A$10:$C$95,2,0)</f>
        <v>7683762</v>
      </c>
      <c r="H60" s="28">
        <f t="shared" si="7"/>
        <v>1.0343416298093084E-2</v>
      </c>
      <c r="I60" s="23">
        <f t="shared" si="1"/>
        <v>1111.9771345875542</v>
      </c>
    </row>
    <row r="61" spans="1:9">
      <c r="A61" s="499" t="s">
        <v>336</v>
      </c>
      <c r="B61" s="25">
        <f>VLOOKUP(A61,[1]進出口值表查詢結果!$A$10:$C$62,3,0)</f>
        <v>479</v>
      </c>
      <c r="C61" s="26">
        <f>VLOOKUP(A61,[1]進出口值表查詢結果!$A$10:$C$62,2,0)</f>
        <v>999012</v>
      </c>
      <c r="D61" s="27">
        <f t="shared" si="5"/>
        <v>2085.6200417536534</v>
      </c>
      <c r="E61" s="25">
        <f>VLOOKUP(A61,[2]進出口值表查詢結果!$A$10:$C$95,3,0)</f>
        <v>4185</v>
      </c>
      <c r="F61" s="28">
        <f t="shared" si="6"/>
        <v>6.0545210707460299E-3</v>
      </c>
      <c r="G61" s="26">
        <f>VLOOKUP(A61,[2]進出口值表查詢結果!$A$10:$C$95,2,0)</f>
        <v>8550717</v>
      </c>
      <c r="H61" s="28">
        <f t="shared" si="7"/>
        <v>1.1510458754212012E-2</v>
      </c>
      <c r="I61" s="23">
        <f t="shared" si="1"/>
        <v>2043.1820788530465</v>
      </c>
    </row>
    <row r="62" spans="1:9">
      <c r="A62" s="29" t="s">
        <v>54</v>
      </c>
      <c r="B62" s="25">
        <f>VLOOKUP(A62,[1]進出口值表查詢結果!$A$10:$C$62,3,0)</f>
        <v>672</v>
      </c>
      <c r="C62" s="26">
        <f>VLOOKUP(A62,[1]進出口值表查詢結果!$A$10:$C$62,2,0)</f>
        <v>1441053</v>
      </c>
      <c r="D62" s="27">
        <f t="shared" si="5"/>
        <v>2144.4241071428573</v>
      </c>
      <c r="E62" s="25">
        <f>VLOOKUP(A62,[2]進出口值表查詢結果!$A$10:$C$95,3,0)</f>
        <v>4983</v>
      </c>
      <c r="F62" s="28">
        <f t="shared" si="6"/>
        <v>7.2090032247377461E-3</v>
      </c>
      <c r="G62" s="26">
        <f>VLOOKUP(A62,[2]進出口值表查詢結果!$A$10:$C$95,2,0)</f>
        <v>9580287</v>
      </c>
      <c r="H62" s="28">
        <f t="shared" si="7"/>
        <v>1.2896403701235059E-2</v>
      </c>
      <c r="I62" s="23">
        <f t="shared" si="1"/>
        <v>1922.5942203491873</v>
      </c>
    </row>
    <row r="63" spans="1:9">
      <c r="A63" s="520" t="s">
        <v>102</v>
      </c>
      <c r="B63" s="25">
        <f>VLOOKUP(A63,[1]進出口值表查詢結果!$A$10:$C$62,3,0)</f>
        <v>9</v>
      </c>
      <c r="C63" s="26">
        <f>VLOOKUP(A63,[1]進出口值表查詢結果!$A$10:$C$62,2,0)</f>
        <v>22935</v>
      </c>
      <c r="D63" s="27">
        <f t="shared" si="5"/>
        <v>2548.3333333333335</v>
      </c>
      <c r="E63" s="25">
        <f>VLOOKUP(A63,[2]進出口值表查詢結果!$A$10:$C$95,3,0)</f>
        <v>124</v>
      </c>
      <c r="F63" s="28">
        <f t="shared" si="6"/>
        <v>1.7939321691099347E-4</v>
      </c>
      <c r="G63" s="26">
        <f>VLOOKUP(A63,[2]進出口值表查詢結果!$A$10:$C$95,2,0)</f>
        <v>110817</v>
      </c>
      <c r="H63" s="28">
        <f t="shared" si="7"/>
        <v>1.4917515195106006E-4</v>
      </c>
      <c r="I63" s="23">
        <f t="shared" si="1"/>
        <v>893.68548387096769</v>
      </c>
    </row>
    <row r="64" spans="1:9">
      <c r="A64" s="29" t="s">
        <v>55</v>
      </c>
      <c r="B64" s="25">
        <f>VLOOKUP(A64,[1]進出口值表查詢結果!$A$10:$C$62,3,0)</f>
        <v>68</v>
      </c>
      <c r="C64" s="26">
        <f>VLOOKUP(A64,[1]進出口值表查詢結果!$A$10:$C$62,2,0)</f>
        <v>160030</v>
      </c>
      <c r="D64" s="27">
        <f t="shared" si="5"/>
        <v>2353.3823529411766</v>
      </c>
      <c r="E64" s="25">
        <f>VLOOKUP(A64,[2]進出口值表查詢結果!$A$10:$C$95,3,0)</f>
        <v>547</v>
      </c>
      <c r="F64" s="28">
        <f t="shared" si="6"/>
        <v>7.9135556169607603E-4</v>
      </c>
      <c r="G64" s="26">
        <f>VLOOKUP(A64,[2]進出口值表查詢結果!$A$10:$C$95,2,0)</f>
        <v>1099466</v>
      </c>
      <c r="H64" s="28">
        <f t="shared" si="7"/>
        <v>1.4800347204402232E-3</v>
      </c>
      <c r="I64" s="23">
        <f t="shared" si="1"/>
        <v>2009.9926873857405</v>
      </c>
    </row>
    <row r="65" spans="1:9">
      <c r="A65" s="520" t="s">
        <v>337</v>
      </c>
      <c r="B65" s="25">
        <f>VLOOKUP(A65,[1]進出口值表查詢結果!$A$10:$C$62,3,0)</f>
        <v>267</v>
      </c>
      <c r="C65" s="26">
        <f>VLOOKUP(A65,[1]進出口值表查詢結果!$A$10:$C$62,2,0)</f>
        <v>250273</v>
      </c>
      <c r="D65" s="27">
        <f t="shared" si="5"/>
        <v>937.35205992509361</v>
      </c>
      <c r="E65" s="25">
        <f>VLOOKUP(A65,[2]進出口值表查詢結果!$A$10:$C$95,3,0)</f>
        <v>1913</v>
      </c>
      <c r="F65" s="28">
        <f t="shared" si="6"/>
        <v>2.7675743866994395E-3</v>
      </c>
      <c r="G65" s="26">
        <f>VLOOKUP(A65,[2]進出口值表查詢結果!$A$10:$C$95,2,0)</f>
        <v>2093209</v>
      </c>
      <c r="H65" s="28">
        <f t="shared" si="7"/>
        <v>2.8177515240470912E-3</v>
      </c>
      <c r="I65" s="23">
        <f t="shared" si="1"/>
        <v>1094.2023000522738</v>
      </c>
    </row>
    <row r="66" spans="1:9">
      <c r="A66" s="29" t="s">
        <v>56</v>
      </c>
      <c r="B66" s="25">
        <f>B67-B7-B12-B41-B47</f>
        <v>1941</v>
      </c>
      <c r="C66" s="25">
        <f>C67-C47-C41-C12-C7</f>
        <v>4113720</v>
      </c>
      <c r="D66" s="27">
        <f t="shared" si="5"/>
        <v>2119.3817619783617</v>
      </c>
      <c r="E66" s="25">
        <f>E67-E47-E41-E12-E7</f>
        <v>15907</v>
      </c>
      <c r="F66" s="28">
        <f t="shared" si="6"/>
        <v>2.3012966946799784E-2</v>
      </c>
      <c r="G66" s="25">
        <f>G67-G47-G41-G12-G7</f>
        <v>23766092</v>
      </c>
      <c r="H66" s="28">
        <f t="shared" si="7"/>
        <v>3.1992477556538015E-2</v>
      </c>
      <c r="I66" s="23">
        <f t="shared" si="1"/>
        <v>1494.0650028289433</v>
      </c>
    </row>
    <row r="67" spans="1:9">
      <c r="A67" s="30" t="s">
        <v>396</v>
      </c>
      <c r="B67" s="25">
        <f>VLOOKUP(A67,[1]進出口值表查詢結果!$A$10:$C$62,3,0)</f>
        <v>55512</v>
      </c>
      <c r="C67" s="26">
        <f>VLOOKUP(A67,[1]進出口值表查詢結果!$A$10:$C$62,2,0)</f>
        <v>61138156</v>
      </c>
      <c r="D67" s="27">
        <f t="shared" ref="D67" si="8">C67/B67</f>
        <v>1101.3502666090214</v>
      </c>
      <c r="E67" s="25">
        <f>VLOOKUP(A67,[2]進出口值表查詢結果!$A$10:$C$95,3,0)</f>
        <v>691219</v>
      </c>
      <c r="F67" s="22">
        <f t="shared" si="6"/>
        <v>1</v>
      </c>
      <c r="G67" s="26">
        <f>VLOOKUP(A67,[2]進出口值表查詢結果!$A$10:$C$95,2,0)</f>
        <v>742865005</v>
      </c>
      <c r="H67" s="22">
        <f t="shared" si="7"/>
        <v>1</v>
      </c>
      <c r="I67" s="23">
        <f t="shared" ref="I67" si="9">G67/E67</f>
        <v>1074.7172820770263</v>
      </c>
    </row>
    <row r="68" spans="1:9">
      <c r="A68" s="34"/>
      <c r="B68" s="35"/>
      <c r="C68" s="35"/>
      <c r="D68" s="5"/>
      <c r="E68" s="35"/>
      <c r="F68" s="36"/>
      <c r="G68" s="728"/>
      <c r="H68" s="37"/>
      <c r="I68" s="5"/>
    </row>
    <row r="69" spans="1:9">
      <c r="A69" s="38" t="s">
        <v>308</v>
      </c>
      <c r="B69" s="39"/>
      <c r="C69" s="39"/>
      <c r="D69" s="40"/>
      <c r="E69" s="39"/>
      <c r="F69" s="41"/>
      <c r="G69" s="26"/>
      <c r="H69" s="42"/>
      <c r="I69" s="43"/>
    </row>
    <row r="70" spans="1:9" ht="19.5">
      <c r="A70" s="6" t="s">
        <v>505</v>
      </c>
      <c r="B70" s="7" t="s">
        <v>506</v>
      </c>
      <c r="C70" s="7" t="s">
        <v>507</v>
      </c>
      <c r="D70" s="8" t="s">
        <v>1</v>
      </c>
      <c r="E70" s="9" t="s">
        <v>508</v>
      </c>
      <c r="F70" s="10" t="s">
        <v>2</v>
      </c>
      <c r="G70" s="727" t="s">
        <v>510</v>
      </c>
      <c r="H70" s="10" t="s">
        <v>2</v>
      </c>
      <c r="I70" s="11" t="s">
        <v>410</v>
      </c>
    </row>
    <row r="71" spans="1:9">
      <c r="A71" s="48"/>
      <c r="B71" s="49" t="s">
        <v>5</v>
      </c>
      <c r="C71" s="50" t="s">
        <v>4</v>
      </c>
      <c r="D71" s="45" t="s">
        <v>4</v>
      </c>
      <c r="E71" s="51" t="s">
        <v>5</v>
      </c>
      <c r="F71" s="46" t="s">
        <v>5</v>
      </c>
      <c r="G71" s="54" t="s">
        <v>4</v>
      </c>
      <c r="H71" s="53" t="s">
        <v>4</v>
      </c>
      <c r="I71" s="54" t="s">
        <v>4</v>
      </c>
    </row>
    <row r="72" spans="1:9">
      <c r="A72" s="30" t="s">
        <v>57</v>
      </c>
      <c r="B72" s="31">
        <v>943</v>
      </c>
      <c r="C72" s="31">
        <v>191230</v>
      </c>
      <c r="D72" s="55">
        <f>C72/B72</f>
        <v>202.78897136797454</v>
      </c>
      <c r="E72" s="31">
        <v>25438</v>
      </c>
      <c r="F72" s="56">
        <v>1</v>
      </c>
      <c r="G72" s="26">
        <v>8148273</v>
      </c>
      <c r="H72" s="56">
        <v>1</v>
      </c>
      <c r="I72" s="23">
        <f>G72/E72</f>
        <v>320.31893230599889</v>
      </c>
    </row>
    <row r="73" spans="1:9" ht="7.5" customHeight="1">
      <c r="A73" s="161"/>
      <c r="B73" s="58"/>
      <c r="C73" s="58"/>
      <c r="D73" s="740"/>
      <c r="E73" s="58"/>
      <c r="F73" s="163"/>
      <c r="G73" s="35"/>
      <c r="H73" s="163"/>
      <c r="I73" s="740"/>
    </row>
    <row r="74" spans="1:9">
      <c r="A74" s="57" t="s">
        <v>59</v>
      </c>
      <c r="B74" s="3"/>
      <c r="C74" s="58"/>
      <c r="D74" s="59"/>
      <c r="E74" s="3"/>
      <c r="F74" s="3"/>
      <c r="G74" s="3"/>
      <c r="H74" s="3"/>
      <c r="I74" s="59"/>
    </row>
    <row r="75" spans="1:9">
      <c r="A75" s="60" t="s">
        <v>60</v>
      </c>
      <c r="B75" s="61"/>
      <c r="C75" s="62"/>
      <c r="D75" s="63"/>
      <c r="E75" s="61"/>
      <c r="F75" s="62"/>
      <c r="G75" s="64"/>
      <c r="H75" s="60"/>
      <c r="I75" s="65"/>
    </row>
  </sheetData>
  <mergeCells count="1">
    <mergeCell ref="A3:I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7.75" customWidth="1"/>
    <col min="2" max="3" width="11.5" customWidth="1"/>
    <col min="4" max="4" width="10.875" customWidth="1"/>
    <col min="5" max="5" width="11.25" customWidth="1"/>
    <col min="6" max="6" width="12.5" customWidth="1"/>
    <col min="7" max="7" width="12" customWidth="1"/>
    <col min="8" max="8" width="13.625" customWidth="1"/>
    <col min="9" max="9" width="13.875" customWidth="1"/>
    <col min="10" max="10" width="11.875" customWidth="1"/>
    <col min="11" max="12" width="8.875" customWidth="1"/>
  </cols>
  <sheetData>
    <row r="1" spans="1:10" ht="23.25">
      <c r="A1" s="1" t="s">
        <v>522</v>
      </c>
      <c r="B1" s="66"/>
      <c r="C1" s="196"/>
      <c r="D1" s="197"/>
      <c r="E1" s="66"/>
      <c r="F1" s="196"/>
      <c r="G1" s="197"/>
      <c r="H1" s="198"/>
      <c r="I1" s="199"/>
      <c r="J1" s="197"/>
    </row>
    <row r="2" spans="1:10" ht="9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59" t="s">
        <v>109</v>
      </c>
      <c r="B3" s="760"/>
      <c r="C3" s="760"/>
      <c r="D3" s="760"/>
      <c r="E3" s="760"/>
      <c r="F3" s="760"/>
      <c r="G3" s="760"/>
      <c r="H3" s="760"/>
      <c r="I3" s="760"/>
      <c r="J3" s="761"/>
    </row>
    <row r="4" spans="1:10">
      <c r="A4" s="75" t="s">
        <v>512</v>
      </c>
      <c r="B4" s="6" t="s">
        <v>497</v>
      </c>
      <c r="C4" s="76" t="s">
        <v>500</v>
      </c>
      <c r="D4" s="77" t="s">
        <v>61</v>
      </c>
      <c r="E4" s="6" t="s">
        <v>497</v>
      </c>
      <c r="F4" s="76" t="s">
        <v>500</v>
      </c>
      <c r="G4" s="78" t="s">
        <v>411</v>
      </c>
      <c r="H4" s="6" t="s">
        <v>497</v>
      </c>
      <c r="I4" s="76" t="s">
        <v>500</v>
      </c>
      <c r="J4" s="78" t="s">
        <v>411</v>
      </c>
    </row>
    <row r="5" spans="1:10">
      <c r="A5" s="48"/>
      <c r="B5" s="24" t="s">
        <v>62</v>
      </c>
      <c r="C5" s="369" t="s">
        <v>62</v>
      </c>
      <c r="D5" s="80" t="s">
        <v>2</v>
      </c>
      <c r="E5" s="24" t="s">
        <v>62</v>
      </c>
      <c r="F5" s="369" t="s">
        <v>62</v>
      </c>
      <c r="G5" s="80" t="s">
        <v>2</v>
      </c>
      <c r="H5" s="6" t="s">
        <v>62</v>
      </c>
      <c r="I5" s="369" t="s">
        <v>62</v>
      </c>
      <c r="J5" s="80" t="s">
        <v>2</v>
      </c>
    </row>
    <row r="6" spans="1:10">
      <c r="A6" s="19" t="s">
        <v>6</v>
      </c>
      <c r="B6" s="200"/>
      <c r="C6" s="201"/>
      <c r="D6" s="202"/>
      <c r="E6" s="203"/>
      <c r="F6" s="201"/>
      <c r="G6" s="86"/>
      <c r="H6" s="204"/>
      <c r="I6" s="88"/>
      <c r="J6" s="202"/>
    </row>
    <row r="7" spans="1:10">
      <c r="A7" s="205" t="s">
        <v>7</v>
      </c>
      <c r="B7" s="123">
        <f>SUM(B8:B10)</f>
        <v>47</v>
      </c>
      <c r="C7" s="206">
        <f>SUM(C8:C10)</f>
        <v>20</v>
      </c>
      <c r="D7" s="614">
        <f>IF(C7,(B7-C7)/C7,0)</f>
        <v>1.35</v>
      </c>
      <c r="E7" s="123">
        <f>SUM(E8:E10)</f>
        <v>50723</v>
      </c>
      <c r="F7" s="206">
        <f>SUM(F8:F10)</f>
        <v>43199</v>
      </c>
      <c r="G7" s="614">
        <f>IF(F7,(E7-F7)/F7,0)</f>
        <v>0.17417069839579619</v>
      </c>
      <c r="H7" s="96">
        <f>IF(B7,E7/B7,0)</f>
        <v>1079.2127659574469</v>
      </c>
      <c r="I7" s="97">
        <f>IF(C7,F7/C7,0)</f>
        <v>2159.9499999999998</v>
      </c>
      <c r="J7" s="613">
        <f>IF(I7,(H7-I7)/I7,0)</f>
        <v>-0.50035289429966112</v>
      </c>
    </row>
    <row r="8" spans="1:10">
      <c r="A8" s="24" t="s">
        <v>340</v>
      </c>
      <c r="B8" s="207">
        <f>折疊車出口!E8</f>
        <v>46</v>
      </c>
      <c r="C8" s="206">
        <f>VLOOKUP(A8,[19]進出口值表查詢結果!$A$10:$C$22,3,0)</f>
        <v>20</v>
      </c>
      <c r="D8" s="614">
        <f t="shared" ref="D8:D68" si="0">IF(C8,(B8-C8)/C8,0)</f>
        <v>1.3</v>
      </c>
      <c r="E8" s="207">
        <f>折疊車出口!G8</f>
        <v>48595</v>
      </c>
      <c r="F8" s="206">
        <f>VLOOKUP(A8,[19]進出口值表查詢結果!$A$10:$C$22,2,0)</f>
        <v>43199</v>
      </c>
      <c r="G8" s="614">
        <f t="shared" ref="G8:G68" si="1">IF(F8,(E8-F8)/F8,0)</f>
        <v>0.12491029884951041</v>
      </c>
      <c r="H8" s="96">
        <f t="shared" ref="H8:H10" si="2">IF(B8,E8/B8,0)</f>
        <v>1056.4130434782608</v>
      </c>
      <c r="I8" s="97">
        <f t="shared" ref="I8:I10" si="3">IF(C8,F8/C8,0)</f>
        <v>2159.9499999999998</v>
      </c>
      <c r="J8" s="613">
        <f t="shared" ref="J8:J68" si="4">IF(I8,(H8-I8)/I8,0)</f>
        <v>-0.51090856571760423</v>
      </c>
    </row>
    <row r="9" spans="1:10">
      <c r="A9" s="29" t="s">
        <v>8</v>
      </c>
      <c r="B9" s="207">
        <f>折疊車出口!E9</f>
        <v>0</v>
      </c>
      <c r="C9" s="206">
        <v>0</v>
      </c>
      <c r="D9" s="614">
        <f t="shared" si="0"/>
        <v>0</v>
      </c>
      <c r="E9" s="207">
        <f>折疊車出口!G9</f>
        <v>0</v>
      </c>
      <c r="F9" s="206">
        <f>_xlfn.IFNA(VLOOKUP(A9,[18]進出口值表查詢結果!$C$11:$J$740,3,0),-[4]整車!$B$22)</f>
        <v>0</v>
      </c>
      <c r="G9" s="614">
        <f t="shared" si="1"/>
        <v>0</v>
      </c>
      <c r="H9" s="96">
        <f t="shared" si="2"/>
        <v>0</v>
      </c>
      <c r="I9" s="97">
        <f t="shared" si="3"/>
        <v>0</v>
      </c>
      <c r="J9" s="613">
        <f t="shared" si="4"/>
        <v>0</v>
      </c>
    </row>
    <row r="10" spans="1:10">
      <c r="A10" s="29" t="s">
        <v>9</v>
      </c>
      <c r="B10" s="207">
        <f>折疊車出口!E10</f>
        <v>1</v>
      </c>
      <c r="C10" s="206">
        <v>0</v>
      </c>
      <c r="D10" s="614">
        <f t="shared" si="0"/>
        <v>0</v>
      </c>
      <c r="E10" s="207">
        <f>折疊車出口!G10</f>
        <v>2128</v>
      </c>
      <c r="F10" s="206">
        <f>_xlfn.IFNA(VLOOKUP(A10,[18]進出口值表查詢結果!$C$11:$J$740,3,0),-[4]整車!$B$22)</f>
        <v>0</v>
      </c>
      <c r="G10" s="614">
        <f t="shared" si="1"/>
        <v>0</v>
      </c>
      <c r="H10" s="96">
        <f t="shared" si="2"/>
        <v>2128</v>
      </c>
      <c r="I10" s="97">
        <f t="shared" si="3"/>
        <v>0</v>
      </c>
      <c r="J10" s="613">
        <f t="shared" si="4"/>
        <v>0</v>
      </c>
    </row>
    <row r="11" spans="1:10">
      <c r="A11" s="29"/>
      <c r="B11" s="25"/>
      <c r="C11" s="95"/>
      <c r="D11" s="614"/>
      <c r="E11" s="25"/>
      <c r="F11" s="95"/>
      <c r="G11" s="614"/>
      <c r="H11" s="96"/>
      <c r="I11" s="97"/>
      <c r="J11" s="613"/>
    </row>
    <row r="12" spans="1:10">
      <c r="A12" s="30" t="s">
        <v>10</v>
      </c>
      <c r="B12" s="31">
        <f>SUM(B13:B39)</f>
        <v>280</v>
      </c>
      <c r="C12" s="95">
        <f>SUM(C13:C39)</f>
        <v>792</v>
      </c>
      <c r="D12" s="614">
        <f t="shared" si="0"/>
        <v>-0.64646464646464652</v>
      </c>
      <c r="E12" s="31">
        <f>SUM(E13:E39)</f>
        <v>166022</v>
      </c>
      <c r="F12" s="95">
        <f>SUM(F13:F39)</f>
        <v>338851</v>
      </c>
      <c r="G12" s="614">
        <f t="shared" si="1"/>
        <v>-0.51004423773280883</v>
      </c>
      <c r="H12" s="96">
        <f t="shared" ref="H12:H67" si="5">IF(B12,E12/B12,0)</f>
        <v>592.93571428571431</v>
      </c>
      <c r="I12" s="97">
        <f t="shared" ref="I12:I67" si="6">IF(C12,F12/C12,0)</f>
        <v>427.84217171717171</v>
      </c>
      <c r="J12" s="613">
        <f t="shared" si="4"/>
        <v>0.3858748704129123</v>
      </c>
    </row>
    <row r="13" spans="1:10">
      <c r="A13" s="24" t="s">
        <v>320</v>
      </c>
      <c r="B13" s="207">
        <f>折疊車出口!E13</f>
        <v>268</v>
      </c>
      <c r="C13" s="206">
        <f>VLOOKUP(A13,[19]進出口值表查詢結果!$A$10:$C$22,3,0)</f>
        <v>692</v>
      </c>
      <c r="D13" s="614">
        <f t="shared" si="0"/>
        <v>-0.61271676300578037</v>
      </c>
      <c r="E13" s="207">
        <f>折疊車出口!G13</f>
        <v>125476</v>
      </c>
      <c r="F13" s="206">
        <f>VLOOKUP(A13,[19]進出口值表查詢結果!$A$10:$C$22,2,0)</f>
        <v>320315</v>
      </c>
      <c r="G13" s="614">
        <f t="shared" si="1"/>
        <v>-0.60827310616112262</v>
      </c>
      <c r="H13" s="96">
        <f t="shared" si="5"/>
        <v>468.19402985074629</v>
      </c>
      <c r="I13" s="97">
        <f t="shared" si="6"/>
        <v>462.8829479768786</v>
      </c>
      <c r="J13" s="613">
        <f t="shared" si="4"/>
        <v>1.147391991232519E-2</v>
      </c>
    </row>
    <row r="14" spans="1:10">
      <c r="A14" s="24" t="s">
        <v>321</v>
      </c>
      <c r="B14" s="207">
        <f>折疊車出口!E14</f>
        <v>12</v>
      </c>
      <c r="C14" s="206">
        <v>0</v>
      </c>
      <c r="D14" s="614">
        <f t="shared" si="0"/>
        <v>0</v>
      </c>
      <c r="E14" s="207">
        <f>折疊車出口!G14</f>
        <v>40546</v>
      </c>
      <c r="F14" s="206">
        <f>_xlfn.IFNA(VLOOKUP(A14,[18]進出口值表查詢結果!$C$11:$J$408,3,0),-[4]整車!$B$22)</f>
        <v>0</v>
      </c>
      <c r="G14" s="614">
        <f t="shared" si="1"/>
        <v>0</v>
      </c>
      <c r="H14" s="96">
        <f t="shared" si="5"/>
        <v>3378.8333333333335</v>
      </c>
      <c r="I14" s="97">
        <f t="shared" si="6"/>
        <v>0</v>
      </c>
      <c r="J14" s="613">
        <f t="shared" si="4"/>
        <v>0</v>
      </c>
    </row>
    <row r="15" spans="1:10">
      <c r="A15" s="29" t="s">
        <v>13</v>
      </c>
      <c r="B15" s="207">
        <f>折疊車出口!E15</f>
        <v>0</v>
      </c>
      <c r="C15" s="206">
        <v>0</v>
      </c>
      <c r="D15" s="614">
        <f t="shared" si="0"/>
        <v>0</v>
      </c>
      <c r="E15" s="207">
        <f>折疊車出口!G15</f>
        <v>0</v>
      </c>
      <c r="F15" s="206">
        <f>_xlfn.IFNA(VLOOKUP(A15,[18]進出口值表查詢結果!$C$11:$J$408,3,0),-[4]整車!$B$22)</f>
        <v>0</v>
      </c>
      <c r="G15" s="614">
        <f t="shared" si="1"/>
        <v>0</v>
      </c>
      <c r="H15" s="96">
        <f t="shared" si="5"/>
        <v>0</v>
      </c>
      <c r="I15" s="97">
        <f t="shared" si="6"/>
        <v>0</v>
      </c>
      <c r="J15" s="613">
        <f t="shared" si="4"/>
        <v>0</v>
      </c>
    </row>
    <row r="16" spans="1:10">
      <c r="A16" s="24" t="s">
        <v>323</v>
      </c>
      <c r="B16" s="207">
        <f>折疊車出口!E16</f>
        <v>0</v>
      </c>
      <c r="C16" s="206">
        <v>0</v>
      </c>
      <c r="D16" s="614">
        <f t="shared" si="0"/>
        <v>0</v>
      </c>
      <c r="E16" s="207">
        <f>折疊車出口!G16</f>
        <v>0</v>
      </c>
      <c r="F16" s="206">
        <f>_xlfn.IFNA(VLOOKUP(A16,[18]進出口值表查詢結果!$C$11:$J$408,3,0),-[4]整車!$B$22)</f>
        <v>0</v>
      </c>
      <c r="G16" s="614">
        <f t="shared" si="1"/>
        <v>0</v>
      </c>
      <c r="H16" s="96">
        <f t="shared" si="5"/>
        <v>0</v>
      </c>
      <c r="I16" s="97">
        <f t="shared" si="6"/>
        <v>0</v>
      </c>
      <c r="J16" s="613">
        <f t="shared" si="4"/>
        <v>0</v>
      </c>
    </row>
    <row r="17" spans="1:10">
      <c r="A17" s="29" t="s">
        <v>16</v>
      </c>
      <c r="B17" s="207">
        <f>折疊車出口!E17</f>
        <v>0</v>
      </c>
      <c r="C17" s="206">
        <v>0</v>
      </c>
      <c r="D17" s="614">
        <f t="shared" si="0"/>
        <v>0</v>
      </c>
      <c r="E17" s="207">
        <f>折疊車出口!G17</f>
        <v>0</v>
      </c>
      <c r="F17" s="206">
        <f>_xlfn.IFNA(VLOOKUP(A17,[18]進出口值表查詢結果!$C$11:$J$408,3,0),-[4]整車!$B$22)</f>
        <v>0</v>
      </c>
      <c r="G17" s="614">
        <f t="shared" si="1"/>
        <v>0</v>
      </c>
      <c r="H17" s="96">
        <f t="shared" si="5"/>
        <v>0</v>
      </c>
      <c r="I17" s="97">
        <f t="shared" si="6"/>
        <v>0</v>
      </c>
      <c r="J17" s="613">
        <f t="shared" si="4"/>
        <v>0</v>
      </c>
    </row>
    <row r="18" spans="1:10">
      <c r="A18" s="29" t="s">
        <v>17</v>
      </c>
      <c r="B18" s="207">
        <f>折疊車出口!E18</f>
        <v>0</v>
      </c>
      <c r="C18" s="206">
        <v>0</v>
      </c>
      <c r="D18" s="614">
        <f t="shared" si="0"/>
        <v>0</v>
      </c>
      <c r="E18" s="207">
        <f>折疊車出口!G18</f>
        <v>0</v>
      </c>
      <c r="F18" s="206">
        <f>_xlfn.IFNA(VLOOKUP(A18,[18]進出口值表查詢結果!$C$11:$J$408,3,0),-[4]整車!$B$22)</f>
        <v>0</v>
      </c>
      <c r="G18" s="614">
        <f t="shared" si="1"/>
        <v>0</v>
      </c>
      <c r="H18" s="96">
        <f t="shared" si="5"/>
        <v>0</v>
      </c>
      <c r="I18" s="97">
        <f t="shared" si="6"/>
        <v>0</v>
      </c>
      <c r="J18" s="613">
        <f t="shared" si="4"/>
        <v>0</v>
      </c>
    </row>
    <row r="19" spans="1:10">
      <c r="A19" s="24" t="s">
        <v>324</v>
      </c>
      <c r="B19" s="207">
        <f>折疊車出口!E19</f>
        <v>0</v>
      </c>
      <c r="C19" s="206">
        <v>0</v>
      </c>
      <c r="D19" s="614">
        <f t="shared" si="0"/>
        <v>0</v>
      </c>
      <c r="E19" s="207">
        <f>折疊車出口!G19</f>
        <v>0</v>
      </c>
      <c r="F19" s="206">
        <f>_xlfn.IFNA(VLOOKUP(A19,[18]進出口值表查詢結果!$C$11:$J$408,3,0),-[4]整車!$B$22)</f>
        <v>0</v>
      </c>
      <c r="G19" s="614">
        <f t="shared" si="1"/>
        <v>0</v>
      </c>
      <c r="H19" s="96">
        <f t="shared" si="5"/>
        <v>0</v>
      </c>
      <c r="I19" s="97">
        <f t="shared" si="6"/>
        <v>0</v>
      </c>
      <c r="J19" s="613">
        <f t="shared" si="4"/>
        <v>0</v>
      </c>
    </row>
    <row r="20" spans="1:10">
      <c r="A20" s="29" t="s">
        <v>67</v>
      </c>
      <c r="B20" s="207">
        <f>折疊車出口!E20</f>
        <v>0</v>
      </c>
      <c r="C20" s="206">
        <v>0</v>
      </c>
      <c r="D20" s="614">
        <f t="shared" si="0"/>
        <v>0</v>
      </c>
      <c r="E20" s="207">
        <f>折疊車出口!G20</f>
        <v>0</v>
      </c>
      <c r="F20" s="206">
        <f>_xlfn.IFNA(VLOOKUP(A20,[18]進出口值表查詢結果!$C$11:$J$408,3,0),-[4]整車!$B$22)</f>
        <v>0</v>
      </c>
      <c r="G20" s="614">
        <f t="shared" si="1"/>
        <v>0</v>
      </c>
      <c r="H20" s="96">
        <f t="shared" si="5"/>
        <v>0</v>
      </c>
      <c r="I20" s="97">
        <f t="shared" si="6"/>
        <v>0</v>
      </c>
      <c r="J20" s="613">
        <f t="shared" si="4"/>
        <v>0</v>
      </c>
    </row>
    <row r="21" spans="1:10">
      <c r="A21" s="24" t="s">
        <v>325</v>
      </c>
      <c r="B21" s="207">
        <f>折疊車出口!E21</f>
        <v>0</v>
      </c>
      <c r="C21" s="206">
        <v>0</v>
      </c>
      <c r="D21" s="614">
        <f t="shared" si="0"/>
        <v>0</v>
      </c>
      <c r="E21" s="207">
        <f>折疊車出口!G21</f>
        <v>0</v>
      </c>
      <c r="F21" s="206">
        <f>_xlfn.IFNA(VLOOKUP(A21,[18]進出口值表查詢結果!$C$11:$J$408,3,0),-[4]整車!$B$22)</f>
        <v>0</v>
      </c>
      <c r="G21" s="614">
        <f t="shared" si="1"/>
        <v>0</v>
      </c>
      <c r="H21" s="96">
        <f t="shared" si="5"/>
        <v>0</v>
      </c>
      <c r="I21" s="97">
        <f t="shared" si="6"/>
        <v>0</v>
      </c>
      <c r="J21" s="613">
        <f t="shared" si="4"/>
        <v>0</v>
      </c>
    </row>
    <row r="22" spans="1:10">
      <c r="A22" s="29" t="s">
        <v>21</v>
      </c>
      <c r="B22" s="207">
        <f>折疊車出口!E22</f>
        <v>0</v>
      </c>
      <c r="C22" s="206">
        <v>0</v>
      </c>
      <c r="D22" s="614">
        <f t="shared" si="0"/>
        <v>0</v>
      </c>
      <c r="E22" s="207">
        <f>折疊車出口!G22</f>
        <v>0</v>
      </c>
      <c r="F22" s="206">
        <f>_xlfn.IFNA(VLOOKUP(A22,[18]進出口值表查詢結果!$C$11:$J$408,3,0),-[4]整車!$B$22)</f>
        <v>0</v>
      </c>
      <c r="G22" s="614">
        <f t="shared" si="1"/>
        <v>0</v>
      </c>
      <c r="H22" s="96">
        <f t="shared" si="5"/>
        <v>0</v>
      </c>
      <c r="I22" s="97">
        <f t="shared" si="6"/>
        <v>0</v>
      </c>
      <c r="J22" s="613">
        <f t="shared" si="4"/>
        <v>0</v>
      </c>
    </row>
    <row r="23" spans="1:10">
      <c r="A23" s="29" t="s">
        <v>22</v>
      </c>
      <c r="B23" s="207">
        <f>折疊車出口!E23</f>
        <v>0</v>
      </c>
      <c r="C23" s="206">
        <v>0</v>
      </c>
      <c r="D23" s="614">
        <f t="shared" si="0"/>
        <v>0</v>
      </c>
      <c r="E23" s="207">
        <f>折疊車出口!G23</f>
        <v>0</v>
      </c>
      <c r="F23" s="206">
        <f>_xlfn.IFNA(VLOOKUP(A23,[18]進出口值表查詢結果!$C$11:$J$408,3,0),-[4]整車!$B$22)</f>
        <v>0</v>
      </c>
      <c r="G23" s="614">
        <f t="shared" si="1"/>
        <v>0</v>
      </c>
      <c r="H23" s="96">
        <f t="shared" si="5"/>
        <v>0</v>
      </c>
      <c r="I23" s="97">
        <f t="shared" si="6"/>
        <v>0</v>
      </c>
      <c r="J23" s="613">
        <f t="shared" si="4"/>
        <v>0</v>
      </c>
    </row>
    <row r="24" spans="1:10">
      <c r="A24" s="29" t="s">
        <v>23</v>
      </c>
      <c r="B24" s="207">
        <f>折疊車出口!E24</f>
        <v>0</v>
      </c>
      <c r="C24" s="206">
        <v>0</v>
      </c>
      <c r="D24" s="614">
        <f t="shared" si="0"/>
        <v>0</v>
      </c>
      <c r="E24" s="207">
        <f>折疊車出口!G24</f>
        <v>0</v>
      </c>
      <c r="F24" s="206">
        <f>_xlfn.IFNA(VLOOKUP(A24,[18]進出口值表查詢結果!$C$11:$J$408,3,0),-[4]整車!$B$22)</f>
        <v>0</v>
      </c>
      <c r="G24" s="614">
        <f t="shared" si="1"/>
        <v>0</v>
      </c>
      <c r="H24" s="96">
        <f t="shared" si="5"/>
        <v>0</v>
      </c>
      <c r="I24" s="97">
        <f t="shared" si="6"/>
        <v>0</v>
      </c>
      <c r="J24" s="613">
        <f t="shared" si="4"/>
        <v>0</v>
      </c>
    </row>
    <row r="25" spans="1:10">
      <c r="A25" s="24" t="s">
        <v>326</v>
      </c>
      <c r="B25" s="207">
        <f>折疊車出口!E25</f>
        <v>0</v>
      </c>
      <c r="C25" s="206">
        <v>0</v>
      </c>
      <c r="D25" s="614">
        <f t="shared" si="0"/>
        <v>0</v>
      </c>
      <c r="E25" s="207">
        <f>折疊車出口!G25</f>
        <v>0</v>
      </c>
      <c r="F25" s="206">
        <f>_xlfn.IFNA(VLOOKUP(A25,[18]進出口值表查詢結果!$C$11:$J$408,3,0),-[4]整車!$B$22)</f>
        <v>0</v>
      </c>
      <c r="G25" s="614">
        <f t="shared" si="1"/>
        <v>0</v>
      </c>
      <c r="H25" s="96">
        <f t="shared" si="5"/>
        <v>0</v>
      </c>
      <c r="I25" s="97">
        <f t="shared" si="6"/>
        <v>0</v>
      </c>
      <c r="J25" s="613">
        <f t="shared" si="4"/>
        <v>0</v>
      </c>
    </row>
    <row r="26" spans="1:10">
      <c r="A26" s="24" t="s">
        <v>327</v>
      </c>
      <c r="B26" s="207">
        <f>折疊車出口!E26</f>
        <v>0</v>
      </c>
      <c r="C26" s="206">
        <v>0</v>
      </c>
      <c r="D26" s="614">
        <f t="shared" si="0"/>
        <v>0</v>
      </c>
      <c r="E26" s="207">
        <f>折疊車出口!G26</f>
        <v>0</v>
      </c>
      <c r="F26" s="206">
        <f>_xlfn.IFNA(VLOOKUP(A26,[18]進出口值表查詢結果!$C$11:$J$408,3,0),-[4]整車!$B$22)</f>
        <v>0</v>
      </c>
      <c r="G26" s="614">
        <f t="shared" si="1"/>
        <v>0</v>
      </c>
      <c r="H26" s="96">
        <f t="shared" si="5"/>
        <v>0</v>
      </c>
      <c r="I26" s="97">
        <f t="shared" si="6"/>
        <v>0</v>
      </c>
      <c r="J26" s="613">
        <f t="shared" si="4"/>
        <v>0</v>
      </c>
    </row>
    <row r="27" spans="1:10">
      <c r="A27" s="520" t="s">
        <v>328</v>
      </c>
      <c r="B27" s="207">
        <f>折疊車出口!E27</f>
        <v>0</v>
      </c>
      <c r="C27" s="206">
        <v>0</v>
      </c>
      <c r="D27" s="614">
        <f t="shared" si="0"/>
        <v>0</v>
      </c>
      <c r="E27" s="207">
        <f>折疊車出口!G27</f>
        <v>0</v>
      </c>
      <c r="F27" s="206">
        <f>_xlfn.IFNA(VLOOKUP(A27,[18]進出口值表查詢結果!$C$11:$J$408,3,0),-[4]整車!$B$22)</f>
        <v>0</v>
      </c>
      <c r="G27" s="614">
        <f t="shared" si="1"/>
        <v>0</v>
      </c>
      <c r="H27" s="96">
        <f t="shared" si="5"/>
        <v>0</v>
      </c>
      <c r="I27" s="97">
        <f t="shared" si="6"/>
        <v>0</v>
      </c>
      <c r="J27" s="613">
        <f t="shared" si="4"/>
        <v>0</v>
      </c>
    </row>
    <row r="28" spans="1:10">
      <c r="A28" s="520" t="s">
        <v>329</v>
      </c>
      <c r="B28" s="207">
        <f>折疊車出口!E28</f>
        <v>0</v>
      </c>
      <c r="C28" s="206">
        <v>0</v>
      </c>
      <c r="D28" s="614">
        <f t="shared" si="0"/>
        <v>0</v>
      </c>
      <c r="E28" s="207">
        <f>折疊車出口!G28</f>
        <v>0</v>
      </c>
      <c r="F28" s="206">
        <f>_xlfn.IFNA(VLOOKUP(A28,[18]進出口值表查詢結果!$C$11:$J$408,3,0),-[4]整車!$B$22)</f>
        <v>0</v>
      </c>
      <c r="G28" s="614">
        <f t="shared" si="1"/>
        <v>0</v>
      </c>
      <c r="H28" s="96">
        <f t="shared" si="5"/>
        <v>0</v>
      </c>
      <c r="I28" s="97">
        <f t="shared" si="6"/>
        <v>0</v>
      </c>
      <c r="J28" s="613">
        <f t="shared" si="4"/>
        <v>0</v>
      </c>
    </row>
    <row r="29" spans="1:10">
      <c r="A29" s="29" t="s">
        <v>26</v>
      </c>
      <c r="B29" s="207">
        <f>折疊車出口!E29</f>
        <v>0</v>
      </c>
      <c r="C29" s="206">
        <v>0</v>
      </c>
      <c r="D29" s="614">
        <f t="shared" si="0"/>
        <v>0</v>
      </c>
      <c r="E29" s="207">
        <f>折疊車出口!G29</f>
        <v>0</v>
      </c>
      <c r="F29" s="206">
        <f>_xlfn.IFNA(VLOOKUP(A29,[18]進出口值表查詢結果!$C$11:$J$408,3,0),-[4]整車!$B$22)</f>
        <v>0</v>
      </c>
      <c r="G29" s="614">
        <f t="shared" si="1"/>
        <v>0</v>
      </c>
      <c r="H29" s="96">
        <f t="shared" si="5"/>
        <v>0</v>
      </c>
      <c r="I29" s="97">
        <f t="shared" si="6"/>
        <v>0</v>
      </c>
      <c r="J29" s="613">
        <f t="shared" si="4"/>
        <v>0</v>
      </c>
    </row>
    <row r="30" spans="1:10">
      <c r="A30" s="29" t="s">
        <v>27</v>
      </c>
      <c r="B30" s="207">
        <f>折疊車出口!E30</f>
        <v>0</v>
      </c>
      <c r="C30" s="206">
        <v>0</v>
      </c>
      <c r="D30" s="614">
        <f t="shared" si="0"/>
        <v>0</v>
      </c>
      <c r="E30" s="207">
        <f>折疊車出口!G30</f>
        <v>0</v>
      </c>
      <c r="F30" s="206">
        <f>_xlfn.IFNA(VLOOKUP(A30,[18]進出口值表查詢結果!$C$11:$J$408,3,0),-[4]整車!$B$22)</f>
        <v>0</v>
      </c>
      <c r="G30" s="614">
        <f t="shared" si="1"/>
        <v>0</v>
      </c>
      <c r="H30" s="96">
        <f t="shared" si="5"/>
        <v>0</v>
      </c>
      <c r="I30" s="97">
        <f t="shared" si="6"/>
        <v>0</v>
      </c>
      <c r="J30" s="613">
        <f t="shared" si="4"/>
        <v>0</v>
      </c>
    </row>
    <row r="31" spans="1:10">
      <c r="A31" s="29" t="s">
        <v>28</v>
      </c>
      <c r="B31" s="207">
        <f>折疊車出口!E31</f>
        <v>0</v>
      </c>
      <c r="C31" s="206">
        <v>0</v>
      </c>
      <c r="D31" s="614">
        <f t="shared" si="0"/>
        <v>0</v>
      </c>
      <c r="E31" s="207">
        <f>折疊車出口!G31</f>
        <v>0</v>
      </c>
      <c r="F31" s="206">
        <f>_xlfn.IFNA(VLOOKUP(A31,[18]進出口值表查詢結果!$C$11:$J$408,3,0),-[4]整車!$B$22)</f>
        <v>0</v>
      </c>
      <c r="G31" s="614">
        <f t="shared" si="1"/>
        <v>0</v>
      </c>
      <c r="H31" s="96">
        <f t="shared" si="5"/>
        <v>0</v>
      </c>
      <c r="I31" s="97">
        <f t="shared" si="6"/>
        <v>0</v>
      </c>
      <c r="J31" s="613">
        <f t="shared" si="4"/>
        <v>0</v>
      </c>
    </row>
    <row r="32" spans="1:10">
      <c r="A32" s="29" t="s">
        <v>29</v>
      </c>
      <c r="B32" s="207">
        <f>折疊車出口!E32</f>
        <v>0</v>
      </c>
      <c r="C32" s="206">
        <v>0</v>
      </c>
      <c r="D32" s="614">
        <f t="shared" si="0"/>
        <v>0</v>
      </c>
      <c r="E32" s="207">
        <f>折疊車出口!G32</f>
        <v>0</v>
      </c>
      <c r="F32" s="206">
        <f>_xlfn.IFNA(VLOOKUP(A32,[18]進出口值表查詢結果!$C$11:$J$408,3,0),-[4]整車!$B$22)</f>
        <v>0</v>
      </c>
      <c r="G32" s="614">
        <f t="shared" si="1"/>
        <v>0</v>
      </c>
      <c r="H32" s="96">
        <f t="shared" si="5"/>
        <v>0</v>
      </c>
      <c r="I32" s="97">
        <f t="shared" si="6"/>
        <v>0</v>
      </c>
      <c r="J32" s="613">
        <f t="shared" si="4"/>
        <v>0</v>
      </c>
    </row>
    <row r="33" spans="1:10">
      <c r="A33" s="29" t="s">
        <v>30</v>
      </c>
      <c r="B33" s="207">
        <f>折疊車出口!E33</f>
        <v>0</v>
      </c>
      <c r="C33" s="206">
        <v>0</v>
      </c>
      <c r="D33" s="614">
        <f t="shared" si="0"/>
        <v>0</v>
      </c>
      <c r="E33" s="207">
        <f>折疊車出口!G33</f>
        <v>0</v>
      </c>
      <c r="F33" s="206">
        <f>_xlfn.IFNA(VLOOKUP(A33,[18]進出口值表查詢結果!$C$11:$J$408,3,0),-[4]整車!$B$22)</f>
        <v>0</v>
      </c>
      <c r="G33" s="614">
        <f t="shared" si="1"/>
        <v>0</v>
      </c>
      <c r="H33" s="96">
        <f t="shared" si="5"/>
        <v>0</v>
      </c>
      <c r="I33" s="97">
        <f t="shared" si="6"/>
        <v>0</v>
      </c>
      <c r="J33" s="613">
        <f t="shared" si="4"/>
        <v>0</v>
      </c>
    </row>
    <row r="34" spans="1:10">
      <c r="A34" s="29" t="s">
        <v>31</v>
      </c>
      <c r="B34" s="207">
        <f>折疊車出口!E34</f>
        <v>0</v>
      </c>
      <c r="C34" s="206">
        <v>0</v>
      </c>
      <c r="D34" s="614">
        <f t="shared" si="0"/>
        <v>0</v>
      </c>
      <c r="E34" s="207">
        <f>折疊車出口!G34</f>
        <v>0</v>
      </c>
      <c r="F34" s="206">
        <f>_xlfn.IFNA(VLOOKUP(A34,[18]進出口值表查詢結果!$C$11:$J$408,3,0),-[4]整車!$B$22)</f>
        <v>0</v>
      </c>
      <c r="G34" s="614">
        <f t="shared" si="1"/>
        <v>0</v>
      </c>
      <c r="H34" s="96">
        <f t="shared" si="5"/>
        <v>0</v>
      </c>
      <c r="I34" s="97">
        <f t="shared" si="6"/>
        <v>0</v>
      </c>
      <c r="J34" s="613">
        <f t="shared" si="4"/>
        <v>0</v>
      </c>
    </row>
    <row r="35" spans="1:10">
      <c r="A35" s="29" t="s">
        <v>32</v>
      </c>
      <c r="B35" s="207">
        <f>折疊車出口!E35</f>
        <v>0</v>
      </c>
      <c r="C35" s="206">
        <v>0</v>
      </c>
      <c r="D35" s="614">
        <f t="shared" si="0"/>
        <v>0</v>
      </c>
      <c r="E35" s="207">
        <f>折疊車出口!G35</f>
        <v>0</v>
      </c>
      <c r="F35" s="206">
        <f>_xlfn.IFNA(VLOOKUP(A35,[18]進出口值表查詢結果!$C$11:$J$408,3,0),-[4]整車!$B$22)</f>
        <v>0</v>
      </c>
      <c r="G35" s="614">
        <f t="shared" si="1"/>
        <v>0</v>
      </c>
      <c r="H35" s="96">
        <f t="shared" si="5"/>
        <v>0</v>
      </c>
      <c r="I35" s="97">
        <f t="shared" si="6"/>
        <v>0</v>
      </c>
      <c r="J35" s="613">
        <f t="shared" si="4"/>
        <v>0</v>
      </c>
    </row>
    <row r="36" spans="1:10">
      <c r="A36" s="29" t="s">
        <v>78</v>
      </c>
      <c r="B36" s="207">
        <f>折疊車出口!E36</f>
        <v>0</v>
      </c>
      <c r="C36" s="206">
        <v>0</v>
      </c>
      <c r="D36" s="614">
        <f t="shared" si="0"/>
        <v>0</v>
      </c>
      <c r="E36" s="207">
        <f>折疊車出口!G36</f>
        <v>0</v>
      </c>
      <c r="F36" s="206">
        <f>_xlfn.IFNA(VLOOKUP(A36,[18]進出口值表查詢結果!$C$11:$J$408,3,0),-[4]整車!$B$22)</f>
        <v>0</v>
      </c>
      <c r="G36" s="614">
        <f t="shared" si="1"/>
        <v>0</v>
      </c>
      <c r="H36" s="96">
        <f t="shared" si="5"/>
        <v>0</v>
      </c>
      <c r="I36" s="97">
        <f t="shared" si="6"/>
        <v>0</v>
      </c>
      <c r="J36" s="613">
        <f t="shared" si="4"/>
        <v>0</v>
      </c>
    </row>
    <row r="37" spans="1:10">
      <c r="A37" s="29" t="s">
        <v>34</v>
      </c>
      <c r="B37" s="207">
        <f>折疊車出口!E37</f>
        <v>0</v>
      </c>
      <c r="C37" s="206">
        <v>0</v>
      </c>
      <c r="D37" s="614">
        <f t="shared" si="0"/>
        <v>0</v>
      </c>
      <c r="E37" s="207">
        <f>折疊車出口!G37</f>
        <v>0</v>
      </c>
      <c r="F37" s="206">
        <f>_xlfn.IFNA(VLOOKUP(A37,[18]進出口值表查詢結果!$C$11:$J$408,3,0),-[4]整車!$B$22)</f>
        <v>0</v>
      </c>
      <c r="G37" s="614">
        <f t="shared" si="1"/>
        <v>0</v>
      </c>
      <c r="H37" s="96">
        <f t="shared" si="5"/>
        <v>0</v>
      </c>
      <c r="I37" s="97">
        <f t="shared" si="6"/>
        <v>0</v>
      </c>
      <c r="J37" s="613">
        <f t="shared" si="4"/>
        <v>0</v>
      </c>
    </row>
    <row r="38" spans="1:10">
      <c r="A38" s="29" t="s">
        <v>35</v>
      </c>
      <c r="B38" s="207">
        <f>折疊車出口!E38</f>
        <v>0</v>
      </c>
      <c r="C38" s="206">
        <f>VLOOKUP(A38,[19]進出口值表查詢結果!$A$10:$C$22,3,0)</f>
        <v>100</v>
      </c>
      <c r="D38" s="614">
        <f t="shared" si="0"/>
        <v>-1</v>
      </c>
      <c r="E38" s="207">
        <f>折疊車出口!G38</f>
        <v>0</v>
      </c>
      <c r="F38" s="206">
        <f>VLOOKUP(A38,[19]進出口值表查詢結果!$A$10:$C$22,2,0)</f>
        <v>18536</v>
      </c>
      <c r="G38" s="614">
        <f t="shared" si="1"/>
        <v>-1</v>
      </c>
      <c r="H38" s="96">
        <f t="shared" si="5"/>
        <v>0</v>
      </c>
      <c r="I38" s="97">
        <f t="shared" si="6"/>
        <v>185.36</v>
      </c>
      <c r="J38" s="613">
        <f t="shared" si="4"/>
        <v>-1</v>
      </c>
    </row>
    <row r="39" spans="1:10">
      <c r="A39" s="29" t="s">
        <v>36</v>
      </c>
      <c r="B39" s="207">
        <f>折疊車出口!E39</f>
        <v>0</v>
      </c>
      <c r="C39" s="206">
        <v>0</v>
      </c>
      <c r="D39" s="614">
        <f t="shared" si="0"/>
        <v>0</v>
      </c>
      <c r="E39" s="207">
        <f>折疊車出口!G39</f>
        <v>0</v>
      </c>
      <c r="F39" s="206">
        <f>_xlfn.IFNA(VLOOKUP(A39,[18]進出口值表查詢結果!$C$11:$J$408,3,0),-[4]整車!$B$22)</f>
        <v>0</v>
      </c>
      <c r="G39" s="614">
        <f t="shared" si="1"/>
        <v>0</v>
      </c>
      <c r="H39" s="96">
        <f t="shared" si="5"/>
        <v>0</v>
      </c>
      <c r="I39" s="97">
        <f t="shared" si="6"/>
        <v>0</v>
      </c>
      <c r="J39" s="613">
        <f t="shared" si="4"/>
        <v>0</v>
      </c>
    </row>
    <row r="40" spans="1:10">
      <c r="A40" s="24"/>
      <c r="B40" s="25"/>
      <c r="C40" s="95"/>
      <c r="D40" s="614"/>
      <c r="E40" s="25"/>
      <c r="F40" s="95"/>
      <c r="G40" s="614"/>
      <c r="H40" s="96"/>
      <c r="I40" s="97"/>
      <c r="J40" s="613"/>
    </row>
    <row r="41" spans="1:10">
      <c r="A41" s="32" t="s">
        <v>37</v>
      </c>
      <c r="B41" s="31">
        <f>SUM(B42:B45)</f>
        <v>0</v>
      </c>
      <c r="C41" s="95">
        <f>SUM(C42:C45)</f>
        <v>0</v>
      </c>
      <c r="D41" s="614">
        <f t="shared" si="0"/>
        <v>0</v>
      </c>
      <c r="E41" s="31">
        <f>SUM(E42:E45)</f>
        <v>0</v>
      </c>
      <c r="F41" s="95">
        <f>SUM(F42:F45)</f>
        <v>0</v>
      </c>
      <c r="G41" s="614">
        <f t="shared" si="1"/>
        <v>0</v>
      </c>
      <c r="H41" s="96">
        <f t="shared" si="5"/>
        <v>0</v>
      </c>
      <c r="I41" s="97">
        <f t="shared" si="6"/>
        <v>0</v>
      </c>
      <c r="J41" s="613">
        <f t="shared" si="4"/>
        <v>0</v>
      </c>
    </row>
    <row r="42" spans="1:10">
      <c r="A42" s="24" t="s">
        <v>330</v>
      </c>
      <c r="B42" s="207">
        <f>折疊車出口!E42</f>
        <v>0</v>
      </c>
      <c r="C42" s="206">
        <v>0</v>
      </c>
      <c r="D42" s="614">
        <f t="shared" si="0"/>
        <v>0</v>
      </c>
      <c r="E42" s="207">
        <f>折疊車出口!G42</f>
        <v>0</v>
      </c>
      <c r="F42" s="206">
        <f>_xlfn.IFNA(VLOOKUP(A42,[18]進出口值表查詢結果!$C$11:$J$408,3,0),-[4]整車!$B$22)</f>
        <v>0</v>
      </c>
      <c r="G42" s="614">
        <f t="shared" si="1"/>
        <v>0</v>
      </c>
      <c r="H42" s="96">
        <f t="shared" si="5"/>
        <v>0</v>
      </c>
      <c r="I42" s="97">
        <f t="shared" si="6"/>
        <v>0</v>
      </c>
      <c r="J42" s="613">
        <f t="shared" si="4"/>
        <v>0</v>
      </c>
    </row>
    <row r="43" spans="1:10">
      <c r="A43" s="24" t="s">
        <v>331</v>
      </c>
      <c r="B43" s="207">
        <f>折疊車出口!E43</f>
        <v>0</v>
      </c>
      <c r="C43" s="206">
        <v>0</v>
      </c>
      <c r="D43" s="614">
        <f t="shared" si="0"/>
        <v>0</v>
      </c>
      <c r="E43" s="207">
        <f>折疊車出口!G43</f>
        <v>0</v>
      </c>
      <c r="F43" s="206">
        <f>_xlfn.IFNA(VLOOKUP(A43,[18]進出口值表查詢結果!$C$11:$J$408,3,0),-[4]整車!$B$22)</f>
        <v>0</v>
      </c>
      <c r="G43" s="614">
        <f t="shared" si="1"/>
        <v>0</v>
      </c>
      <c r="H43" s="96">
        <f t="shared" si="5"/>
        <v>0</v>
      </c>
      <c r="I43" s="97">
        <f t="shared" si="6"/>
        <v>0</v>
      </c>
      <c r="J43" s="613">
        <f t="shared" si="4"/>
        <v>0</v>
      </c>
    </row>
    <row r="44" spans="1:10">
      <c r="A44" s="24" t="s">
        <v>332</v>
      </c>
      <c r="B44" s="207">
        <f>折疊車出口!E44</f>
        <v>0</v>
      </c>
      <c r="C44" s="206">
        <v>0</v>
      </c>
      <c r="D44" s="614">
        <f t="shared" si="0"/>
        <v>0</v>
      </c>
      <c r="E44" s="207">
        <f>折疊車出口!G44</f>
        <v>0</v>
      </c>
      <c r="F44" s="206">
        <f>_xlfn.IFNA(VLOOKUP(A44,[18]進出口值表查詢結果!$C$11:$J$408,3,0),-[4]整車!$B$22)</f>
        <v>0</v>
      </c>
      <c r="G44" s="614">
        <f t="shared" si="1"/>
        <v>0</v>
      </c>
      <c r="H44" s="96">
        <f t="shared" si="5"/>
        <v>0</v>
      </c>
      <c r="I44" s="97">
        <f t="shared" si="6"/>
        <v>0</v>
      </c>
      <c r="J44" s="613">
        <f t="shared" si="4"/>
        <v>0</v>
      </c>
    </row>
    <row r="45" spans="1:10">
      <c r="A45" s="29" t="s">
        <v>41</v>
      </c>
      <c r="B45" s="207">
        <f>折疊車出口!E45</f>
        <v>0</v>
      </c>
      <c r="C45" s="206">
        <v>0</v>
      </c>
      <c r="D45" s="614">
        <f t="shared" si="0"/>
        <v>0</v>
      </c>
      <c r="E45" s="207">
        <f>折疊車出口!G45</f>
        <v>0</v>
      </c>
      <c r="F45" s="206">
        <f>_xlfn.IFNA(VLOOKUP(A45,[18]進出口值表查詢結果!$C$11:$J$408,3,0),-[4]整車!$B$22)</f>
        <v>0</v>
      </c>
      <c r="G45" s="614">
        <f t="shared" si="1"/>
        <v>0</v>
      </c>
      <c r="H45" s="96">
        <f t="shared" si="5"/>
        <v>0</v>
      </c>
      <c r="I45" s="97">
        <f t="shared" si="6"/>
        <v>0</v>
      </c>
      <c r="J45" s="613">
        <f t="shared" si="4"/>
        <v>0</v>
      </c>
    </row>
    <row r="46" spans="1:10">
      <c r="A46" s="29"/>
      <c r="B46" s="25"/>
      <c r="C46" s="95"/>
      <c r="D46" s="614"/>
      <c r="E46" s="25"/>
      <c r="F46" s="95"/>
      <c r="G46" s="614"/>
      <c r="H46" s="96"/>
      <c r="I46" s="97"/>
      <c r="J46" s="613"/>
    </row>
    <row r="47" spans="1:10">
      <c r="A47" s="29" t="s">
        <v>42</v>
      </c>
      <c r="B47" s="31">
        <f>SUM(B48:B66)</f>
        <v>3779</v>
      </c>
      <c r="C47" s="95">
        <f>SUM(C48:C66)</f>
        <v>3529</v>
      </c>
      <c r="D47" s="614">
        <f t="shared" si="0"/>
        <v>7.0841598186455093E-2</v>
      </c>
      <c r="E47" s="31">
        <f>SUM(E48:E66)</f>
        <v>3138010</v>
      </c>
      <c r="F47" s="95">
        <f>SUM(F48:F66)</f>
        <v>2900638</v>
      </c>
      <c r="G47" s="614">
        <f t="shared" si="1"/>
        <v>8.1834410222854426E-2</v>
      </c>
      <c r="H47" s="96">
        <f t="shared" si="5"/>
        <v>830.38105318867429</v>
      </c>
      <c r="I47" s="97">
        <f t="shared" si="6"/>
        <v>821.94332672145083</v>
      </c>
      <c r="J47" s="613">
        <f t="shared" si="4"/>
        <v>1.0265581814356557E-2</v>
      </c>
    </row>
    <row r="48" spans="1:10">
      <c r="A48" s="24" t="s">
        <v>322</v>
      </c>
      <c r="B48" s="207">
        <f>折疊車出口!E48</f>
        <v>0</v>
      </c>
      <c r="C48" s="206">
        <v>0</v>
      </c>
      <c r="D48" s="614">
        <f t="shared" si="0"/>
        <v>0</v>
      </c>
      <c r="E48" s="207">
        <f>折疊車出口!G48</f>
        <v>0</v>
      </c>
      <c r="F48" s="206">
        <f>_xlfn.IFNA(VLOOKUP(A48,[18]進出口值表查詢結果!$C$11:$J$480,3,0),-[4]整車!$B$22)</f>
        <v>0</v>
      </c>
      <c r="G48" s="614">
        <f t="shared" si="1"/>
        <v>0</v>
      </c>
      <c r="H48" s="96">
        <f t="shared" si="5"/>
        <v>0</v>
      </c>
      <c r="I48" s="97">
        <f t="shared" si="6"/>
        <v>0</v>
      </c>
      <c r="J48" s="613">
        <f t="shared" si="4"/>
        <v>0</v>
      </c>
    </row>
    <row r="49" spans="1:10">
      <c r="A49" s="24" t="s">
        <v>333</v>
      </c>
      <c r="B49" s="207">
        <f>折疊車出口!E49</f>
        <v>869</v>
      </c>
      <c r="C49" s="206">
        <f>VLOOKUP(A49,[19]進出口值表查詢結果!$A$10:$C$22,3,0)</f>
        <v>624</v>
      </c>
      <c r="D49" s="614">
        <f t="shared" si="0"/>
        <v>0.39262820512820512</v>
      </c>
      <c r="E49" s="207">
        <f>折疊車出口!G49</f>
        <v>503751</v>
      </c>
      <c r="F49" s="206">
        <f>VLOOKUP(A49,[19]進出口值表查詢結果!$A$10:$C$22,2,0)</f>
        <v>422292</v>
      </c>
      <c r="G49" s="614">
        <f t="shared" si="1"/>
        <v>0.1928973317041289</v>
      </c>
      <c r="H49" s="96">
        <f t="shared" si="5"/>
        <v>579.69044879171463</v>
      </c>
      <c r="I49" s="97">
        <f t="shared" si="6"/>
        <v>676.75</v>
      </c>
      <c r="J49" s="613">
        <f t="shared" si="4"/>
        <v>-0.14342009783270834</v>
      </c>
    </row>
    <row r="50" spans="1:10">
      <c r="A50" s="522" t="s">
        <v>339</v>
      </c>
      <c r="B50" s="207">
        <f>折疊車出口!E50</f>
        <v>0</v>
      </c>
      <c r="C50" s="206">
        <f>VLOOKUP(A50,[19]進出口值表查詢結果!$A$10:$C$22,3,0)</f>
        <v>19</v>
      </c>
      <c r="D50" s="614">
        <f t="shared" si="0"/>
        <v>-1</v>
      </c>
      <c r="E50" s="207">
        <f>折疊車出口!G50</f>
        <v>0</v>
      </c>
      <c r="F50" s="206">
        <f>VLOOKUP(A50,[19]進出口值表查詢結果!$A$10:$C$22,2,0)</f>
        <v>19056</v>
      </c>
      <c r="G50" s="614">
        <f t="shared" si="1"/>
        <v>-1</v>
      </c>
      <c r="H50" s="96">
        <f t="shared" si="5"/>
        <v>0</v>
      </c>
      <c r="I50" s="97">
        <f t="shared" si="6"/>
        <v>1002.9473684210526</v>
      </c>
      <c r="J50" s="613">
        <f t="shared" si="4"/>
        <v>-1</v>
      </c>
    </row>
    <row r="51" spans="1:10">
      <c r="A51" s="24" t="s">
        <v>334</v>
      </c>
      <c r="B51" s="207">
        <f>折疊車出口!E51</f>
        <v>0</v>
      </c>
      <c r="C51" s="206">
        <v>0</v>
      </c>
      <c r="D51" s="614">
        <f t="shared" si="0"/>
        <v>0</v>
      </c>
      <c r="E51" s="207">
        <f>折疊車出口!G51</f>
        <v>0</v>
      </c>
      <c r="F51" s="206">
        <f>_xlfn.IFNA(VLOOKUP(A51,[18]進出口值表查詢結果!$C$11:$J$480,3,0),-[4]整車!$B$22)</f>
        <v>0</v>
      </c>
      <c r="G51" s="614">
        <f t="shared" si="1"/>
        <v>0</v>
      </c>
      <c r="H51" s="96">
        <f t="shared" si="5"/>
        <v>0</v>
      </c>
      <c r="I51" s="97">
        <f t="shared" si="6"/>
        <v>0</v>
      </c>
      <c r="J51" s="613">
        <f t="shared" si="4"/>
        <v>0</v>
      </c>
    </row>
    <row r="52" spans="1:10">
      <c r="A52" s="29" t="s">
        <v>46</v>
      </c>
      <c r="B52" s="207">
        <f>折疊車出口!E52</f>
        <v>0</v>
      </c>
      <c r="C52" s="206">
        <v>0</v>
      </c>
      <c r="D52" s="614">
        <f t="shared" si="0"/>
        <v>0</v>
      </c>
      <c r="E52" s="207">
        <f>折疊車出口!G52</f>
        <v>0</v>
      </c>
      <c r="F52" s="206">
        <f>_xlfn.IFNA(VLOOKUP(A52,[18]進出口值表查詢結果!$C$11:$J$480,3,0),-[4]整車!$B$22)</f>
        <v>0</v>
      </c>
      <c r="G52" s="614">
        <f t="shared" si="1"/>
        <v>0</v>
      </c>
      <c r="H52" s="96">
        <f t="shared" si="5"/>
        <v>0</v>
      </c>
      <c r="I52" s="97">
        <f t="shared" si="6"/>
        <v>0</v>
      </c>
      <c r="J52" s="613">
        <f t="shared" si="4"/>
        <v>0</v>
      </c>
    </row>
    <row r="53" spans="1:10">
      <c r="A53" s="24" t="s">
        <v>335</v>
      </c>
      <c r="B53" s="207">
        <f>折疊車出口!E53</f>
        <v>0</v>
      </c>
      <c r="C53" s="206">
        <v>0</v>
      </c>
      <c r="D53" s="614">
        <f t="shared" si="0"/>
        <v>0</v>
      </c>
      <c r="E53" s="207">
        <f>折疊車出口!G53</f>
        <v>0</v>
      </c>
      <c r="F53" s="206">
        <f>_xlfn.IFNA(VLOOKUP(A53,[18]進出口值表查詢結果!$C$11:$J$480,3,0),-[4]整車!$B$22)</f>
        <v>0</v>
      </c>
      <c r="G53" s="614">
        <f t="shared" si="1"/>
        <v>0</v>
      </c>
      <c r="H53" s="96">
        <f t="shared" si="5"/>
        <v>0</v>
      </c>
      <c r="I53" s="97">
        <f t="shared" si="6"/>
        <v>0</v>
      </c>
      <c r="J53" s="613">
        <f t="shared" si="4"/>
        <v>0</v>
      </c>
    </row>
    <row r="54" spans="1:10">
      <c r="A54" s="29" t="s">
        <v>48</v>
      </c>
      <c r="B54" s="207">
        <f>折疊車出口!E54</f>
        <v>0</v>
      </c>
      <c r="C54" s="206">
        <v>0</v>
      </c>
      <c r="D54" s="614">
        <f t="shared" si="0"/>
        <v>0</v>
      </c>
      <c r="E54" s="207">
        <f>折疊車出口!G54</f>
        <v>0</v>
      </c>
      <c r="F54" s="206">
        <f>_xlfn.IFNA(VLOOKUP(A54,[18]進出口值表查詢結果!$C$11:$J$480,3,0),-[4]整車!$B$22)</f>
        <v>0</v>
      </c>
      <c r="G54" s="614">
        <f t="shared" si="1"/>
        <v>0</v>
      </c>
      <c r="H54" s="96">
        <f t="shared" si="5"/>
        <v>0</v>
      </c>
      <c r="I54" s="97">
        <f t="shared" si="6"/>
        <v>0</v>
      </c>
      <c r="J54" s="613">
        <f t="shared" si="4"/>
        <v>0</v>
      </c>
    </row>
    <row r="55" spans="1:10">
      <c r="A55" s="29" t="s">
        <v>49</v>
      </c>
      <c r="B55" s="207">
        <f>折疊車出口!E55</f>
        <v>0</v>
      </c>
      <c r="C55" s="206">
        <v>0</v>
      </c>
      <c r="D55" s="614">
        <f t="shared" si="0"/>
        <v>0</v>
      </c>
      <c r="E55" s="207">
        <f>折疊車出口!G55</f>
        <v>0</v>
      </c>
      <c r="F55" s="206">
        <f>_xlfn.IFNA(VLOOKUP(A55,[18]進出口值表查詢結果!$C$11:$J$480,3,0),-[4]整車!$B$22)</f>
        <v>0</v>
      </c>
      <c r="G55" s="614">
        <f t="shared" si="1"/>
        <v>0</v>
      </c>
      <c r="H55" s="96">
        <f t="shared" si="5"/>
        <v>0</v>
      </c>
      <c r="I55" s="97">
        <f t="shared" si="6"/>
        <v>0</v>
      </c>
      <c r="J55" s="613">
        <f t="shared" si="4"/>
        <v>0</v>
      </c>
    </row>
    <row r="56" spans="1:10">
      <c r="A56" s="29" t="s">
        <v>50</v>
      </c>
      <c r="B56" s="207">
        <f>折疊車出口!E56</f>
        <v>1497</v>
      </c>
      <c r="C56" s="206">
        <f>VLOOKUP(A56,[19]進出口值表查詢結果!$A$10:$C$22,3,0)</f>
        <v>1937</v>
      </c>
      <c r="D56" s="614">
        <f t="shared" si="0"/>
        <v>-0.22715539494062983</v>
      </c>
      <c r="E56" s="207">
        <f>折疊車出口!G56</f>
        <v>1511856</v>
      </c>
      <c r="F56" s="206">
        <f>VLOOKUP(A56,[19]進出口值表查詢結果!$A$10:$C$22,2,0)</f>
        <v>1586850</v>
      </c>
      <c r="G56" s="614">
        <f t="shared" si="1"/>
        <v>-4.7259665374799129E-2</v>
      </c>
      <c r="H56" s="96">
        <f t="shared" si="5"/>
        <v>1009.9238476953908</v>
      </c>
      <c r="I56" s="97">
        <f t="shared" si="6"/>
        <v>819.23076923076928</v>
      </c>
      <c r="J56" s="613">
        <f t="shared" si="4"/>
        <v>0.23277089390047695</v>
      </c>
    </row>
    <row r="57" spans="1:10">
      <c r="A57" s="521" t="s">
        <v>338</v>
      </c>
      <c r="B57" s="207">
        <f>折疊車出口!E57</f>
        <v>756</v>
      </c>
      <c r="C57" s="206">
        <f>VLOOKUP(A57,[19]進出口值表查詢結果!$A$10:$C$22,3,0)</f>
        <v>705</v>
      </c>
      <c r="D57" s="614">
        <f t="shared" si="0"/>
        <v>7.2340425531914887E-2</v>
      </c>
      <c r="E57" s="207">
        <f>折疊車出口!G57</f>
        <v>646667</v>
      </c>
      <c r="F57" s="206">
        <f>VLOOKUP(A57,[19]進出口值表查詢結果!$A$10:$C$22,2,0)</f>
        <v>640845</v>
      </c>
      <c r="G57" s="614">
        <f t="shared" si="1"/>
        <v>9.0848801192175959E-3</v>
      </c>
      <c r="H57" s="96">
        <f t="shared" si="5"/>
        <v>855.37962962962968</v>
      </c>
      <c r="I57" s="97">
        <f t="shared" si="6"/>
        <v>909</v>
      </c>
      <c r="J57" s="613">
        <f t="shared" si="4"/>
        <v>-5.8988306238031162E-2</v>
      </c>
    </row>
    <row r="58" spans="1:10">
      <c r="A58" s="520" t="s">
        <v>345</v>
      </c>
      <c r="B58" s="207">
        <f>折疊車出口!E58</f>
        <v>254</v>
      </c>
      <c r="C58" s="206">
        <f>VLOOKUP(A58,[19]進出口值表查詢結果!$A$10:$C$22,3,0)</f>
        <v>236</v>
      </c>
      <c r="D58" s="614">
        <f t="shared" si="0"/>
        <v>7.6271186440677971E-2</v>
      </c>
      <c r="E58" s="207">
        <f>折疊車出口!G58</f>
        <v>320535</v>
      </c>
      <c r="F58" s="206">
        <f>VLOOKUP(A58,[19]進出口值表查詢結果!$A$10:$C$22,2,0)</f>
        <v>228017</v>
      </c>
      <c r="G58" s="614">
        <f t="shared" si="1"/>
        <v>0.40575044843147662</v>
      </c>
      <c r="H58" s="96">
        <f t="shared" si="5"/>
        <v>1261.9488188976377</v>
      </c>
      <c r="I58" s="97">
        <f t="shared" si="6"/>
        <v>966.17372881355936</v>
      </c>
      <c r="J58" s="613">
        <f t="shared" si="4"/>
        <v>0.30613033791271038</v>
      </c>
    </row>
    <row r="59" spans="1:10">
      <c r="A59" s="29" t="s">
        <v>51</v>
      </c>
      <c r="B59" s="207">
        <f>折疊車出口!E59</f>
        <v>400</v>
      </c>
      <c r="C59" s="206">
        <v>0</v>
      </c>
      <c r="D59" s="614">
        <f t="shared" si="0"/>
        <v>0</v>
      </c>
      <c r="E59" s="207">
        <f>折疊車出口!G59</f>
        <v>154715</v>
      </c>
      <c r="F59" s="206">
        <f>_xlfn.IFNA(VLOOKUP(A59,[18]進出口值表查詢結果!$C$11:$J$480,3,0),-[4]整車!$B$22)</f>
        <v>0</v>
      </c>
      <c r="G59" s="614">
        <f t="shared" si="1"/>
        <v>0</v>
      </c>
      <c r="H59" s="96">
        <f t="shared" si="5"/>
        <v>386.78750000000002</v>
      </c>
      <c r="I59" s="97">
        <f t="shared" si="6"/>
        <v>0</v>
      </c>
      <c r="J59" s="613">
        <f t="shared" si="4"/>
        <v>0</v>
      </c>
    </row>
    <row r="60" spans="1:10">
      <c r="A60" s="29" t="s">
        <v>52</v>
      </c>
      <c r="B60" s="207">
        <f>折疊車出口!E60</f>
        <v>0</v>
      </c>
      <c r="C60" s="206">
        <v>0</v>
      </c>
      <c r="D60" s="614">
        <f t="shared" si="0"/>
        <v>0</v>
      </c>
      <c r="E60" s="207">
        <f>折疊車出口!G60</f>
        <v>0</v>
      </c>
      <c r="F60" s="206">
        <f>_xlfn.IFNA(VLOOKUP(A60,[18]進出口值表查詢結果!$C$11:$J$480,3,0),-[4]整車!$B$22)</f>
        <v>0</v>
      </c>
      <c r="G60" s="614">
        <f t="shared" si="1"/>
        <v>0</v>
      </c>
      <c r="H60" s="96">
        <f t="shared" si="5"/>
        <v>0</v>
      </c>
      <c r="I60" s="97">
        <f t="shared" si="6"/>
        <v>0</v>
      </c>
      <c r="J60" s="613">
        <f t="shared" si="4"/>
        <v>0</v>
      </c>
    </row>
    <row r="61" spans="1:10">
      <c r="A61" s="29" t="s">
        <v>53</v>
      </c>
      <c r="B61" s="207">
        <f>折疊車出口!E61</f>
        <v>0</v>
      </c>
      <c r="C61" s="206">
        <v>0</v>
      </c>
      <c r="D61" s="614">
        <f t="shared" si="0"/>
        <v>0</v>
      </c>
      <c r="E61" s="207">
        <f>折疊車出口!G61</f>
        <v>0</v>
      </c>
      <c r="F61" s="206">
        <f>_xlfn.IFNA(VLOOKUP(A61,[18]進出口值表查詢結果!$C$11:$J$480,3,0),-[4]整車!$B$22)</f>
        <v>0</v>
      </c>
      <c r="G61" s="614">
        <f t="shared" si="1"/>
        <v>0</v>
      </c>
      <c r="H61" s="96">
        <f t="shared" si="5"/>
        <v>0</v>
      </c>
      <c r="I61" s="97">
        <f t="shared" si="6"/>
        <v>0</v>
      </c>
      <c r="J61" s="613">
        <f t="shared" si="4"/>
        <v>0</v>
      </c>
    </row>
    <row r="62" spans="1:10">
      <c r="A62" s="520" t="s">
        <v>336</v>
      </c>
      <c r="B62" s="207">
        <f>折疊車出口!E62</f>
        <v>0</v>
      </c>
      <c r="C62" s="206">
        <v>0</v>
      </c>
      <c r="D62" s="614">
        <f t="shared" si="0"/>
        <v>0</v>
      </c>
      <c r="E62" s="207">
        <f>折疊車出口!G62</f>
        <v>0</v>
      </c>
      <c r="F62" s="206">
        <f>_xlfn.IFNA(VLOOKUP(A62,[18]進出口值表查詢結果!$C$11:$J$480,3,0),-[4]整車!$B$22)</f>
        <v>0</v>
      </c>
      <c r="G62" s="614">
        <f t="shared" si="1"/>
        <v>0</v>
      </c>
      <c r="H62" s="96">
        <f t="shared" si="5"/>
        <v>0</v>
      </c>
      <c r="I62" s="97">
        <f t="shared" si="6"/>
        <v>0</v>
      </c>
      <c r="J62" s="613">
        <f t="shared" si="4"/>
        <v>0</v>
      </c>
    </row>
    <row r="63" spans="1:10">
      <c r="A63" s="29" t="s">
        <v>54</v>
      </c>
      <c r="B63" s="207">
        <f>折疊車出口!E63</f>
        <v>0</v>
      </c>
      <c r="C63" s="206">
        <v>0</v>
      </c>
      <c r="D63" s="614">
        <f t="shared" si="0"/>
        <v>0</v>
      </c>
      <c r="E63" s="207">
        <f>折疊車出口!G63</f>
        <v>0</v>
      </c>
      <c r="F63" s="206">
        <f>_xlfn.IFNA(VLOOKUP(A63,[18]進出口值表查詢結果!$C$11:$J$480,3,0),-[4]整車!$B$22)</f>
        <v>0</v>
      </c>
      <c r="G63" s="614">
        <f t="shared" si="1"/>
        <v>0</v>
      </c>
      <c r="H63" s="96">
        <f t="shared" si="5"/>
        <v>0</v>
      </c>
      <c r="I63" s="97">
        <f t="shared" si="6"/>
        <v>0</v>
      </c>
      <c r="J63" s="613">
        <f t="shared" si="4"/>
        <v>0</v>
      </c>
    </row>
    <row r="64" spans="1:10">
      <c r="A64" s="520" t="s">
        <v>102</v>
      </c>
      <c r="B64" s="207">
        <f>折疊車出口!E64</f>
        <v>0</v>
      </c>
      <c r="C64" s="206">
        <v>0</v>
      </c>
      <c r="D64" s="614">
        <f t="shared" si="0"/>
        <v>0</v>
      </c>
      <c r="E64" s="207">
        <f>折疊車出口!G64</f>
        <v>0</v>
      </c>
      <c r="F64" s="206">
        <f>_xlfn.IFNA(VLOOKUP(A64,[18]進出口值表查詢結果!$C$11:$J$480,3,0),-[4]整車!$B$22)</f>
        <v>0</v>
      </c>
      <c r="G64" s="614">
        <f t="shared" si="1"/>
        <v>0</v>
      </c>
      <c r="H64" s="96">
        <f t="shared" si="5"/>
        <v>0</v>
      </c>
      <c r="I64" s="97">
        <f t="shared" si="6"/>
        <v>0</v>
      </c>
      <c r="J64" s="613">
        <f t="shared" si="4"/>
        <v>0</v>
      </c>
    </row>
    <row r="65" spans="1:10">
      <c r="A65" s="29" t="s">
        <v>55</v>
      </c>
      <c r="B65" s="207">
        <f>折疊車出口!E65</f>
        <v>0</v>
      </c>
      <c r="C65" s="206">
        <v>0</v>
      </c>
      <c r="D65" s="614">
        <f t="shared" si="0"/>
        <v>0</v>
      </c>
      <c r="E65" s="207">
        <f>折疊車出口!G65</f>
        <v>0</v>
      </c>
      <c r="F65" s="206">
        <f>_xlfn.IFNA(VLOOKUP(A65,[18]進出口值表查詢結果!$C$11:$J$480,3,0),-[4]整車!$B$22)</f>
        <v>0</v>
      </c>
      <c r="G65" s="614">
        <f t="shared" si="1"/>
        <v>0</v>
      </c>
      <c r="H65" s="96">
        <f t="shared" si="5"/>
        <v>0</v>
      </c>
      <c r="I65" s="97">
        <f t="shared" si="6"/>
        <v>0</v>
      </c>
      <c r="J65" s="613">
        <f t="shared" si="4"/>
        <v>0</v>
      </c>
    </row>
    <row r="66" spans="1:10">
      <c r="A66" s="520" t="s">
        <v>337</v>
      </c>
      <c r="B66" s="207">
        <f>折疊車出口!E66</f>
        <v>3</v>
      </c>
      <c r="C66" s="206">
        <f>VLOOKUP(A66,[19]進出口值表查詢結果!$A$10:$C$22,3,0)</f>
        <v>8</v>
      </c>
      <c r="D66" s="614">
        <f t="shared" si="0"/>
        <v>-0.625</v>
      </c>
      <c r="E66" s="207">
        <f>折疊車出口!G66</f>
        <v>486</v>
      </c>
      <c r="F66" s="206">
        <f>VLOOKUP(A66,[19]進出口值表查詢結果!$A$10:$C$22,2,0)</f>
        <v>3578</v>
      </c>
      <c r="G66" s="614">
        <f t="shared" si="1"/>
        <v>-0.86416992733370601</v>
      </c>
      <c r="H66" s="96">
        <f t="shared" si="5"/>
        <v>162</v>
      </c>
      <c r="I66" s="97">
        <f t="shared" si="6"/>
        <v>447.25</v>
      </c>
      <c r="J66" s="613">
        <f t="shared" si="4"/>
        <v>-0.63778647288988266</v>
      </c>
    </row>
    <row r="67" spans="1:10">
      <c r="A67" s="29" t="s">
        <v>56</v>
      </c>
      <c r="B67" s="25">
        <f>B68-B47-B41-B12-B7</f>
        <v>22</v>
      </c>
      <c r="C67" s="95">
        <f>C68-C47-C41-C12-C7</f>
        <v>23</v>
      </c>
      <c r="D67" s="614">
        <f t="shared" si="0"/>
        <v>-4.3478260869565216E-2</v>
      </c>
      <c r="E67" s="207">
        <f>E68-E7-E12-E41-E47</f>
        <v>20358</v>
      </c>
      <c r="F67" s="95">
        <f>F68-F47-F41-F12-F7</f>
        <v>14985</v>
      </c>
      <c r="G67" s="614">
        <f t="shared" si="1"/>
        <v>0.35855855855855856</v>
      </c>
      <c r="H67" s="96">
        <f t="shared" si="5"/>
        <v>925.36363636363637</v>
      </c>
      <c r="I67" s="97">
        <f t="shared" si="6"/>
        <v>651.52173913043475</v>
      </c>
      <c r="J67" s="613">
        <f t="shared" si="4"/>
        <v>0.42031122031122037</v>
      </c>
    </row>
    <row r="68" spans="1:10">
      <c r="A68" s="30" t="s">
        <v>396</v>
      </c>
      <c r="B68" s="207">
        <f>折疊車出口!E68</f>
        <v>4128</v>
      </c>
      <c r="C68" s="206">
        <f>VLOOKUP(A68,[19]進出口值表查詢結果!$A$10:$C$22,3,0)</f>
        <v>4364</v>
      </c>
      <c r="D68" s="614">
        <f t="shared" si="0"/>
        <v>-5.4078826764436295E-2</v>
      </c>
      <c r="E68" s="207">
        <f>折疊車出口!G68</f>
        <v>3375113</v>
      </c>
      <c r="F68" s="206">
        <f>VLOOKUP(A68,[19]進出口值表查詢結果!$A$10:$C$22,2,0)</f>
        <v>3297673</v>
      </c>
      <c r="G68" s="614">
        <f t="shared" si="1"/>
        <v>2.3483225898989983E-2</v>
      </c>
      <c r="H68" s="96">
        <f t="shared" ref="H68" si="7">E68/B68</f>
        <v>817.61458333333337</v>
      </c>
      <c r="I68" s="97">
        <f t="shared" ref="I68" si="8">F68/C68</f>
        <v>755.65375802016501</v>
      </c>
      <c r="J68" s="613">
        <f t="shared" si="4"/>
        <v>8.1996317302129931E-2</v>
      </c>
    </row>
    <row r="69" spans="1:10">
      <c r="A69" s="57" t="s">
        <v>75</v>
      </c>
      <c r="B69" s="3"/>
      <c r="C69" s="35"/>
      <c r="D69" s="3"/>
      <c r="E69" s="3"/>
      <c r="F69" s="3"/>
      <c r="G69" s="3"/>
      <c r="H69" s="3"/>
      <c r="I69" s="3"/>
      <c r="J69" s="3"/>
    </row>
    <row r="70" spans="1:10">
      <c r="A70" s="60" t="s">
        <v>60</v>
      </c>
      <c r="B70" s="61"/>
      <c r="C70" s="62"/>
      <c r="D70" s="64"/>
      <c r="E70" s="61"/>
      <c r="F70" s="62"/>
      <c r="G70" s="64"/>
      <c r="H70" s="60"/>
      <c r="I70" s="60"/>
      <c r="J70" s="60"/>
    </row>
  </sheetData>
  <mergeCells count="1">
    <mergeCell ref="A3:J3"/>
  </mergeCells>
  <phoneticPr fontId="3" type="noConversion"/>
  <conditionalFormatting sqref="D1:D3 D6:D1048576 G6:G1048576 J6:J1048576">
    <cfRule type="cellIs" dxfId="35" priority="16" operator="greaterThanOrEqual">
      <formula>0</formula>
    </cfRule>
  </conditionalFormatting>
  <conditionalFormatting sqref="D1:D4 G1:G4">
    <cfRule type="cellIs" dxfId="34" priority="1" operator="lessThan">
      <formula>0</formula>
    </cfRule>
  </conditionalFormatting>
  <conditionalFormatting sqref="D6:D1048576 G6:G1048576 J6:J1048576">
    <cfRule type="cellIs" dxfId="33" priority="17" operator="lessThan">
      <formula>0</formula>
    </cfRule>
  </conditionalFormatting>
  <conditionalFormatting sqref="G1:G3">
    <cfRule type="cellIs" dxfId="32" priority="14" operator="greaterThanOrEqual">
      <formula>0</formula>
    </cfRule>
  </conditionalFormatting>
  <conditionalFormatting sqref="J1:J3">
    <cfRule type="cellIs" dxfId="31" priority="12" operator="greaterThanOrEqual">
      <formula>0</formula>
    </cfRule>
  </conditionalFormatting>
  <conditionalFormatting sqref="J1:J4">
    <cfRule type="cellIs" dxfId="30" priority="3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0"/>
  <sheetViews>
    <sheetView zoomScale="130" zoomScaleNormal="130" workbookViewId="0">
      <selection activeCell="C7" sqref="C7"/>
    </sheetView>
  </sheetViews>
  <sheetFormatPr defaultRowHeight="16.5"/>
  <cols>
    <col min="1" max="1" width="14" customWidth="1"/>
    <col min="2" max="2" width="11.5" customWidth="1"/>
    <col min="3" max="3" width="13.625" customWidth="1"/>
    <col min="4" max="4" width="11.625" customWidth="1"/>
    <col min="5" max="5" width="13.5" customWidth="1"/>
    <col min="7" max="7" width="14" customWidth="1"/>
    <col min="9" max="9" width="10.875" customWidth="1"/>
  </cols>
  <sheetData>
    <row r="1" spans="1:9" ht="23.25">
      <c r="A1" s="66" t="s">
        <v>288</v>
      </c>
      <c r="B1" s="1"/>
      <c r="C1" s="1"/>
      <c r="D1" s="66"/>
      <c r="E1" s="111"/>
      <c r="F1" s="1"/>
      <c r="G1" s="111"/>
      <c r="H1" s="1"/>
      <c r="I1" s="1"/>
    </row>
    <row r="2" spans="1:9">
      <c r="A2" s="4"/>
      <c r="B2" s="4"/>
      <c r="C2" s="138"/>
      <c r="D2" s="138"/>
      <c r="E2" s="113"/>
      <c r="F2" s="138"/>
      <c r="G2" s="180"/>
      <c r="H2" s="4"/>
      <c r="I2" s="138"/>
    </row>
    <row r="3" spans="1:9">
      <c r="A3" s="181" t="s">
        <v>105</v>
      </c>
      <c r="B3" s="182"/>
      <c r="C3" s="183"/>
      <c r="D3" s="184"/>
      <c r="E3" s="185"/>
      <c r="F3" s="183"/>
      <c r="G3" s="186"/>
      <c r="H3" s="182"/>
      <c r="I3" s="184"/>
    </row>
    <row r="4" spans="1:9">
      <c r="A4" s="6" t="s">
        <v>285</v>
      </c>
      <c r="B4" s="10" t="s">
        <v>271</v>
      </c>
      <c r="C4" s="10" t="s">
        <v>270</v>
      </c>
      <c r="D4" s="7" t="s">
        <v>273</v>
      </c>
      <c r="E4" s="118" t="s">
        <v>279</v>
      </c>
      <c r="F4" s="10" t="s">
        <v>2</v>
      </c>
      <c r="G4" s="118" t="s">
        <v>280</v>
      </c>
      <c r="H4" s="10" t="s">
        <v>2</v>
      </c>
      <c r="I4" s="187" t="s">
        <v>1</v>
      </c>
    </row>
    <row r="5" spans="1:9">
      <c r="A5" s="12"/>
      <c r="B5" s="10" t="s">
        <v>5</v>
      </c>
      <c r="C5" s="6" t="s">
        <v>4</v>
      </c>
      <c r="D5" s="10" t="s">
        <v>4</v>
      </c>
      <c r="E5" s="118" t="s">
        <v>5</v>
      </c>
      <c r="F5" s="10" t="s">
        <v>5</v>
      </c>
      <c r="G5" s="120" t="s">
        <v>4</v>
      </c>
      <c r="H5" s="6" t="s">
        <v>4</v>
      </c>
      <c r="I5" s="119" t="s">
        <v>4</v>
      </c>
    </row>
    <row r="6" spans="1:9">
      <c r="A6" s="155" t="s">
        <v>6</v>
      </c>
      <c r="B6" s="16"/>
      <c r="C6" s="168"/>
      <c r="D6" s="168"/>
      <c r="E6" s="121"/>
      <c r="F6" s="168"/>
      <c r="G6" s="188"/>
      <c r="H6" s="16"/>
      <c r="I6" s="169"/>
    </row>
    <row r="7" spans="1:9">
      <c r="A7" s="19" t="s">
        <v>7</v>
      </c>
      <c r="B7" s="21">
        <f>SUM(B8:B10)</f>
        <v>12</v>
      </c>
      <c r="C7" s="189">
        <f>SUM(C8:C10)</f>
        <v>13291</v>
      </c>
      <c r="D7" s="171">
        <f>C7/B7</f>
        <v>1107.5833333333333</v>
      </c>
      <c r="E7" s="125">
        <f>SUM(E8:E10)</f>
        <v>12</v>
      </c>
      <c r="F7" s="190">
        <f>E7/$E$68</f>
        <v>3.3021463951568518E-3</v>
      </c>
      <c r="G7" s="191">
        <f>SUM(G8:G10)</f>
        <v>13291</v>
      </c>
      <c r="H7" s="126">
        <f>G7/$G$68</f>
        <v>7.8314012616504686E-3</v>
      </c>
      <c r="I7" s="177">
        <f>G7/E7</f>
        <v>1107.5833333333333</v>
      </c>
    </row>
    <row r="8" spans="1:9">
      <c r="A8" s="24" t="s">
        <v>66</v>
      </c>
      <c r="B8" s="174">
        <v>12</v>
      </c>
      <c r="C8" s="26">
        <v>13291</v>
      </c>
      <c r="D8" s="171">
        <f>C8/B8</f>
        <v>1107.5833333333333</v>
      </c>
      <c r="E8" s="129">
        <f>B8+折疊車出口!B8</f>
        <v>12</v>
      </c>
      <c r="F8" s="192">
        <f>E8/$E$68</f>
        <v>3.3021463951568518E-3</v>
      </c>
      <c r="G8" s="193">
        <f>C8+折疊車出口!C8</f>
        <v>13291</v>
      </c>
      <c r="H8" s="130">
        <f>G8/$G$68</f>
        <v>7.8314012616504686E-3</v>
      </c>
      <c r="I8" s="177">
        <f>G8/E8</f>
        <v>1107.5833333333333</v>
      </c>
    </row>
    <row r="9" spans="1:9">
      <c r="A9" s="29" t="s">
        <v>8</v>
      </c>
      <c r="B9" s="174">
        <v>0</v>
      </c>
      <c r="C9" s="26">
        <v>0</v>
      </c>
      <c r="D9" s="171">
        <v>0</v>
      </c>
      <c r="E9" s="129">
        <f>B9+折疊車出口!B9</f>
        <v>0</v>
      </c>
      <c r="F9" s="192">
        <f>E9/$E$68</f>
        <v>0</v>
      </c>
      <c r="G9" s="193">
        <f>C9+折疊車出口!C9</f>
        <v>0</v>
      </c>
      <c r="H9" s="130">
        <f>G9/$G$68</f>
        <v>0</v>
      </c>
      <c r="I9" s="177">
        <v>0</v>
      </c>
    </row>
    <row r="10" spans="1:9">
      <c r="A10" s="29" t="s">
        <v>9</v>
      </c>
      <c r="B10" s="174">
        <v>0</v>
      </c>
      <c r="C10" s="26">
        <v>0</v>
      </c>
      <c r="D10" s="171">
        <v>0</v>
      </c>
      <c r="E10" s="129">
        <f>B10+折疊車出口!B10</f>
        <v>0</v>
      </c>
      <c r="F10" s="192">
        <f>E10/$E$68</f>
        <v>0</v>
      </c>
      <c r="G10" s="193">
        <f>C10+折疊車出口!C10</f>
        <v>0</v>
      </c>
      <c r="H10" s="130">
        <f>G10/$G$68</f>
        <v>0</v>
      </c>
      <c r="I10" s="177">
        <v>0</v>
      </c>
    </row>
    <row r="11" spans="1:9">
      <c r="A11" s="133"/>
      <c r="B11" s="25"/>
      <c r="C11" s="174"/>
      <c r="D11" s="176"/>
      <c r="E11" s="131"/>
      <c r="F11" s="192"/>
      <c r="G11" s="193"/>
      <c r="H11" s="130"/>
      <c r="I11" s="177"/>
    </row>
    <row r="12" spans="1:9">
      <c r="A12" s="30" t="s">
        <v>10</v>
      </c>
      <c r="B12" s="31">
        <f>SUM(B13:B40)</f>
        <v>1017</v>
      </c>
      <c r="C12" s="178">
        <f>SUM(C13:C40)</f>
        <v>213449</v>
      </c>
      <c r="D12" s="171">
        <f>C12/B12</f>
        <v>209.8810226155359</v>
      </c>
      <c r="E12" s="134">
        <f>SUM(E13:E40)</f>
        <v>1023</v>
      </c>
      <c r="F12" s="190">
        <f t="shared" ref="F12:F64" si="0">E12/$E$68</f>
        <v>0.28150798018712164</v>
      </c>
      <c r="G12" s="194">
        <f>SUM(G13:G40)</f>
        <v>217213</v>
      </c>
      <c r="H12" s="126">
        <f t="shared" ref="H12:H67" si="1">G12/$G$68</f>
        <v>0.12798752255262083</v>
      </c>
      <c r="I12" s="173">
        <f>G12/E12</f>
        <v>212.32942326490715</v>
      </c>
    </row>
    <row r="13" spans="1:9">
      <c r="A13" s="24" t="s">
        <v>11</v>
      </c>
      <c r="B13" s="174">
        <v>154</v>
      </c>
      <c r="C13" s="25">
        <v>50884</v>
      </c>
      <c r="D13" s="171">
        <f>C13/B13</f>
        <v>330.41558441558442</v>
      </c>
      <c r="E13" s="129">
        <f>B13+折疊車出口!B13</f>
        <v>159</v>
      </c>
      <c r="F13" s="192">
        <f t="shared" si="0"/>
        <v>4.3753439735828285E-2</v>
      </c>
      <c r="G13" s="193">
        <f>C13+折疊車出口!C13</f>
        <v>52989</v>
      </c>
      <c r="H13" s="130">
        <f t="shared" si="1"/>
        <v>3.1222490516409351E-2</v>
      </c>
      <c r="I13" s="173">
        <f>G13/E13</f>
        <v>333.2641509433962</v>
      </c>
    </row>
    <row r="14" spans="1:9">
      <c r="A14" s="24" t="s">
        <v>12</v>
      </c>
      <c r="B14" s="174">
        <v>223</v>
      </c>
      <c r="C14" s="25">
        <v>79331</v>
      </c>
      <c r="D14" s="171">
        <f>C14/B14</f>
        <v>355.74439461883406</v>
      </c>
      <c r="E14" s="129">
        <f>B14+折疊車出口!B14</f>
        <v>224</v>
      </c>
      <c r="F14" s="192">
        <f t="shared" si="0"/>
        <v>6.1640066042927905E-2</v>
      </c>
      <c r="G14" s="193">
        <f>C14+折疊車出口!C14</f>
        <v>80990</v>
      </c>
      <c r="H14" s="130">
        <f t="shared" si="1"/>
        <v>4.7721404573099951E-2</v>
      </c>
      <c r="I14" s="177">
        <f>G14/E14</f>
        <v>361.5625</v>
      </c>
    </row>
    <row r="15" spans="1:9">
      <c r="A15" s="29" t="s">
        <v>13</v>
      </c>
      <c r="B15" s="174">
        <v>640</v>
      </c>
      <c r="C15" s="25">
        <v>83234</v>
      </c>
      <c r="D15" s="171">
        <f>C15/B15</f>
        <v>130.05312499999999</v>
      </c>
      <c r="E15" s="129">
        <f>B15+折疊車出口!B15</f>
        <v>640</v>
      </c>
      <c r="F15" s="192">
        <f t="shared" si="0"/>
        <v>0.17611447440836545</v>
      </c>
      <c r="G15" s="193">
        <f>C15+折疊車出口!C15</f>
        <v>83234</v>
      </c>
      <c r="H15" s="130">
        <f t="shared" si="1"/>
        <v>4.9043627463111514E-2</v>
      </c>
      <c r="I15" s="177">
        <f>G15/E15</f>
        <v>130.05312499999999</v>
      </c>
    </row>
    <row r="16" spans="1:9">
      <c r="A16" s="24" t="s">
        <v>14</v>
      </c>
      <c r="B16" s="174">
        <v>0</v>
      </c>
      <c r="C16" s="25">
        <v>0</v>
      </c>
      <c r="D16" s="171">
        <v>0</v>
      </c>
      <c r="E16" s="129">
        <f>B16+折疊車出口!B48</f>
        <v>0</v>
      </c>
      <c r="F16" s="192">
        <f t="shared" si="0"/>
        <v>0</v>
      </c>
      <c r="G16" s="193">
        <f>C16+折疊車出口!C48</f>
        <v>0</v>
      </c>
      <c r="H16" s="130">
        <f t="shared" si="1"/>
        <v>0</v>
      </c>
      <c r="I16" s="173">
        <v>0</v>
      </c>
    </row>
    <row r="17" spans="1:9">
      <c r="A17" s="24" t="s">
        <v>15</v>
      </c>
      <c r="B17" s="174">
        <v>0</v>
      </c>
      <c r="C17" s="25">
        <v>0</v>
      </c>
      <c r="D17" s="171">
        <v>0</v>
      </c>
      <c r="E17" s="129">
        <f>B17+折疊車出口!B16</f>
        <v>0</v>
      </c>
      <c r="F17" s="192">
        <f t="shared" si="0"/>
        <v>0</v>
      </c>
      <c r="G17" s="193">
        <f>C17+折疊車出口!C16</f>
        <v>0</v>
      </c>
      <c r="H17" s="130">
        <f t="shared" si="1"/>
        <v>0</v>
      </c>
      <c r="I17" s="173">
        <v>0</v>
      </c>
    </row>
    <row r="18" spans="1:9">
      <c r="A18" s="29" t="s">
        <v>16</v>
      </c>
      <c r="B18" s="174">
        <v>0</v>
      </c>
      <c r="C18" s="25">
        <v>0</v>
      </c>
      <c r="D18" s="171">
        <v>0</v>
      </c>
      <c r="E18" s="129">
        <f>B18+折疊車出口!B17</f>
        <v>0</v>
      </c>
      <c r="F18" s="192">
        <f t="shared" si="0"/>
        <v>0</v>
      </c>
      <c r="G18" s="193">
        <f>C18+折疊車出口!C17</f>
        <v>0</v>
      </c>
      <c r="H18" s="130">
        <f t="shared" si="1"/>
        <v>0</v>
      </c>
      <c r="I18" s="173">
        <v>0</v>
      </c>
    </row>
    <row r="19" spans="1:9">
      <c r="A19" s="29" t="s">
        <v>17</v>
      </c>
      <c r="B19" s="174">
        <v>0</v>
      </c>
      <c r="C19" s="25">
        <v>0</v>
      </c>
      <c r="D19" s="171">
        <v>0</v>
      </c>
      <c r="E19" s="129">
        <f>B19+折疊車出口!B18</f>
        <v>0</v>
      </c>
      <c r="F19" s="192">
        <f t="shared" si="0"/>
        <v>0</v>
      </c>
      <c r="G19" s="193">
        <f>C19+折疊車出口!C18</f>
        <v>0</v>
      </c>
      <c r="H19" s="130">
        <f t="shared" si="1"/>
        <v>0</v>
      </c>
      <c r="I19" s="173">
        <v>0</v>
      </c>
    </row>
    <row r="20" spans="1:9">
      <c r="A20" s="24" t="s">
        <v>18</v>
      </c>
      <c r="B20" s="174">
        <v>0</v>
      </c>
      <c r="C20" s="25">
        <v>0</v>
      </c>
      <c r="D20" s="171">
        <v>0</v>
      </c>
      <c r="E20" s="129">
        <f>B20+折疊車出口!B19</f>
        <v>0</v>
      </c>
      <c r="F20" s="192">
        <f t="shared" si="0"/>
        <v>0</v>
      </c>
      <c r="G20" s="193">
        <f>C20+折疊車出口!C19</f>
        <v>0</v>
      </c>
      <c r="H20" s="130">
        <f t="shared" si="1"/>
        <v>0</v>
      </c>
      <c r="I20" s="173">
        <v>0</v>
      </c>
    </row>
    <row r="21" spans="1:9">
      <c r="A21" s="29" t="s">
        <v>67</v>
      </c>
      <c r="B21" s="174">
        <v>0</v>
      </c>
      <c r="C21" s="25">
        <v>0</v>
      </c>
      <c r="D21" s="171">
        <v>0</v>
      </c>
      <c r="E21" s="129">
        <f>B21+折疊車出口!B20</f>
        <v>0</v>
      </c>
      <c r="F21" s="192">
        <f t="shared" si="0"/>
        <v>0</v>
      </c>
      <c r="G21" s="193">
        <f>C21+折疊車出口!C20</f>
        <v>0</v>
      </c>
      <c r="H21" s="130">
        <f t="shared" si="1"/>
        <v>0</v>
      </c>
      <c r="I21" s="173">
        <v>0</v>
      </c>
    </row>
    <row r="22" spans="1:9">
      <c r="A22" s="24" t="s">
        <v>20</v>
      </c>
      <c r="B22" s="174">
        <v>0</v>
      </c>
      <c r="C22" s="25">
        <v>0</v>
      </c>
      <c r="D22" s="171">
        <v>0</v>
      </c>
      <c r="E22" s="129">
        <f>B22+折疊車出口!B21</f>
        <v>0</v>
      </c>
      <c r="F22" s="192">
        <f t="shared" si="0"/>
        <v>0</v>
      </c>
      <c r="G22" s="193">
        <f>C22+折疊車出口!C21</f>
        <v>0</v>
      </c>
      <c r="H22" s="130">
        <f t="shared" si="1"/>
        <v>0</v>
      </c>
      <c r="I22" s="173">
        <v>0</v>
      </c>
    </row>
    <row r="23" spans="1:9">
      <c r="A23" s="29" t="s">
        <v>21</v>
      </c>
      <c r="B23" s="174">
        <v>0</v>
      </c>
      <c r="C23" s="25">
        <v>0</v>
      </c>
      <c r="D23" s="171">
        <v>0</v>
      </c>
      <c r="E23" s="129">
        <f>B23+折疊車出口!B22</f>
        <v>0</v>
      </c>
      <c r="F23" s="192">
        <f t="shared" si="0"/>
        <v>0</v>
      </c>
      <c r="G23" s="193">
        <f>C23+折疊車出口!C22</f>
        <v>0</v>
      </c>
      <c r="H23" s="130">
        <f t="shared" si="1"/>
        <v>0</v>
      </c>
      <c r="I23" s="173">
        <v>0</v>
      </c>
    </row>
    <row r="24" spans="1:9">
      <c r="A24" s="29" t="s">
        <v>22</v>
      </c>
      <c r="B24" s="174">
        <v>0</v>
      </c>
      <c r="C24" s="25">
        <v>0</v>
      </c>
      <c r="D24" s="171">
        <v>0</v>
      </c>
      <c r="E24" s="129">
        <f>B24+折疊車出口!B23</f>
        <v>0</v>
      </c>
      <c r="F24" s="192">
        <f t="shared" si="0"/>
        <v>0</v>
      </c>
      <c r="G24" s="193">
        <f>C24+折疊車出口!C23</f>
        <v>0</v>
      </c>
      <c r="H24" s="130">
        <f t="shared" si="1"/>
        <v>0</v>
      </c>
      <c r="I24" s="173">
        <v>0</v>
      </c>
    </row>
    <row r="25" spans="1:9">
      <c r="A25" s="29" t="s">
        <v>23</v>
      </c>
      <c r="B25" s="174">
        <v>0</v>
      </c>
      <c r="C25" s="25">
        <v>0</v>
      </c>
      <c r="D25" s="171">
        <v>0</v>
      </c>
      <c r="E25" s="129">
        <f>B25+折疊車出口!B24</f>
        <v>0</v>
      </c>
      <c r="F25" s="192">
        <f t="shared" si="0"/>
        <v>0</v>
      </c>
      <c r="G25" s="193">
        <f>C25+折疊車出口!C24</f>
        <v>0</v>
      </c>
      <c r="H25" s="130">
        <f t="shared" si="1"/>
        <v>0</v>
      </c>
      <c r="I25" s="173">
        <v>0</v>
      </c>
    </row>
    <row r="26" spans="1:9">
      <c r="A26" s="24" t="s">
        <v>24</v>
      </c>
      <c r="B26" s="174">
        <v>0</v>
      </c>
      <c r="C26" s="25">
        <v>0</v>
      </c>
      <c r="D26" s="171">
        <v>0</v>
      </c>
      <c r="E26" s="129">
        <f>B26+折疊車出口!B25</f>
        <v>0</v>
      </c>
      <c r="F26" s="192">
        <f t="shared" si="0"/>
        <v>0</v>
      </c>
      <c r="G26" s="193">
        <f>C26+折疊車出口!C25</f>
        <v>0</v>
      </c>
      <c r="H26" s="130">
        <f t="shared" si="1"/>
        <v>0</v>
      </c>
      <c r="I26" s="173">
        <v>0</v>
      </c>
    </row>
    <row r="27" spans="1:9">
      <c r="A27" s="24" t="s">
        <v>25</v>
      </c>
      <c r="B27" s="174">
        <v>0</v>
      </c>
      <c r="C27" s="25">
        <v>0</v>
      </c>
      <c r="D27" s="171">
        <v>0</v>
      </c>
      <c r="E27" s="129">
        <f>B27+折疊車出口!B26</f>
        <v>0</v>
      </c>
      <c r="F27" s="192">
        <f t="shared" si="0"/>
        <v>0</v>
      </c>
      <c r="G27" s="193">
        <f>C27+折疊車出口!C26</f>
        <v>0</v>
      </c>
      <c r="H27" s="130">
        <f t="shared" si="1"/>
        <v>0</v>
      </c>
      <c r="I27" s="173">
        <v>0</v>
      </c>
    </row>
    <row r="28" spans="1:9">
      <c r="A28" s="29" t="s">
        <v>76</v>
      </c>
      <c r="B28" s="174">
        <v>0</v>
      </c>
      <c r="C28" s="25">
        <v>0</v>
      </c>
      <c r="D28" s="171">
        <v>0</v>
      </c>
      <c r="E28" s="129">
        <f>B28+折疊車出口!B27</f>
        <v>0</v>
      </c>
      <c r="F28" s="192">
        <f t="shared" si="0"/>
        <v>0</v>
      </c>
      <c r="G28" s="193">
        <f>C28+折疊車出口!C27</f>
        <v>0</v>
      </c>
      <c r="H28" s="130">
        <f t="shared" si="1"/>
        <v>0</v>
      </c>
      <c r="I28" s="173">
        <v>0</v>
      </c>
    </row>
    <row r="29" spans="1:9">
      <c r="A29" s="29" t="s">
        <v>77</v>
      </c>
      <c r="B29" s="174">
        <v>0</v>
      </c>
      <c r="C29" s="25">
        <v>0</v>
      </c>
      <c r="D29" s="171">
        <v>0</v>
      </c>
      <c r="E29" s="129">
        <f>B29+折疊車出口!B28</f>
        <v>0</v>
      </c>
      <c r="F29" s="192">
        <f t="shared" si="0"/>
        <v>0</v>
      </c>
      <c r="G29" s="193">
        <f>C29+折疊車出口!C28</f>
        <v>0</v>
      </c>
      <c r="H29" s="130">
        <f t="shared" si="1"/>
        <v>0</v>
      </c>
      <c r="I29" s="173">
        <v>0</v>
      </c>
    </row>
    <row r="30" spans="1:9">
      <c r="A30" s="29" t="s">
        <v>26</v>
      </c>
      <c r="B30" s="174">
        <v>0</v>
      </c>
      <c r="C30" s="25">
        <v>0</v>
      </c>
      <c r="D30" s="171">
        <v>0</v>
      </c>
      <c r="E30" s="129">
        <f>B30+折疊車出口!B29</f>
        <v>0</v>
      </c>
      <c r="F30" s="192">
        <f t="shared" si="0"/>
        <v>0</v>
      </c>
      <c r="G30" s="193">
        <f>C30+折疊車出口!C29</f>
        <v>0</v>
      </c>
      <c r="H30" s="130">
        <f t="shared" si="1"/>
        <v>0</v>
      </c>
      <c r="I30" s="173">
        <v>0</v>
      </c>
    </row>
    <row r="31" spans="1:9">
      <c r="A31" s="29" t="s">
        <v>27</v>
      </c>
      <c r="B31" s="174">
        <v>0</v>
      </c>
      <c r="C31" s="25">
        <v>0</v>
      </c>
      <c r="D31" s="171">
        <v>0</v>
      </c>
      <c r="E31" s="129">
        <f>B31+折疊車出口!B30</f>
        <v>0</v>
      </c>
      <c r="F31" s="192">
        <f t="shared" si="0"/>
        <v>0</v>
      </c>
      <c r="G31" s="193">
        <f>C31+折疊車出口!C30</f>
        <v>0</v>
      </c>
      <c r="H31" s="130">
        <f t="shared" si="1"/>
        <v>0</v>
      </c>
      <c r="I31" s="173">
        <v>0</v>
      </c>
    </row>
    <row r="32" spans="1:9">
      <c r="A32" s="29" t="s">
        <v>28</v>
      </c>
      <c r="B32" s="174">
        <v>0</v>
      </c>
      <c r="C32" s="25">
        <v>0</v>
      </c>
      <c r="D32" s="171">
        <v>0</v>
      </c>
      <c r="E32" s="129">
        <f>B32+折疊車出口!B31</f>
        <v>0</v>
      </c>
      <c r="F32" s="192">
        <f t="shared" si="0"/>
        <v>0</v>
      </c>
      <c r="G32" s="193">
        <f>C32+折疊車出口!C31</f>
        <v>0</v>
      </c>
      <c r="H32" s="130">
        <f t="shared" si="1"/>
        <v>0</v>
      </c>
      <c r="I32" s="173">
        <v>0</v>
      </c>
    </row>
    <row r="33" spans="1:9">
      <c r="A33" s="29" t="s">
        <v>29</v>
      </c>
      <c r="B33" s="174">
        <v>0</v>
      </c>
      <c r="C33" s="25">
        <v>0</v>
      </c>
      <c r="D33" s="171">
        <v>0</v>
      </c>
      <c r="E33" s="129">
        <f>B33+折疊車出口!B32</f>
        <v>0</v>
      </c>
      <c r="F33" s="192">
        <f t="shared" si="0"/>
        <v>0</v>
      </c>
      <c r="G33" s="193">
        <f>C33+折疊車出口!C32</f>
        <v>0</v>
      </c>
      <c r="H33" s="130">
        <f t="shared" si="1"/>
        <v>0</v>
      </c>
      <c r="I33" s="173">
        <v>0</v>
      </c>
    </row>
    <row r="34" spans="1:9">
      <c r="A34" s="29" t="s">
        <v>30</v>
      </c>
      <c r="B34" s="174">
        <v>0</v>
      </c>
      <c r="C34" s="25">
        <v>0</v>
      </c>
      <c r="D34" s="171">
        <v>0</v>
      </c>
      <c r="E34" s="129">
        <f>B34+折疊車出口!B33</f>
        <v>0</v>
      </c>
      <c r="F34" s="192">
        <f t="shared" si="0"/>
        <v>0</v>
      </c>
      <c r="G34" s="193">
        <f>C34+折疊車出口!C33</f>
        <v>0</v>
      </c>
      <c r="H34" s="130">
        <f t="shared" si="1"/>
        <v>0</v>
      </c>
      <c r="I34" s="173">
        <v>0</v>
      </c>
    </row>
    <row r="35" spans="1:9">
      <c r="A35" s="29" t="s">
        <v>31</v>
      </c>
      <c r="B35" s="174">
        <v>0</v>
      </c>
      <c r="C35" s="25">
        <v>0</v>
      </c>
      <c r="D35" s="171">
        <v>0</v>
      </c>
      <c r="E35" s="129">
        <f>B35+折疊車出口!B34</f>
        <v>0</v>
      </c>
      <c r="F35" s="192">
        <f t="shared" si="0"/>
        <v>0</v>
      </c>
      <c r="G35" s="193">
        <f>C35+折疊車出口!C34</f>
        <v>0</v>
      </c>
      <c r="H35" s="130">
        <f t="shared" si="1"/>
        <v>0</v>
      </c>
      <c r="I35" s="173">
        <v>0</v>
      </c>
    </row>
    <row r="36" spans="1:9">
      <c r="A36" s="29" t="s">
        <v>32</v>
      </c>
      <c r="B36" s="174">
        <v>0</v>
      </c>
      <c r="C36" s="25">
        <v>0</v>
      </c>
      <c r="D36" s="171">
        <v>0</v>
      </c>
      <c r="E36" s="129">
        <f>B36+折疊車出口!B35</f>
        <v>0</v>
      </c>
      <c r="F36" s="192">
        <f t="shared" si="0"/>
        <v>0</v>
      </c>
      <c r="G36" s="193">
        <f>C36+折疊車出口!C35</f>
        <v>0</v>
      </c>
      <c r="H36" s="130">
        <f t="shared" si="1"/>
        <v>0</v>
      </c>
      <c r="I36" s="173">
        <v>0</v>
      </c>
    </row>
    <row r="37" spans="1:9">
      <c r="A37" s="29" t="s">
        <v>78</v>
      </c>
      <c r="B37" s="174">
        <v>0</v>
      </c>
      <c r="C37" s="25">
        <v>0</v>
      </c>
      <c r="D37" s="171">
        <v>0</v>
      </c>
      <c r="E37" s="129">
        <f>B37+折疊車出口!B36</f>
        <v>0</v>
      </c>
      <c r="F37" s="192">
        <f t="shared" si="0"/>
        <v>0</v>
      </c>
      <c r="G37" s="193">
        <f>C37+折疊車出口!C36</f>
        <v>0</v>
      </c>
      <c r="H37" s="130">
        <f t="shared" si="1"/>
        <v>0</v>
      </c>
      <c r="I37" s="173">
        <v>0</v>
      </c>
    </row>
    <row r="38" spans="1:9">
      <c r="A38" s="29" t="s">
        <v>34</v>
      </c>
      <c r="B38" s="174">
        <v>0</v>
      </c>
      <c r="C38" s="25">
        <v>0</v>
      </c>
      <c r="D38" s="171">
        <v>0</v>
      </c>
      <c r="E38" s="129">
        <f>B38+折疊車出口!B37</f>
        <v>0</v>
      </c>
      <c r="F38" s="192">
        <f t="shared" si="0"/>
        <v>0</v>
      </c>
      <c r="G38" s="193">
        <f>C38+折疊車出口!C37</f>
        <v>0</v>
      </c>
      <c r="H38" s="130">
        <f t="shared" si="1"/>
        <v>0</v>
      </c>
      <c r="I38" s="173">
        <v>0</v>
      </c>
    </row>
    <row r="39" spans="1:9">
      <c r="A39" s="29" t="s">
        <v>35</v>
      </c>
      <c r="B39" s="174">
        <v>0</v>
      </c>
      <c r="C39" s="25">
        <v>0</v>
      </c>
      <c r="D39" s="171">
        <v>0</v>
      </c>
      <c r="E39" s="129">
        <f>B39+折疊車出口!B38</f>
        <v>0</v>
      </c>
      <c r="F39" s="192">
        <f t="shared" si="0"/>
        <v>0</v>
      </c>
      <c r="G39" s="193">
        <f>C39+折疊車出口!C38</f>
        <v>0</v>
      </c>
      <c r="H39" s="130">
        <f t="shared" si="1"/>
        <v>0</v>
      </c>
      <c r="I39" s="173">
        <v>0</v>
      </c>
    </row>
    <row r="40" spans="1:9">
      <c r="A40" s="29" t="s">
        <v>79</v>
      </c>
      <c r="B40" s="174">
        <v>0</v>
      </c>
      <c r="C40" s="25">
        <v>0</v>
      </c>
      <c r="D40" s="171">
        <v>0</v>
      </c>
      <c r="E40" s="129">
        <f>B40+折疊車出口!B39</f>
        <v>0</v>
      </c>
      <c r="F40" s="192">
        <f t="shared" si="0"/>
        <v>0</v>
      </c>
      <c r="G40" s="193">
        <f>C40+折疊車出口!C39</f>
        <v>0</v>
      </c>
      <c r="H40" s="130">
        <f t="shared" si="1"/>
        <v>0</v>
      </c>
      <c r="I40" s="173">
        <v>0</v>
      </c>
    </row>
    <row r="41" spans="1:9">
      <c r="A41" s="29"/>
      <c r="B41" s="25"/>
      <c r="C41" s="174"/>
      <c r="D41" s="171"/>
      <c r="E41" s="129"/>
      <c r="F41" s="192"/>
      <c r="G41" s="193"/>
      <c r="H41" s="130"/>
      <c r="I41" s="177"/>
    </row>
    <row r="42" spans="1:9">
      <c r="A42" s="32" t="s">
        <v>37</v>
      </c>
      <c r="B42" s="31">
        <f>SUM(B43:B46)</f>
        <v>1</v>
      </c>
      <c r="C42" s="178">
        <f>SUM(C43:C46)</f>
        <v>1966</v>
      </c>
      <c r="D42" s="171">
        <f>C42/B42</f>
        <v>1966</v>
      </c>
      <c r="E42" s="134">
        <f>SUM(E43:E46)</f>
        <v>1</v>
      </c>
      <c r="F42" s="192">
        <f t="shared" si="0"/>
        <v>2.7517886626307099E-4</v>
      </c>
      <c r="G42" s="194">
        <f>SUM(G43:G46)</f>
        <v>1966</v>
      </c>
      <c r="H42" s="130">
        <f t="shared" si="1"/>
        <v>1.1584180934771516E-3</v>
      </c>
      <c r="I42" s="177">
        <f>G42/E42</f>
        <v>1966</v>
      </c>
    </row>
    <row r="43" spans="1:9">
      <c r="A43" s="24" t="s">
        <v>38</v>
      </c>
      <c r="B43" s="25">
        <v>0</v>
      </c>
      <c r="C43" s="174">
        <v>0</v>
      </c>
      <c r="D43" s="171">
        <v>0</v>
      </c>
      <c r="E43" s="129">
        <f>B43+折疊車出口!B42</f>
        <v>0</v>
      </c>
      <c r="F43" s="192">
        <f t="shared" si="0"/>
        <v>0</v>
      </c>
      <c r="G43" s="193">
        <f>C43+折疊車出口!C42</f>
        <v>0</v>
      </c>
      <c r="H43" s="130">
        <f t="shared" si="1"/>
        <v>0</v>
      </c>
      <c r="I43" s="177">
        <v>0</v>
      </c>
    </row>
    <row r="44" spans="1:9">
      <c r="A44" s="24" t="s">
        <v>39</v>
      </c>
      <c r="B44" s="25">
        <v>0</v>
      </c>
      <c r="C44" s="174">
        <v>0</v>
      </c>
      <c r="D44" s="171">
        <v>0</v>
      </c>
      <c r="E44" s="129">
        <f>B44+折疊車出口!B43</f>
        <v>0</v>
      </c>
      <c r="F44" s="192">
        <f t="shared" si="0"/>
        <v>0</v>
      </c>
      <c r="G44" s="193">
        <f>C44+折疊車出口!C43</f>
        <v>0</v>
      </c>
      <c r="H44" s="130">
        <f t="shared" si="1"/>
        <v>0</v>
      </c>
      <c r="I44" s="177">
        <v>0</v>
      </c>
    </row>
    <row r="45" spans="1:9">
      <c r="A45" s="24" t="s">
        <v>40</v>
      </c>
      <c r="B45" s="25">
        <v>1</v>
      </c>
      <c r="C45" s="174">
        <v>1966</v>
      </c>
      <c r="D45" s="171">
        <f>C45/B45</f>
        <v>1966</v>
      </c>
      <c r="E45" s="129">
        <f>B45+折疊車出口!B44</f>
        <v>1</v>
      </c>
      <c r="F45" s="192">
        <f t="shared" si="0"/>
        <v>2.7517886626307099E-4</v>
      </c>
      <c r="G45" s="193">
        <f>C45+折疊車出口!C44</f>
        <v>1966</v>
      </c>
      <c r="H45" s="130">
        <f t="shared" si="1"/>
        <v>1.1584180934771516E-3</v>
      </c>
      <c r="I45" s="177">
        <f>G45/E45</f>
        <v>1966</v>
      </c>
    </row>
    <row r="46" spans="1:9">
      <c r="A46" s="29" t="s">
        <v>41</v>
      </c>
      <c r="B46" s="25">
        <v>0</v>
      </c>
      <c r="C46" s="174">
        <v>0</v>
      </c>
      <c r="D46" s="171">
        <v>0</v>
      </c>
      <c r="E46" s="129">
        <f>B46+折疊車出口!B45</f>
        <v>0</v>
      </c>
      <c r="F46" s="192">
        <f t="shared" si="0"/>
        <v>0</v>
      </c>
      <c r="G46" s="193">
        <f>C46+折疊車出口!C45</f>
        <v>0</v>
      </c>
      <c r="H46" s="130">
        <f t="shared" si="1"/>
        <v>0</v>
      </c>
      <c r="I46" s="177">
        <v>0</v>
      </c>
    </row>
    <row r="47" spans="1:9">
      <c r="A47" s="29"/>
      <c r="B47" s="25"/>
      <c r="C47" s="174"/>
      <c r="D47" s="171"/>
      <c r="E47" s="131"/>
      <c r="F47" s="192"/>
      <c r="G47" s="193"/>
      <c r="H47" s="130"/>
      <c r="I47" s="177"/>
    </row>
    <row r="48" spans="1:9">
      <c r="A48" s="32" t="s">
        <v>42</v>
      </c>
      <c r="B48" s="31">
        <f>SUM(B49:B66)</f>
        <v>1996</v>
      </c>
      <c r="C48" s="178">
        <f>SUM(C49:C66)</f>
        <v>1110295</v>
      </c>
      <c r="D48" s="171">
        <f>C48/B48</f>
        <v>556.26002004008012</v>
      </c>
      <c r="E48" s="134">
        <f>SUM(E49:E66)</f>
        <v>2257</v>
      </c>
      <c r="F48" s="192">
        <f t="shared" si="0"/>
        <v>0.62107870115575126</v>
      </c>
      <c r="G48" s="194">
        <f>SUM(G49:G66)</f>
        <v>1329242</v>
      </c>
      <c r="H48" s="130">
        <f t="shared" si="1"/>
        <v>0.78322379624097449</v>
      </c>
      <c r="I48" s="177">
        <f>G48/E48</f>
        <v>588.94195835179437</v>
      </c>
    </row>
    <row r="49" spans="1:9">
      <c r="A49" s="24" t="s">
        <v>43</v>
      </c>
      <c r="B49" s="174">
        <v>266</v>
      </c>
      <c r="C49" s="25">
        <v>148400</v>
      </c>
      <c r="D49" s="171">
        <f>C49/B49</f>
        <v>557.89473684210532</v>
      </c>
      <c r="E49" s="129">
        <f>B49+折疊車出口!B49</f>
        <v>489</v>
      </c>
      <c r="F49" s="192">
        <f t="shared" si="0"/>
        <v>0.13456246560264171</v>
      </c>
      <c r="G49" s="193">
        <f>C49+折疊車出口!C49</f>
        <v>328176</v>
      </c>
      <c r="H49" s="130">
        <f t="shared" si="1"/>
        <v>0.1933697946312094</v>
      </c>
      <c r="I49" s="177">
        <f>G49/E49</f>
        <v>671.11656441717787</v>
      </c>
    </row>
    <row r="50" spans="1:9">
      <c r="A50" s="24" t="s">
        <v>44</v>
      </c>
      <c r="B50" s="174">
        <v>0</v>
      </c>
      <c r="C50" s="25">
        <v>0</v>
      </c>
      <c r="D50" s="171">
        <v>0</v>
      </c>
      <c r="E50" s="129">
        <f>B50+折疊車出口!B50</f>
        <v>0</v>
      </c>
      <c r="F50" s="192">
        <f t="shared" si="0"/>
        <v>0</v>
      </c>
      <c r="G50" s="193">
        <f>C50+折疊車出口!C50</f>
        <v>0</v>
      </c>
      <c r="H50" s="130">
        <f t="shared" si="1"/>
        <v>0</v>
      </c>
      <c r="I50" s="177" t="e">
        <f>G50/E50</f>
        <v>#DIV/0!</v>
      </c>
    </row>
    <row r="51" spans="1:9">
      <c r="A51" s="24" t="s">
        <v>45</v>
      </c>
      <c r="B51" s="174">
        <v>0</v>
      </c>
      <c r="C51" s="25">
        <v>0</v>
      </c>
      <c r="D51" s="171">
        <v>0</v>
      </c>
      <c r="E51" s="129">
        <f>B51+折疊車出口!B51</f>
        <v>0</v>
      </c>
      <c r="F51" s="192">
        <f t="shared" si="0"/>
        <v>0</v>
      </c>
      <c r="G51" s="193">
        <f>C51+折疊車出口!C51</f>
        <v>0</v>
      </c>
      <c r="H51" s="130">
        <f t="shared" si="1"/>
        <v>0</v>
      </c>
      <c r="I51" s="177">
        <v>0</v>
      </c>
    </row>
    <row r="52" spans="1:9">
      <c r="A52" s="29" t="s">
        <v>46</v>
      </c>
      <c r="B52" s="174">
        <v>0</v>
      </c>
      <c r="C52" s="25">
        <v>0</v>
      </c>
      <c r="D52" s="171">
        <v>0</v>
      </c>
      <c r="E52" s="129">
        <f>B52+折疊車出口!B52</f>
        <v>0</v>
      </c>
      <c r="F52" s="192">
        <f t="shared" si="0"/>
        <v>0</v>
      </c>
      <c r="G52" s="193">
        <f>C52+折疊車出口!C52</f>
        <v>0</v>
      </c>
      <c r="H52" s="130">
        <f t="shared" si="1"/>
        <v>0</v>
      </c>
      <c r="I52" s="177">
        <v>0</v>
      </c>
    </row>
    <row r="53" spans="1:9">
      <c r="A53" s="24" t="s">
        <v>47</v>
      </c>
      <c r="B53" s="174">
        <v>0</v>
      </c>
      <c r="C53" s="25">
        <v>0</v>
      </c>
      <c r="D53" s="171">
        <v>0</v>
      </c>
      <c r="E53" s="129">
        <f>B53+折疊車出口!B53</f>
        <v>0</v>
      </c>
      <c r="F53" s="192">
        <f t="shared" si="0"/>
        <v>0</v>
      </c>
      <c r="G53" s="193">
        <f>C53+折疊車出口!C53</f>
        <v>0</v>
      </c>
      <c r="H53" s="130">
        <f t="shared" si="1"/>
        <v>0</v>
      </c>
      <c r="I53" s="177">
        <v>0</v>
      </c>
    </row>
    <row r="54" spans="1:9">
      <c r="A54" s="24" t="s">
        <v>80</v>
      </c>
      <c r="B54" s="174">
        <v>25</v>
      </c>
      <c r="C54" s="25">
        <v>5232</v>
      </c>
      <c r="D54" s="171">
        <f>C54/B54</f>
        <v>209.28</v>
      </c>
      <c r="E54" s="129">
        <f>B54+折疊車出口!B54</f>
        <v>25</v>
      </c>
      <c r="F54" s="192">
        <f t="shared" si="0"/>
        <v>6.8794716565767746E-3</v>
      </c>
      <c r="G54" s="193">
        <f>C54+折疊車出口!C54</f>
        <v>5232</v>
      </c>
      <c r="H54" s="130">
        <f t="shared" si="1"/>
        <v>3.0828298398130503E-3</v>
      </c>
      <c r="I54" s="177">
        <f>G54/E54</f>
        <v>209.28</v>
      </c>
    </row>
    <row r="55" spans="1:9">
      <c r="A55" s="29" t="s">
        <v>49</v>
      </c>
      <c r="B55" s="174">
        <v>0</v>
      </c>
      <c r="C55" s="25">
        <v>0</v>
      </c>
      <c r="D55" s="171">
        <v>0</v>
      </c>
      <c r="E55" s="129">
        <f>B55+折疊車出口!B55</f>
        <v>0</v>
      </c>
      <c r="F55" s="192">
        <f t="shared" si="0"/>
        <v>0</v>
      </c>
      <c r="G55" s="193">
        <f>C55+折疊車出口!C55</f>
        <v>0</v>
      </c>
      <c r="H55" s="130">
        <f t="shared" si="1"/>
        <v>0</v>
      </c>
      <c r="I55" s="177">
        <v>0</v>
      </c>
    </row>
    <row r="56" spans="1:9">
      <c r="A56" s="29" t="s">
        <v>50</v>
      </c>
      <c r="B56" s="174">
        <v>147</v>
      </c>
      <c r="C56" s="25">
        <v>108181</v>
      </c>
      <c r="D56" s="171">
        <f>C56/B56</f>
        <v>735.92517006802723</v>
      </c>
      <c r="E56" s="129">
        <f>B56+折疊車出口!B56</f>
        <v>147</v>
      </c>
      <c r="F56" s="192">
        <f t="shared" si="0"/>
        <v>4.0451293340671435E-2</v>
      </c>
      <c r="G56" s="193">
        <f>C56+折疊車出口!C56</f>
        <v>108181</v>
      </c>
      <c r="H56" s="130">
        <f t="shared" si="1"/>
        <v>6.3743045661470876E-2</v>
      </c>
      <c r="I56" s="177">
        <f>G56/E56</f>
        <v>735.92517006802723</v>
      </c>
    </row>
    <row r="57" spans="1:9">
      <c r="A57" s="137" t="s">
        <v>81</v>
      </c>
      <c r="B57" s="174">
        <v>707</v>
      </c>
      <c r="C57" s="25">
        <v>394911</v>
      </c>
      <c r="D57" s="171">
        <f>C57/B57</f>
        <v>558.57284299858554</v>
      </c>
      <c r="E57" s="129">
        <f>B57+折疊車出口!B57</f>
        <v>707</v>
      </c>
      <c r="F57" s="192">
        <f t="shared" si="0"/>
        <v>0.19455145844799118</v>
      </c>
      <c r="G57" s="193">
        <f>C57+折疊車出口!C57</f>
        <v>394911</v>
      </c>
      <c r="H57" s="130">
        <f t="shared" si="1"/>
        <v>0.23269178418776978</v>
      </c>
      <c r="I57" s="177">
        <f>G57/E57</f>
        <v>558.57284299858554</v>
      </c>
    </row>
    <row r="58" spans="1:9">
      <c r="A58" s="137" t="s">
        <v>103</v>
      </c>
      <c r="B58" s="174">
        <v>451</v>
      </c>
      <c r="C58" s="25">
        <v>325118</v>
      </c>
      <c r="D58" s="171">
        <f>C58/B58</f>
        <v>720.88248337028824</v>
      </c>
      <c r="E58" s="129">
        <f>B58+折疊車出口!B58</f>
        <v>489</v>
      </c>
      <c r="F58" s="192">
        <f t="shared" si="0"/>
        <v>0.13456246560264171</v>
      </c>
      <c r="G58" s="193">
        <f>C58+折疊車出口!C58</f>
        <v>364289</v>
      </c>
      <c r="H58" s="130">
        <f t="shared" si="1"/>
        <v>0.2146485090817386</v>
      </c>
      <c r="I58" s="177">
        <f>G58/E58</f>
        <v>744.96728016359918</v>
      </c>
    </row>
    <row r="59" spans="1:9">
      <c r="A59" s="137" t="s">
        <v>51</v>
      </c>
      <c r="B59" s="174">
        <v>400</v>
      </c>
      <c r="C59" s="25">
        <v>128453</v>
      </c>
      <c r="D59" s="171">
        <f>C59/B59</f>
        <v>321.13249999999999</v>
      </c>
      <c r="E59" s="129">
        <f>B59+折疊車出口!B59</f>
        <v>400</v>
      </c>
      <c r="F59" s="192">
        <f t="shared" si="0"/>
        <v>0.11007154650522839</v>
      </c>
      <c r="G59" s="193">
        <f>C59+折疊車出口!C59</f>
        <v>128453</v>
      </c>
      <c r="H59" s="130">
        <f t="shared" si="1"/>
        <v>7.5687832838972818E-2</v>
      </c>
      <c r="I59" s="177">
        <f>G59/E59</f>
        <v>321.13249999999999</v>
      </c>
    </row>
    <row r="60" spans="1:9">
      <c r="A60" s="137" t="s">
        <v>52</v>
      </c>
      <c r="B60" s="174">
        <v>0</v>
      </c>
      <c r="C60" s="25">
        <v>0</v>
      </c>
      <c r="D60" s="171">
        <v>0</v>
      </c>
      <c r="E60" s="129">
        <f>B60+折疊車出口!B60</f>
        <v>0</v>
      </c>
      <c r="F60" s="192">
        <f t="shared" si="0"/>
        <v>0</v>
      </c>
      <c r="G60" s="193">
        <f>C60+折疊車出口!C60</f>
        <v>0</v>
      </c>
      <c r="H60" s="130">
        <f t="shared" si="1"/>
        <v>0</v>
      </c>
      <c r="I60" s="177">
        <v>0</v>
      </c>
    </row>
    <row r="61" spans="1:9">
      <c r="A61" s="137" t="s">
        <v>53</v>
      </c>
      <c r="B61" s="174">
        <v>0</v>
      </c>
      <c r="C61" s="25">
        <v>0</v>
      </c>
      <c r="D61" s="171">
        <v>0</v>
      </c>
      <c r="E61" s="129">
        <f>B61+折疊車出口!B61</f>
        <v>0</v>
      </c>
      <c r="F61" s="192">
        <f t="shared" si="0"/>
        <v>0</v>
      </c>
      <c r="G61" s="193">
        <f>C61+折疊車出口!C61</f>
        <v>0</v>
      </c>
      <c r="H61" s="130">
        <f t="shared" si="1"/>
        <v>0</v>
      </c>
      <c r="I61" s="177">
        <v>0</v>
      </c>
    </row>
    <row r="62" spans="1:9">
      <c r="A62" s="137" t="s">
        <v>82</v>
      </c>
      <c r="B62" s="174">
        <v>0</v>
      </c>
      <c r="C62" s="25">
        <v>0</v>
      </c>
      <c r="D62" s="171">
        <v>0</v>
      </c>
      <c r="E62" s="129">
        <f>B62+折疊車出口!B62</f>
        <v>0</v>
      </c>
      <c r="F62" s="192">
        <f t="shared" si="0"/>
        <v>0</v>
      </c>
      <c r="G62" s="193">
        <f>C62+折疊車出口!C62</f>
        <v>0</v>
      </c>
      <c r="H62" s="130">
        <f t="shared" si="1"/>
        <v>0</v>
      </c>
      <c r="I62" s="177">
        <v>0</v>
      </c>
    </row>
    <row r="63" spans="1:9">
      <c r="A63" s="137" t="s">
        <v>83</v>
      </c>
      <c r="B63" s="174">
        <v>0</v>
      </c>
      <c r="C63" s="25">
        <v>0</v>
      </c>
      <c r="D63" s="171">
        <v>0</v>
      </c>
      <c r="E63" s="129">
        <f>B63+折疊車出口!B63</f>
        <v>0</v>
      </c>
      <c r="F63" s="192">
        <f t="shared" si="0"/>
        <v>0</v>
      </c>
      <c r="G63" s="193">
        <f>C63+折疊車出口!C63</f>
        <v>0</v>
      </c>
      <c r="H63" s="130">
        <f t="shared" si="1"/>
        <v>0</v>
      </c>
      <c r="I63" s="177">
        <v>0</v>
      </c>
    </row>
    <row r="64" spans="1:9">
      <c r="A64" s="137" t="s">
        <v>107</v>
      </c>
      <c r="B64" s="174">
        <v>0</v>
      </c>
      <c r="C64" s="25">
        <v>0</v>
      </c>
      <c r="D64" s="171">
        <v>0</v>
      </c>
      <c r="E64" s="129">
        <f>B64+折疊車出口!B64</f>
        <v>0</v>
      </c>
      <c r="F64" s="192">
        <f t="shared" si="0"/>
        <v>0</v>
      </c>
      <c r="G64" s="193">
        <f>C64+折疊車出口!C64</f>
        <v>0</v>
      </c>
      <c r="H64" s="130">
        <f t="shared" si="1"/>
        <v>0</v>
      </c>
      <c r="I64" s="177" t="e">
        <f>G64/E64</f>
        <v>#DIV/0!</v>
      </c>
    </row>
    <row r="65" spans="1:9">
      <c r="A65" s="137" t="s">
        <v>85</v>
      </c>
      <c r="B65" s="174">
        <v>0</v>
      </c>
      <c r="C65" s="25">
        <v>0</v>
      </c>
      <c r="D65" s="171">
        <v>0</v>
      </c>
      <c r="E65" s="129">
        <f>B65+折疊車出口!B65</f>
        <v>0</v>
      </c>
      <c r="F65" s="192">
        <f>E65/$E$68</f>
        <v>0</v>
      </c>
      <c r="G65" s="193">
        <f>C65+折疊車出口!C65</f>
        <v>0</v>
      </c>
      <c r="H65" s="130">
        <f t="shared" si="1"/>
        <v>0</v>
      </c>
      <c r="I65" s="177">
        <v>0</v>
      </c>
    </row>
    <row r="66" spans="1:9">
      <c r="A66" s="137" t="s">
        <v>108</v>
      </c>
      <c r="B66" s="174">
        <v>0</v>
      </c>
      <c r="C66" s="25">
        <v>0</v>
      </c>
      <c r="D66" s="171">
        <v>0</v>
      </c>
      <c r="E66" s="129">
        <f>B66+折疊車出口!B66</f>
        <v>0</v>
      </c>
      <c r="F66" s="192">
        <f>E66/$E$68</f>
        <v>0</v>
      </c>
      <c r="G66" s="193">
        <f>C66+折疊車出口!C66</f>
        <v>0</v>
      </c>
      <c r="H66" s="130">
        <f t="shared" si="1"/>
        <v>0</v>
      </c>
      <c r="I66" s="177">
        <v>0</v>
      </c>
    </row>
    <row r="67" spans="1:9">
      <c r="A67" s="29" t="s">
        <v>56</v>
      </c>
      <c r="B67" s="25">
        <f>B68-B48-B42-B12-B7</f>
        <v>340</v>
      </c>
      <c r="C67" s="25">
        <f>C68-C48-C42-C12-C7</f>
        <v>135302</v>
      </c>
      <c r="D67" s="176">
        <f>C67/B67</f>
        <v>397.9470588235294</v>
      </c>
      <c r="E67" s="131">
        <f>E68-E48-E42-E12-E7</f>
        <v>341</v>
      </c>
      <c r="F67" s="192">
        <f>E67/$E$68</f>
        <v>9.383599339570721E-2</v>
      </c>
      <c r="G67" s="193">
        <f>G68-G48-G42-G12-G7</f>
        <v>135430</v>
      </c>
      <c r="H67" s="130">
        <f t="shared" si="1"/>
        <v>7.9798861851277034E-2</v>
      </c>
      <c r="I67" s="177">
        <f>G67/E67</f>
        <v>397.15542521994132</v>
      </c>
    </row>
    <row r="68" spans="1:9">
      <c r="A68" s="30" t="s">
        <v>57</v>
      </c>
      <c r="B68" s="178">
        <v>3366</v>
      </c>
      <c r="C68" s="31">
        <v>1474303</v>
      </c>
      <c r="D68" s="179">
        <f>C68/B68</f>
        <v>437.99851455733807</v>
      </c>
      <c r="E68" s="129">
        <f>B68+折疊車出口!B68</f>
        <v>3634</v>
      </c>
      <c r="F68" s="195">
        <f>E68/$E$68</f>
        <v>1</v>
      </c>
      <c r="G68" s="193">
        <f>C68+折疊車出口!C68</f>
        <v>1697142</v>
      </c>
      <c r="H68" s="151">
        <f>G68/$G$68</f>
        <v>1</v>
      </c>
      <c r="I68" s="179">
        <f>G68/E68</f>
        <v>467.01761144744086</v>
      </c>
    </row>
    <row r="69" spans="1:9">
      <c r="A69" s="57" t="s">
        <v>88</v>
      </c>
      <c r="B69" s="3"/>
      <c r="C69" s="3"/>
      <c r="D69" s="3"/>
      <c r="E69" s="152"/>
      <c r="F69" s="3"/>
      <c r="G69" s="152"/>
      <c r="H69" s="3"/>
      <c r="I69" s="3"/>
    </row>
    <row r="70" spans="1:9" ht="18">
      <c r="A70" s="153" t="s">
        <v>89</v>
      </c>
      <c r="B70" s="61"/>
      <c r="C70" s="64"/>
      <c r="D70" s="64"/>
      <c r="E70" s="62"/>
      <c r="F70" s="62"/>
      <c r="G70" s="62"/>
      <c r="H70" s="60"/>
      <c r="I70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zoomScaleNormal="100" workbookViewId="0">
      <selection activeCell="A2" sqref="A2"/>
    </sheetView>
  </sheetViews>
  <sheetFormatPr defaultRowHeight="16.5"/>
  <cols>
    <col min="1" max="1" width="14.625" customWidth="1"/>
    <col min="2" max="2" width="24.875" customWidth="1"/>
    <col min="3" max="3" width="15.125" customWidth="1"/>
    <col min="4" max="4" width="14.625" customWidth="1"/>
    <col min="5" max="5" width="14" customWidth="1"/>
    <col min="6" max="7" width="16.625" customWidth="1"/>
    <col min="8" max="8" width="16.125" customWidth="1"/>
    <col min="9" max="9" width="13.875" customWidth="1"/>
    <col min="10" max="10" width="14.25" customWidth="1"/>
  </cols>
  <sheetData>
    <row r="1" spans="1:10" ht="19.5">
      <c r="A1" s="779" t="s">
        <v>523</v>
      </c>
      <c r="B1" s="779"/>
      <c r="C1" s="779"/>
      <c r="D1" s="779"/>
      <c r="E1" s="779"/>
      <c r="F1" s="779"/>
      <c r="G1" s="779"/>
      <c r="H1" s="779"/>
      <c r="I1" s="779"/>
      <c r="J1" s="779"/>
    </row>
    <row r="2" spans="1:10" ht="8.25" customHeight="1">
      <c r="A2" s="208"/>
      <c r="B2" s="4"/>
      <c r="C2" s="209"/>
      <c r="D2" s="209"/>
      <c r="E2" s="209"/>
      <c r="F2" s="209"/>
      <c r="G2" s="209"/>
      <c r="H2" s="209"/>
      <c r="I2" s="4"/>
      <c r="J2" s="4"/>
    </row>
    <row r="3" spans="1:10">
      <c r="A3" s="210" t="s">
        <v>110</v>
      </c>
      <c r="B3" s="211" t="s">
        <v>111</v>
      </c>
      <c r="C3" s="511" t="s">
        <v>524</v>
      </c>
      <c r="D3" s="212" t="s">
        <v>525</v>
      </c>
      <c r="E3" s="213" t="s">
        <v>112</v>
      </c>
      <c r="F3" s="511" t="s">
        <v>526</v>
      </c>
      <c r="G3" s="212" t="s">
        <v>527</v>
      </c>
      <c r="H3" s="213" t="s">
        <v>113</v>
      </c>
      <c r="I3" s="214" t="s">
        <v>114</v>
      </c>
      <c r="J3" s="747" t="s">
        <v>547</v>
      </c>
    </row>
    <row r="4" spans="1:10">
      <c r="A4" s="215"/>
      <c r="B4" s="216"/>
      <c r="C4" s="217" t="s">
        <v>3</v>
      </c>
      <c r="D4" s="218" t="s">
        <v>5</v>
      </c>
      <c r="E4" s="219"/>
      <c r="F4" s="220" t="s">
        <v>4</v>
      </c>
      <c r="G4" s="221" t="s">
        <v>4</v>
      </c>
      <c r="H4" s="222" t="s">
        <v>4</v>
      </c>
      <c r="I4" s="223" t="s">
        <v>4</v>
      </c>
      <c r="J4" s="224" t="s">
        <v>4</v>
      </c>
    </row>
    <row r="5" spans="1:10">
      <c r="A5" s="635">
        <v>87120010902</v>
      </c>
      <c r="B5" s="226" t="s">
        <v>116</v>
      </c>
      <c r="C5" s="227">
        <v>52</v>
      </c>
      <c r="D5" s="228">
        <v>3598</v>
      </c>
      <c r="E5" s="598">
        <f t="shared" ref="E5:E11" si="0">C5-D5</f>
        <v>-3546</v>
      </c>
      <c r="F5" s="227">
        <v>63892</v>
      </c>
      <c r="G5" s="228">
        <v>247465</v>
      </c>
      <c r="H5" s="230">
        <f t="shared" ref="H5:H11" si="1">F5-G5</f>
        <v>-183573</v>
      </c>
      <c r="I5" s="33">
        <f t="shared" ref="I5" si="2">F5/C5</f>
        <v>1228.6923076923076</v>
      </c>
      <c r="J5" s="33">
        <f>G5/D5</f>
        <v>68.77848804891606</v>
      </c>
    </row>
    <row r="6" spans="1:10">
      <c r="A6" s="636">
        <v>87120010109</v>
      </c>
      <c r="B6" s="232" t="s">
        <v>118</v>
      </c>
      <c r="C6" s="227">
        <v>0</v>
      </c>
      <c r="D6" s="228">
        <v>1256</v>
      </c>
      <c r="E6" s="229">
        <f t="shared" si="0"/>
        <v>-1256</v>
      </c>
      <c r="F6" s="227">
        <v>0</v>
      </c>
      <c r="G6" s="228">
        <f>_xlfn.IFNA(VLOOKUP(A6,[20]進!$B$11:$F$178,4,0),-[4]整車!$B$22)</f>
        <v>154350</v>
      </c>
      <c r="H6" s="230">
        <f t="shared" si="1"/>
        <v>-154350</v>
      </c>
      <c r="I6" s="33">
        <f>IF(C6,F6/C6,0)</f>
        <v>0</v>
      </c>
      <c r="J6" s="33">
        <f t="shared" ref="I6:J13" si="3">G6/D6</f>
        <v>122.89012738853503</v>
      </c>
    </row>
    <row r="7" spans="1:10">
      <c r="A7" s="635">
        <v>87120010207</v>
      </c>
      <c r="B7" s="233" t="s">
        <v>120</v>
      </c>
      <c r="C7" s="227">
        <v>0</v>
      </c>
      <c r="D7" s="228">
        <v>3971</v>
      </c>
      <c r="E7" s="230">
        <f t="shared" si="0"/>
        <v>-3971</v>
      </c>
      <c r="F7" s="227">
        <v>0</v>
      </c>
      <c r="G7" s="228">
        <v>234830</v>
      </c>
      <c r="H7" s="229">
        <f t="shared" si="1"/>
        <v>-234830</v>
      </c>
      <c r="I7" s="33">
        <f>IF(C7,F7/C7,0)</f>
        <v>0</v>
      </c>
      <c r="J7" s="33">
        <f t="shared" si="3"/>
        <v>59.136237723495341</v>
      </c>
    </row>
    <row r="8" spans="1:10">
      <c r="A8" s="635">
        <v>87120010305</v>
      </c>
      <c r="B8" s="233" t="s">
        <v>122</v>
      </c>
      <c r="C8" s="227">
        <v>0</v>
      </c>
      <c r="D8" s="228">
        <v>3739</v>
      </c>
      <c r="E8" s="229">
        <f t="shared" si="0"/>
        <v>-3739</v>
      </c>
      <c r="F8" s="227">
        <v>0</v>
      </c>
      <c r="G8" s="228">
        <v>529440</v>
      </c>
      <c r="H8" s="235">
        <f t="shared" si="1"/>
        <v>-529440</v>
      </c>
      <c r="I8" s="33">
        <f t="shared" ref="I8:I10" si="4">IF(C8,F8/C8,0)</f>
        <v>0</v>
      </c>
      <c r="J8" s="33">
        <f t="shared" si="3"/>
        <v>141.59935811714362</v>
      </c>
    </row>
    <row r="9" spans="1:10">
      <c r="A9" s="635">
        <v>87120010403</v>
      </c>
      <c r="B9" s="233" t="s">
        <v>124</v>
      </c>
      <c r="C9" s="227">
        <v>26</v>
      </c>
      <c r="D9" s="228">
        <v>1543</v>
      </c>
      <c r="E9" s="230">
        <f t="shared" si="0"/>
        <v>-1517</v>
      </c>
      <c r="F9" s="227">
        <v>60255</v>
      </c>
      <c r="G9" s="228">
        <v>146634</v>
      </c>
      <c r="H9" s="230">
        <f t="shared" si="1"/>
        <v>-86379</v>
      </c>
      <c r="I9" s="33">
        <f t="shared" si="4"/>
        <v>2317.5</v>
      </c>
      <c r="J9" s="33">
        <f t="shared" si="3"/>
        <v>95.031756318859365</v>
      </c>
    </row>
    <row r="10" spans="1:10">
      <c r="A10" s="635">
        <v>87120010500</v>
      </c>
      <c r="B10" s="233" t="s">
        <v>126</v>
      </c>
      <c r="C10" s="227">
        <v>141</v>
      </c>
      <c r="D10" s="228">
        <v>2234</v>
      </c>
      <c r="E10" s="230">
        <f t="shared" si="0"/>
        <v>-2093</v>
      </c>
      <c r="F10" s="227">
        <v>307975</v>
      </c>
      <c r="G10" s="228">
        <v>1008800</v>
      </c>
      <c r="H10" s="230">
        <f>F10-G10</f>
        <v>-700825</v>
      </c>
      <c r="I10" s="33">
        <f t="shared" si="4"/>
        <v>2184.2198581560283</v>
      </c>
      <c r="J10" s="33">
        <f t="shared" si="3"/>
        <v>451.56669650850495</v>
      </c>
    </row>
    <row r="11" spans="1:10" ht="20.25" thickBot="1">
      <c r="A11" s="637">
        <v>87120010</v>
      </c>
      <c r="B11" s="237" t="s">
        <v>128</v>
      </c>
      <c r="C11" s="238">
        <f>SUM(C5:C10)</f>
        <v>219</v>
      </c>
      <c r="D11" s="239">
        <f>SUM(D5:D10)</f>
        <v>16341</v>
      </c>
      <c r="E11" s="240">
        <f t="shared" si="0"/>
        <v>-16122</v>
      </c>
      <c r="F11" s="238">
        <f>SUM(F5:F10)</f>
        <v>432122</v>
      </c>
      <c r="G11" s="239">
        <f>SUM(G5:G10)</f>
        <v>2321519</v>
      </c>
      <c r="H11" s="240">
        <f t="shared" si="1"/>
        <v>-1889397</v>
      </c>
      <c r="I11" s="241">
        <f t="shared" si="3"/>
        <v>1973.1598173515981</v>
      </c>
      <c r="J11" s="595">
        <f t="shared" si="3"/>
        <v>142.0671317544826</v>
      </c>
    </row>
    <row r="12" spans="1:10" ht="12.75" customHeight="1" thickTop="1">
      <c r="A12" s="242"/>
      <c r="B12" s="243"/>
      <c r="C12" s="244"/>
      <c r="D12" s="245"/>
      <c r="E12" s="246"/>
      <c r="F12" s="244"/>
      <c r="G12" s="245"/>
      <c r="H12" s="246"/>
      <c r="I12" s="610"/>
      <c r="J12" s="5"/>
    </row>
    <row r="13" spans="1:10" ht="19.5">
      <c r="A13" s="635">
        <v>87120090004</v>
      </c>
      <c r="B13" s="226" t="s">
        <v>130</v>
      </c>
      <c r="C13" s="227">
        <v>0</v>
      </c>
      <c r="D13" s="247">
        <v>221</v>
      </c>
      <c r="E13" s="230">
        <f>C13-D13</f>
        <v>-221</v>
      </c>
      <c r="F13" s="526">
        <v>0</v>
      </c>
      <c r="G13" s="228">
        <v>13333</v>
      </c>
      <c r="H13" s="608">
        <f>F13-G13</f>
        <v>-13333</v>
      </c>
      <c r="I13" s="612">
        <v>0</v>
      </c>
      <c r="J13" s="609">
        <f t="shared" si="3"/>
        <v>60.33031674208145</v>
      </c>
    </row>
    <row r="14" spans="1:10" ht="20.25" thickBot="1">
      <c r="A14" s="236" t="s">
        <v>131</v>
      </c>
      <c r="B14" s="248" t="s">
        <v>132</v>
      </c>
      <c r="C14" s="238">
        <f>C11+C13</f>
        <v>219</v>
      </c>
      <c r="D14" s="239">
        <f>D11+D13</f>
        <v>16562</v>
      </c>
      <c r="E14" s="240">
        <f>C14-D14</f>
        <v>-16343</v>
      </c>
      <c r="F14" s="238">
        <f>F11+F13</f>
        <v>432122</v>
      </c>
      <c r="G14" s="239">
        <f>G11+G13</f>
        <v>2334852</v>
      </c>
      <c r="H14" s="240">
        <f>F14-G14</f>
        <v>-1902730</v>
      </c>
      <c r="I14" s="611">
        <f>F14/C14</f>
        <v>1973.1598173515981</v>
      </c>
      <c r="J14" s="596">
        <f>G14/D14</f>
        <v>140.97645211930927</v>
      </c>
    </row>
    <row r="15" spans="1:10" ht="11.25" customHeight="1" thickTop="1">
      <c r="A15" s="249"/>
      <c r="B15" s="250"/>
      <c r="C15" s="251"/>
      <c r="D15" s="251"/>
      <c r="E15" s="252"/>
      <c r="F15" s="251"/>
      <c r="G15" s="251"/>
      <c r="H15" s="252"/>
      <c r="I15" s="253"/>
      <c r="J15" s="253"/>
    </row>
    <row r="16" spans="1:10" ht="19.5">
      <c r="A16" s="779" t="s">
        <v>528</v>
      </c>
      <c r="B16" s="779"/>
      <c r="C16" s="779"/>
      <c r="D16" s="779"/>
      <c r="E16" s="779"/>
      <c r="F16" s="779"/>
      <c r="G16" s="779"/>
      <c r="H16" s="779"/>
      <c r="I16" s="779"/>
      <c r="J16" s="779"/>
    </row>
    <row r="17" spans="1:10" ht="9" customHeight="1">
      <c r="A17" s="242"/>
      <c r="B17" s="243"/>
      <c r="C17" s="209"/>
      <c r="D17" s="209"/>
      <c r="E17" s="254"/>
      <c r="F17" s="209"/>
      <c r="G17" s="209"/>
      <c r="H17" s="254"/>
      <c r="I17" s="5"/>
      <c r="J17" s="5"/>
    </row>
    <row r="18" spans="1:10">
      <c r="A18" s="210" t="s">
        <v>110</v>
      </c>
      <c r="B18" s="211" t="s">
        <v>111</v>
      </c>
      <c r="C18" s="511" t="s">
        <v>524</v>
      </c>
      <c r="D18" s="212" t="s">
        <v>525</v>
      </c>
      <c r="E18" s="213" t="s">
        <v>113</v>
      </c>
      <c r="F18" s="511" t="s">
        <v>526</v>
      </c>
      <c r="G18" s="212" t="s">
        <v>527</v>
      </c>
      <c r="H18" s="213" t="s">
        <v>113</v>
      </c>
      <c r="I18" s="255"/>
      <c r="J18" s="255"/>
    </row>
    <row r="19" spans="1:10">
      <c r="A19" s="215"/>
      <c r="B19" s="216"/>
      <c r="C19" s="217" t="s">
        <v>133</v>
      </c>
      <c r="D19" s="218" t="s">
        <v>133</v>
      </c>
      <c r="E19" s="222" t="s">
        <v>4</v>
      </c>
      <c r="F19" s="220" t="s">
        <v>4</v>
      </c>
      <c r="G19" s="221" t="s">
        <v>4</v>
      </c>
      <c r="H19" s="222" t="s">
        <v>4</v>
      </c>
      <c r="I19" s="256"/>
      <c r="J19" s="255"/>
    </row>
    <row r="20" spans="1:10">
      <c r="A20" s="594">
        <v>85121010001</v>
      </c>
      <c r="B20" s="226" t="s">
        <v>135</v>
      </c>
      <c r="C20" s="227">
        <v>281</v>
      </c>
      <c r="D20" s="247">
        <v>4299</v>
      </c>
      <c r="E20" s="230">
        <f t="shared" ref="E20:E42" si="5">C20-D20</f>
        <v>-4018</v>
      </c>
      <c r="F20" s="526">
        <v>28006</v>
      </c>
      <c r="G20" s="228">
        <v>128473</v>
      </c>
      <c r="H20" s="600">
        <f t="shared" ref="H20:H42" si="6">F20-G20</f>
        <v>-100467</v>
      </c>
      <c r="I20" s="209"/>
      <c r="J20" s="209"/>
    </row>
    <row r="21" spans="1:10">
      <c r="A21" s="594">
        <v>85121020009</v>
      </c>
      <c r="B21" s="226" t="s">
        <v>137</v>
      </c>
      <c r="C21" s="227">
        <v>102</v>
      </c>
      <c r="D21" s="247">
        <v>1507</v>
      </c>
      <c r="E21" s="230">
        <f t="shared" si="5"/>
        <v>-1405</v>
      </c>
      <c r="F21" s="526">
        <v>12791</v>
      </c>
      <c r="G21" s="228">
        <v>94624</v>
      </c>
      <c r="H21" s="600">
        <f t="shared" si="6"/>
        <v>-81833</v>
      </c>
      <c r="I21" s="209"/>
      <c r="J21" s="209"/>
    </row>
    <row r="22" spans="1:10">
      <c r="A22" s="594">
        <v>87149120007</v>
      </c>
      <c r="B22" s="226" t="s">
        <v>310</v>
      </c>
      <c r="C22" s="227">
        <f>VLOOKUP(A22,[21]進出口值表查詢結果!$A$10:$D$24,4,0)</f>
        <v>99566</v>
      </c>
      <c r="D22" s="247">
        <f>VLOOKUP(A22,[22]進出口值表查詢結果!$A$3:$D$19,4,0)</f>
        <v>400269</v>
      </c>
      <c r="E22" s="230">
        <f t="shared" ref="E22:E32" si="7">C22-D22</f>
        <v>-300703</v>
      </c>
      <c r="F22" s="748">
        <f>VLOOKUP(A22,[21]進出口值表查詢結果!$A$10:$D$24,3,0)</f>
        <v>4314099</v>
      </c>
      <c r="G22" s="228">
        <f>VLOOKUP(A22,[22]進出口值表查詢結果!$A$3:$D$19,3,0)</f>
        <v>16278370</v>
      </c>
      <c r="H22" s="600">
        <f t="shared" si="6"/>
        <v>-11964271</v>
      </c>
      <c r="I22" s="209"/>
      <c r="J22" s="209"/>
    </row>
    <row r="23" spans="1:10">
      <c r="A23" s="594">
        <v>87149200108</v>
      </c>
      <c r="B23" s="226" t="s">
        <v>141</v>
      </c>
      <c r="C23" s="227">
        <f>VLOOKUP(A23,[21]進出口值表查詢結果!$A$10:$D$24,4,0)</f>
        <v>20496</v>
      </c>
      <c r="D23" s="247">
        <f>VLOOKUP(A23,[22]進出口值表查詢結果!$A$3:$D$19,4,0)</f>
        <v>59368</v>
      </c>
      <c r="E23" s="230">
        <f t="shared" si="7"/>
        <v>-38872</v>
      </c>
      <c r="F23" s="748">
        <f>VLOOKUP(A23,[21]進出口值表查詢結果!$A$10:$D$24,3,0)</f>
        <v>501339</v>
      </c>
      <c r="G23" s="228">
        <f>VLOOKUP(A23,[22]進出口值表查詢結果!$A$3:$D$19,3,0)</f>
        <v>6305104</v>
      </c>
      <c r="H23" s="600">
        <f t="shared" si="6"/>
        <v>-5803765</v>
      </c>
      <c r="I23" s="599"/>
      <c r="J23" s="209"/>
    </row>
    <row r="24" spans="1:10">
      <c r="A24" s="594">
        <v>87149200206</v>
      </c>
      <c r="B24" s="226" t="s">
        <v>143</v>
      </c>
      <c r="C24" s="227">
        <f>VLOOKUP(A24,[21]進出口值表查詢結果!$A$10:$D$24,4,0)</f>
        <v>5365</v>
      </c>
      <c r="D24" s="247">
        <f>VLOOKUP(A24,[22]進出口值表查詢結果!$A$3:$D$19,4,0)</f>
        <v>8749</v>
      </c>
      <c r="E24" s="230">
        <f t="shared" si="7"/>
        <v>-3384</v>
      </c>
      <c r="F24" s="748">
        <f>VLOOKUP(A24,[21]進出口值表查詢結果!$A$10:$D$24,3,0)</f>
        <v>268325</v>
      </c>
      <c r="G24" s="228">
        <f>VLOOKUP(A24,[22]進出口值表查詢結果!$A$3:$D$19,3,0)</f>
        <v>342766</v>
      </c>
      <c r="H24" s="600">
        <f t="shared" si="6"/>
        <v>-74441</v>
      </c>
      <c r="I24" s="209"/>
      <c r="J24" s="209"/>
    </row>
    <row r="25" spans="1:10">
      <c r="A25" s="594">
        <v>87149200304</v>
      </c>
      <c r="B25" s="226" t="s">
        <v>145</v>
      </c>
      <c r="C25" s="227">
        <f>VLOOKUP(A25,[21]進出口值表查詢結果!$A$10:$D$24,4,0)</f>
        <v>4485</v>
      </c>
      <c r="D25" s="247">
        <f>VLOOKUP(A25,[22]進出口值表查詢結果!$A$3:$D$19,4,0)</f>
        <v>20459</v>
      </c>
      <c r="E25" s="230">
        <f t="shared" si="7"/>
        <v>-15974</v>
      </c>
      <c r="F25" s="748">
        <f>VLOOKUP(A25,[21]進出口值表查詢結果!$A$10:$D$24,3,0)</f>
        <v>526029</v>
      </c>
      <c r="G25" s="228">
        <f>VLOOKUP(A25,[22]進出口值表查詢結果!$A$3:$D$19,3,0)</f>
        <v>340023</v>
      </c>
      <c r="H25" s="600">
        <f t="shared" si="6"/>
        <v>186006</v>
      </c>
      <c r="I25" s="209"/>
      <c r="J25" s="209"/>
    </row>
    <row r="26" spans="1:10">
      <c r="A26" s="594">
        <v>87149310007</v>
      </c>
      <c r="B26" s="226" t="s">
        <v>147</v>
      </c>
      <c r="C26" s="227">
        <f>VLOOKUP(A26,[21]進出口值表查詢結果!$A$10:$D$24,4,0)</f>
        <v>3662</v>
      </c>
      <c r="D26" s="247">
        <f>VLOOKUP(A26,[22]進出口值表查詢結果!$A$3:$D$19,4,0)</f>
        <v>35554</v>
      </c>
      <c r="E26" s="230">
        <f t="shared" si="7"/>
        <v>-31892</v>
      </c>
      <c r="F26" s="748">
        <f>VLOOKUP(A26,[21]進出口值表查詢結果!$A$10:$D$24,3,0)</f>
        <v>386029</v>
      </c>
      <c r="G26" s="228">
        <f>VLOOKUP(A26,[22]進出口值表查詢結果!$A$3:$D$19,3,0)</f>
        <v>1228870</v>
      </c>
      <c r="H26" s="600">
        <f t="shared" si="6"/>
        <v>-842841</v>
      </c>
      <c r="I26" s="209"/>
      <c r="J26" s="209"/>
    </row>
    <row r="27" spans="1:10">
      <c r="A27" s="594">
        <v>87149320103</v>
      </c>
      <c r="B27" s="226" t="s">
        <v>400</v>
      </c>
      <c r="C27" s="227">
        <v>0</v>
      </c>
      <c r="D27" s="247">
        <f>VLOOKUP(A27,[22]進出口值表查詢結果!$A$3:$D$19,4,0)</f>
        <v>121</v>
      </c>
      <c r="E27" s="230">
        <f t="shared" si="7"/>
        <v>-121</v>
      </c>
      <c r="F27" s="748">
        <v>0</v>
      </c>
      <c r="G27" s="228">
        <f>VLOOKUP(A27,[22]進出口值表查詢結果!$A$3:$D$19,3,0)</f>
        <v>3318</v>
      </c>
      <c r="H27" s="600">
        <f t="shared" si="6"/>
        <v>-3318</v>
      </c>
      <c r="I27" s="209"/>
      <c r="J27" s="209"/>
    </row>
    <row r="28" spans="1:10">
      <c r="A28" s="594">
        <v>87149410006</v>
      </c>
      <c r="B28" s="226" t="s">
        <v>151</v>
      </c>
      <c r="C28" s="227">
        <v>0</v>
      </c>
      <c r="D28" s="247">
        <f>VLOOKUP(A28,[22]進出口值表查詢結果!$A$3:$D$19,4,0)</f>
        <v>1752</v>
      </c>
      <c r="E28" s="230">
        <f t="shared" si="7"/>
        <v>-1752</v>
      </c>
      <c r="F28" s="748">
        <v>0</v>
      </c>
      <c r="G28" s="228">
        <f>VLOOKUP(A28,[22]進出口值表查詢結果!$A$3:$D$19,3,0)</f>
        <v>36396</v>
      </c>
      <c r="H28" s="600">
        <f t="shared" si="6"/>
        <v>-36396</v>
      </c>
      <c r="I28" s="209"/>
      <c r="J28" s="209"/>
    </row>
    <row r="29" spans="1:10">
      <c r="A29" s="594">
        <v>87149490009</v>
      </c>
      <c r="B29" s="226" t="s">
        <v>153</v>
      </c>
      <c r="C29" s="227">
        <f>VLOOKUP(A29,[21]進出口值表查詢結果!$A$10:$D$24,4,0)</f>
        <v>59399</v>
      </c>
      <c r="D29" s="247">
        <f>VLOOKUP(A29,[22]進出口值表查詢結果!$A$3:$D$19,4,0)</f>
        <v>179963</v>
      </c>
      <c r="E29" s="230">
        <f t="shared" si="7"/>
        <v>-120564</v>
      </c>
      <c r="F29" s="748">
        <f>VLOOKUP(A29,[21]進出口值表查詢結果!$A$10:$D$24,3,0)</f>
        <v>2165709</v>
      </c>
      <c r="G29" s="228">
        <f>VLOOKUP(A29,[22]進出口值表查詢結果!$A$3:$D$19,3,0)</f>
        <v>2022933</v>
      </c>
      <c r="H29" s="600">
        <f t="shared" si="6"/>
        <v>142776</v>
      </c>
      <c r="I29" s="209"/>
      <c r="J29" s="209"/>
    </row>
    <row r="30" spans="1:10">
      <c r="A30" s="594">
        <v>87149500007</v>
      </c>
      <c r="B30" s="226" t="s">
        <v>155</v>
      </c>
      <c r="C30" s="227">
        <f>VLOOKUP(A30,[21]進出口值表查詢結果!$A$10:$D$24,4,0)</f>
        <v>549</v>
      </c>
      <c r="D30" s="247">
        <f>VLOOKUP(A30,[22]進出口值表查詢結果!$A$3:$D$19,4,0)</f>
        <v>76809</v>
      </c>
      <c r="E30" s="230">
        <f t="shared" si="7"/>
        <v>-76260</v>
      </c>
      <c r="F30" s="748">
        <f>VLOOKUP(A30,[21]進出口值表查詢結果!$A$10:$D$24,3,0)</f>
        <v>39936</v>
      </c>
      <c r="G30" s="228">
        <f>VLOOKUP(A30,[22]進出口值表查詢結果!$A$3:$D$19,3,0)</f>
        <v>736544</v>
      </c>
      <c r="H30" s="600">
        <f t="shared" si="6"/>
        <v>-696608</v>
      </c>
      <c r="I30" s="209"/>
      <c r="J30" s="258"/>
    </row>
    <row r="31" spans="1:10">
      <c r="A31" s="594">
        <v>87149610004</v>
      </c>
      <c r="B31" s="226" t="s">
        <v>157</v>
      </c>
      <c r="C31" s="227">
        <f>VLOOKUP(A31,[21]進出口值表查詢結果!$A$10:$D$24,4,0)</f>
        <v>24215</v>
      </c>
      <c r="D31" s="247">
        <f>VLOOKUP(A31,[22]進出口值表查詢結果!$A$3:$D$19,4,0)</f>
        <v>20281</v>
      </c>
      <c r="E31" s="230">
        <f t="shared" si="7"/>
        <v>3934</v>
      </c>
      <c r="F31" s="748">
        <f>VLOOKUP(A31,[21]進出口值表查詢結果!$A$10:$D$24,3,0)</f>
        <v>157640</v>
      </c>
      <c r="G31" s="228">
        <f>VLOOKUP(A31,[22]進出口值表查詢結果!$A$3:$D$19,3,0)</f>
        <v>161175</v>
      </c>
      <c r="H31" s="600">
        <f t="shared" si="6"/>
        <v>-3535</v>
      </c>
      <c r="I31" s="209"/>
      <c r="J31" s="209"/>
    </row>
    <row r="32" spans="1:10">
      <c r="A32" s="594">
        <v>87149620002</v>
      </c>
      <c r="B32" s="226" t="s">
        <v>159</v>
      </c>
      <c r="C32" s="227">
        <f>VLOOKUP(A32,[21]進出口值表查詢結果!$A$10:$D$24,4,0)</f>
        <v>6028</v>
      </c>
      <c r="D32" s="247">
        <f>VLOOKUP(A32,[22]進出口值表查詢結果!$A$3:$D$19,4,0)</f>
        <v>97021</v>
      </c>
      <c r="E32" s="230">
        <f t="shared" si="7"/>
        <v>-90993</v>
      </c>
      <c r="F32" s="748">
        <f>VLOOKUP(A32,[21]進出口值表查詢結果!$A$10:$D$24,3,0)</f>
        <v>386156</v>
      </c>
      <c r="G32" s="228">
        <f>VLOOKUP(A32,[22]進出口值表查詢結果!$A$3:$D$19,3,0)</f>
        <v>1123506</v>
      </c>
      <c r="H32" s="600">
        <f t="shared" si="6"/>
        <v>-737350</v>
      </c>
      <c r="I32" s="209"/>
      <c r="J32" s="209"/>
    </row>
    <row r="33" spans="1:10">
      <c r="A33" s="594">
        <v>73151100209</v>
      </c>
      <c r="B33" s="226" t="s">
        <v>161</v>
      </c>
      <c r="C33" s="526">
        <v>2962</v>
      </c>
      <c r="D33" s="247">
        <v>34411</v>
      </c>
      <c r="E33" s="230">
        <f t="shared" si="5"/>
        <v>-31449</v>
      </c>
      <c r="F33" s="526">
        <v>74321</v>
      </c>
      <c r="G33" s="228">
        <v>166541</v>
      </c>
      <c r="H33" s="600">
        <f t="shared" si="6"/>
        <v>-92220</v>
      </c>
      <c r="I33" s="209"/>
      <c r="J33" s="209"/>
    </row>
    <row r="34" spans="1:10">
      <c r="A34" s="594">
        <v>87149990111</v>
      </c>
      <c r="B34" s="226" t="s">
        <v>163</v>
      </c>
      <c r="C34" s="227">
        <f>VLOOKUP(A34,[21]進出口值表查詢結果!$A$10:$D$24,4,0)</f>
        <v>7248</v>
      </c>
      <c r="D34" s="247">
        <f>VLOOKUP(A34,[22]進出口值表查詢結果!$A$3:$D$19,4,0)</f>
        <v>37232</v>
      </c>
      <c r="E34" s="230">
        <f t="shared" si="5"/>
        <v>-29984</v>
      </c>
      <c r="F34" s="748">
        <f>VLOOKUP(A34,[21]進出口值表查詢結果!$A$10:$D$24,3,0)</f>
        <v>903189</v>
      </c>
      <c r="G34" s="228">
        <f>VLOOKUP(A34,[22]進出口值表查詢結果!$A$3:$D$19,3,0)</f>
        <v>1120829</v>
      </c>
      <c r="H34" s="600">
        <f t="shared" si="6"/>
        <v>-217640</v>
      </c>
      <c r="I34" s="209"/>
      <c r="J34" s="209"/>
    </row>
    <row r="35" spans="1:10">
      <c r="A35" s="594">
        <v>87149320906</v>
      </c>
      <c r="B35" s="226" t="s">
        <v>401</v>
      </c>
      <c r="C35" s="227">
        <f>VLOOKUP(A35,[21]進出口值表查詢結果!$A$10:$D$24,4,0)</f>
        <v>42179</v>
      </c>
      <c r="D35" s="247">
        <f>VLOOKUP(A35,[22]進出口值表查詢結果!$A$3:$D$19,4,0)</f>
        <v>24009</v>
      </c>
      <c r="E35" s="230">
        <f t="shared" si="5"/>
        <v>18170</v>
      </c>
      <c r="F35" s="748">
        <f>VLOOKUP(A35,[21]進出口值表查詢結果!$A$10:$D$24,3,0)</f>
        <v>938978</v>
      </c>
      <c r="G35" s="228">
        <f>VLOOKUP(A35,[22]進出口值表查詢結果!$A$3:$D$19,3,0)</f>
        <v>282615</v>
      </c>
      <c r="H35" s="600">
        <f t="shared" si="6"/>
        <v>656363</v>
      </c>
      <c r="I35" s="209"/>
      <c r="J35" s="209"/>
    </row>
    <row r="36" spans="1:10">
      <c r="A36" s="594">
        <v>87149990139</v>
      </c>
      <c r="B36" s="226" t="s">
        <v>167</v>
      </c>
      <c r="C36" s="227">
        <f>VLOOKUP(A36,[21]進出口值表查詢結果!$A$10:$D$24,4,0)</f>
        <v>327</v>
      </c>
      <c r="D36" s="247">
        <f>VLOOKUP(A36,[22]進出口值表查詢結果!$A$3:$D$19,4,0)</f>
        <v>1207</v>
      </c>
      <c r="E36" s="230">
        <f t="shared" si="5"/>
        <v>-880</v>
      </c>
      <c r="F36" s="748">
        <f>VLOOKUP(A36,[21]進出口值表查詢結果!$A$10:$D$24,3,0)</f>
        <v>12887</v>
      </c>
      <c r="G36" s="228">
        <f>VLOOKUP(A36,[22]進出口值表查詢結果!$A$3:$D$19,3,0)</f>
        <v>4307</v>
      </c>
      <c r="H36" s="600">
        <f t="shared" si="6"/>
        <v>8580</v>
      </c>
      <c r="I36" s="209"/>
      <c r="J36" s="209"/>
    </row>
    <row r="37" spans="1:10">
      <c r="A37" s="594">
        <v>87149990148</v>
      </c>
      <c r="B37" s="226" t="s">
        <v>169</v>
      </c>
      <c r="C37" s="227">
        <f>VLOOKUP(A37,[21]進出口值表查詢結果!$A$10:$D$24,4,0)</f>
        <v>4456</v>
      </c>
      <c r="D37" s="247">
        <f>VLOOKUP(A37,[22]進出口值表查詢結果!$A$3:$D$19,4,0)</f>
        <v>15774</v>
      </c>
      <c r="E37" s="230">
        <f>C37-D37</f>
        <v>-11318</v>
      </c>
      <c r="F37" s="748">
        <f>VLOOKUP(A37,[21]進出口值表查詢結果!$A$10:$D$24,3,0)</f>
        <v>134194</v>
      </c>
      <c r="G37" s="228">
        <f>VLOOKUP(A37,[22]進出口值表查詢結果!$A$3:$D$19,3,0)</f>
        <v>399936</v>
      </c>
      <c r="H37" s="600">
        <f t="shared" si="6"/>
        <v>-265742</v>
      </c>
      <c r="I37" s="209"/>
      <c r="J37" s="209"/>
    </row>
    <row r="38" spans="1:10">
      <c r="A38" s="594">
        <v>87149990157</v>
      </c>
      <c r="B38" s="226" t="s">
        <v>171</v>
      </c>
      <c r="C38" s="227">
        <f>VLOOKUP(A38,[21]進出口值表查詢結果!$A$10:$D$24,4,0)</f>
        <v>16141</v>
      </c>
      <c r="D38" s="247">
        <f>VLOOKUP(A38,[22]進出口值表查詢結果!$A$3:$D$19,4,0)</f>
        <v>23335</v>
      </c>
      <c r="E38" s="230">
        <f t="shared" si="5"/>
        <v>-7194</v>
      </c>
      <c r="F38" s="748">
        <f>VLOOKUP(A38,[21]進出口值表查詢結果!$A$10:$D$24,3,0)</f>
        <v>322840</v>
      </c>
      <c r="G38" s="228">
        <f>VLOOKUP(A38,[22]進出口值表查詢結果!$A$3:$D$19,3,0)</f>
        <v>990700</v>
      </c>
      <c r="H38" s="600">
        <f t="shared" si="6"/>
        <v>-667860</v>
      </c>
      <c r="I38" s="209"/>
      <c r="J38" s="209"/>
    </row>
    <row r="39" spans="1:10">
      <c r="A39" s="594">
        <v>87149990166</v>
      </c>
      <c r="B39" s="226" t="s">
        <v>173</v>
      </c>
      <c r="C39" s="227">
        <f>VLOOKUP(A39,[21]進出口值表查詢結果!$A$10:$D$24,4,0)</f>
        <v>7104</v>
      </c>
      <c r="D39" s="247">
        <f>VLOOKUP(A39,[22]進出口值表查詢結果!$A$3:$D$19,4,0)</f>
        <v>41135</v>
      </c>
      <c r="E39" s="230">
        <f>C39-D39</f>
        <v>-34031</v>
      </c>
      <c r="F39" s="748">
        <f>VLOOKUP(A39,[21]進出口值表查詢結果!$A$10:$D$24,3,0)</f>
        <v>169695</v>
      </c>
      <c r="G39" s="228">
        <f>VLOOKUP(A39,[22]進出口值表查詢結果!$A$3:$D$19,3,0)</f>
        <v>2380873</v>
      </c>
      <c r="H39" s="600">
        <f>F39-G39</f>
        <v>-2211178</v>
      </c>
      <c r="I39" s="209"/>
      <c r="J39" s="209"/>
    </row>
    <row r="40" spans="1:10">
      <c r="A40" s="594">
        <v>40115000008</v>
      </c>
      <c r="B40" s="226" t="s">
        <v>175</v>
      </c>
      <c r="C40" s="227">
        <v>65088</v>
      </c>
      <c r="D40" s="247">
        <v>69963</v>
      </c>
      <c r="E40" s="230">
        <f>C40-D40</f>
        <v>-4875</v>
      </c>
      <c r="F40" s="526">
        <v>924913</v>
      </c>
      <c r="G40" s="228">
        <v>413609</v>
      </c>
      <c r="H40" s="600">
        <f>F40-G40</f>
        <v>511304</v>
      </c>
      <c r="I40" s="209"/>
      <c r="J40" s="209"/>
    </row>
    <row r="41" spans="1:10">
      <c r="A41" s="594">
        <v>40132000003</v>
      </c>
      <c r="B41" s="226" t="s">
        <v>177</v>
      </c>
      <c r="C41" s="227">
        <v>248</v>
      </c>
      <c r="D41" s="247">
        <v>23279</v>
      </c>
      <c r="E41" s="230">
        <f>C41-D41</f>
        <v>-23031</v>
      </c>
      <c r="F41" s="526">
        <v>2298</v>
      </c>
      <c r="G41" s="228">
        <v>122849</v>
      </c>
      <c r="H41" s="600">
        <f>F41-G41</f>
        <v>-120551</v>
      </c>
      <c r="I41" s="209"/>
      <c r="J41" s="209"/>
    </row>
    <row r="42" spans="1:10" ht="17.25" thickBot="1">
      <c r="A42" s="260" t="s">
        <v>131</v>
      </c>
      <c r="B42" s="261"/>
      <c r="C42" s="262">
        <f>SUM(C20:C41)</f>
        <v>369901</v>
      </c>
      <c r="D42" s="263">
        <f>SUM(D20:D41)</f>
        <v>1176497</v>
      </c>
      <c r="E42" s="264">
        <f t="shared" si="5"/>
        <v>-806596</v>
      </c>
      <c r="F42" s="262">
        <f>SUM(F20:F41)</f>
        <v>12269374</v>
      </c>
      <c r="G42" s="263">
        <f>SUM(G20:G41)</f>
        <v>34684361</v>
      </c>
      <c r="H42" s="601">
        <f t="shared" si="6"/>
        <v>-22414987</v>
      </c>
      <c r="I42" s="4"/>
      <c r="J42" s="4"/>
    </row>
    <row r="43" spans="1:10" ht="6" customHeight="1" thickTop="1">
      <c r="A43" s="249"/>
      <c r="B43" s="265"/>
      <c r="C43" s="251"/>
      <c r="D43" s="251"/>
      <c r="E43" s="252"/>
      <c r="F43" s="251"/>
      <c r="G43" s="251"/>
      <c r="H43" s="266"/>
      <c r="I43" s="4"/>
      <c r="J43" s="4"/>
    </row>
    <row r="44" spans="1:10">
      <c r="A44" s="57" t="s">
        <v>178</v>
      </c>
      <c r="B44" s="3"/>
      <c r="C44" s="58"/>
      <c r="D44" s="3"/>
      <c r="E44" s="3"/>
      <c r="F44" s="3"/>
      <c r="G44" s="209"/>
      <c r="H44" s="209"/>
      <c r="I44" s="4"/>
      <c r="J44" s="4"/>
    </row>
    <row r="45" spans="1:10" ht="18">
      <c r="A45" s="153" t="s">
        <v>179</v>
      </c>
      <c r="B45" s="4"/>
      <c r="C45" s="209"/>
      <c r="D45" s="209"/>
      <c r="E45" s="209"/>
      <c r="F45" s="209"/>
      <c r="G45" s="209"/>
      <c r="H45" s="209"/>
      <c r="I45" s="4"/>
      <c r="J45" s="4"/>
    </row>
  </sheetData>
  <mergeCells count="2">
    <mergeCell ref="A1:J1"/>
    <mergeCell ref="A16:J16"/>
  </mergeCells>
  <phoneticPr fontId="3" type="noConversion"/>
  <printOptions horizontalCentered="1" verticalCentered="1"/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5" customWidth="1"/>
    <col min="2" max="2" width="27.75" customWidth="1"/>
    <col min="3" max="3" width="18" customWidth="1"/>
    <col min="4" max="4" width="17.875" customWidth="1"/>
    <col min="5" max="5" width="11.75" customWidth="1"/>
    <col min="6" max="6" width="17.5" customWidth="1"/>
    <col min="7" max="7" width="17.875" customWidth="1"/>
    <col min="8" max="8" width="11.25" customWidth="1"/>
    <col min="9" max="9" width="14.75" customWidth="1"/>
    <col min="10" max="10" width="13.625" customWidth="1"/>
    <col min="11" max="11" width="10.875" customWidth="1"/>
  </cols>
  <sheetData>
    <row r="1" spans="1:11" ht="19.5">
      <c r="A1" s="779" t="s">
        <v>534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</row>
    <row r="2" spans="1:11">
      <c r="A2" s="208"/>
      <c r="B2" s="4"/>
      <c r="C2" s="209"/>
      <c r="D2" s="209"/>
      <c r="E2" s="209"/>
      <c r="F2" s="209"/>
      <c r="G2" s="284"/>
      <c r="H2" s="36"/>
      <c r="I2" s="4"/>
      <c r="J2" s="4"/>
      <c r="K2" s="36"/>
    </row>
    <row r="3" spans="1:11">
      <c r="A3" s="210" t="s">
        <v>110</v>
      </c>
      <c r="B3" s="211" t="s">
        <v>111</v>
      </c>
      <c r="C3" s="268" t="s">
        <v>530</v>
      </c>
      <c r="D3" s="268" t="s">
        <v>531</v>
      </c>
      <c r="E3" s="268" t="s">
        <v>187</v>
      </c>
      <c r="F3" s="285" t="s">
        <v>532</v>
      </c>
      <c r="G3" s="286" t="s">
        <v>533</v>
      </c>
      <c r="H3" s="287" t="s">
        <v>187</v>
      </c>
      <c r="I3" s="288" t="s">
        <v>502</v>
      </c>
      <c r="J3" s="288" t="s">
        <v>503</v>
      </c>
      <c r="K3" s="490" t="s">
        <v>188</v>
      </c>
    </row>
    <row r="4" spans="1:11">
      <c r="A4" s="215"/>
      <c r="B4" s="216"/>
      <c r="C4" s="217" t="s">
        <v>180</v>
      </c>
      <c r="D4" s="217" t="s">
        <v>180</v>
      </c>
      <c r="E4" s="217" t="s">
        <v>189</v>
      </c>
      <c r="F4" s="218" t="s">
        <v>181</v>
      </c>
      <c r="G4" s="289" t="s">
        <v>181</v>
      </c>
      <c r="H4" s="290" t="s">
        <v>190</v>
      </c>
      <c r="I4" s="291" t="s">
        <v>4</v>
      </c>
      <c r="J4" s="292" t="s">
        <v>4</v>
      </c>
      <c r="K4" s="491" t="s">
        <v>191</v>
      </c>
    </row>
    <row r="5" spans="1:11">
      <c r="A5" s="635">
        <v>87120010902</v>
      </c>
      <c r="B5" s="226" t="s">
        <v>116</v>
      </c>
      <c r="C5" s="227">
        <v>1582</v>
      </c>
      <c r="D5" s="259">
        <v>5403</v>
      </c>
      <c r="E5" s="616">
        <f>IF(D5,(C5-D5)/D5,0)</f>
        <v>-0.7071997038682214</v>
      </c>
      <c r="F5" s="228">
        <v>1511281</v>
      </c>
      <c r="G5" s="247">
        <v>5715649</v>
      </c>
      <c r="H5" s="615">
        <f>IF(G5,(F5-G5)/G5,0)</f>
        <v>-0.73558890687654188</v>
      </c>
      <c r="I5" s="295">
        <f>IF(C5,F5/C5,0)</f>
        <v>955.29772439949431</v>
      </c>
      <c r="J5" s="295">
        <f>IF(D5,G5/D5,0)</f>
        <v>1057.8658152878031</v>
      </c>
      <c r="K5" s="617">
        <f t="shared" ref="K5:K14" si="0">IF(J5,(I5-J5)/J5,0)</f>
        <v>-9.6957562486697915E-2</v>
      </c>
    </row>
    <row r="6" spans="1:11">
      <c r="A6" s="636">
        <v>87120010109</v>
      </c>
      <c r="B6" s="232" t="s">
        <v>118</v>
      </c>
      <c r="C6" s="227">
        <v>1497</v>
      </c>
      <c r="D6" s="259">
        <v>1937</v>
      </c>
      <c r="E6" s="616">
        <f t="shared" ref="E6:E14" si="1">IF(D6,(C6-D6)/D6,0)</f>
        <v>-0.22715539494062983</v>
      </c>
      <c r="F6" s="228">
        <v>1511856</v>
      </c>
      <c r="G6" s="247">
        <v>1586850</v>
      </c>
      <c r="H6" s="615">
        <f t="shared" ref="H6:H14" si="2">IF(G6,(F6-G6)/G6,0)</f>
        <v>-4.7259665374799129E-2</v>
      </c>
      <c r="I6" s="295">
        <f t="shared" ref="I6:I11" si="3">IF(C6,F6/C6,0)</f>
        <v>1009.9238476953908</v>
      </c>
      <c r="J6" s="295">
        <f t="shared" ref="J6:J11" si="4">IF(D6,G6/D6,0)</f>
        <v>819.23076923076928</v>
      </c>
      <c r="K6" s="617">
        <f t="shared" si="0"/>
        <v>0.23277089390047695</v>
      </c>
    </row>
    <row r="7" spans="1:11">
      <c r="A7" s="635">
        <v>87120010207</v>
      </c>
      <c r="B7" s="233" t="s">
        <v>120</v>
      </c>
      <c r="C7" s="227">
        <v>82</v>
      </c>
      <c r="D7" s="259">
        <v>2538</v>
      </c>
      <c r="E7" s="616">
        <f t="shared" si="1"/>
        <v>-0.96769109535066977</v>
      </c>
      <c r="F7" s="228">
        <v>38115</v>
      </c>
      <c r="G7" s="247">
        <v>330081</v>
      </c>
      <c r="H7" s="615">
        <f t="shared" si="2"/>
        <v>-0.88452834304307126</v>
      </c>
      <c r="I7" s="295">
        <f t="shared" si="3"/>
        <v>464.8170731707317</v>
      </c>
      <c r="J7" s="295">
        <f t="shared" si="4"/>
        <v>130.05555555555554</v>
      </c>
      <c r="K7" s="617">
        <f t="shared" si="0"/>
        <v>2.5739886019107954</v>
      </c>
    </row>
    <row r="8" spans="1:11">
      <c r="A8" s="635">
        <v>87120010305</v>
      </c>
      <c r="B8" s="233" t="s">
        <v>122</v>
      </c>
      <c r="C8" s="227">
        <v>0</v>
      </c>
      <c r="D8" s="259">
        <v>331</v>
      </c>
      <c r="E8" s="616">
        <f t="shared" si="1"/>
        <v>-1</v>
      </c>
      <c r="F8" s="228">
        <v>0</v>
      </c>
      <c r="G8" s="247">
        <v>228863</v>
      </c>
      <c r="H8" s="615">
        <f t="shared" si="2"/>
        <v>-1</v>
      </c>
      <c r="I8" s="295">
        <f t="shared" si="3"/>
        <v>0</v>
      </c>
      <c r="J8" s="295">
        <f t="shared" si="4"/>
        <v>691.42900302114799</v>
      </c>
      <c r="K8" s="617">
        <f t="shared" si="0"/>
        <v>-1</v>
      </c>
    </row>
    <row r="9" spans="1:11">
      <c r="A9" s="635">
        <v>87120010403</v>
      </c>
      <c r="B9" s="233" t="s">
        <v>124</v>
      </c>
      <c r="C9" s="227">
        <v>2179</v>
      </c>
      <c r="D9" s="259">
        <v>8652</v>
      </c>
      <c r="E9" s="616">
        <f t="shared" si="1"/>
        <v>-0.74815071659731858</v>
      </c>
      <c r="F9" s="228">
        <v>2847055</v>
      </c>
      <c r="G9" s="247">
        <v>8739381</v>
      </c>
      <c r="H9" s="615">
        <f t="shared" si="2"/>
        <v>-0.67422692751351609</v>
      </c>
      <c r="I9" s="295">
        <f t="shared" si="3"/>
        <v>1306.5878843506196</v>
      </c>
      <c r="J9" s="295">
        <f t="shared" si="4"/>
        <v>1010.0995145631068</v>
      </c>
      <c r="K9" s="617">
        <f t="shared" si="0"/>
        <v>0.29352392067602501</v>
      </c>
    </row>
    <row r="10" spans="1:11">
      <c r="A10" s="635">
        <v>87120010500</v>
      </c>
      <c r="B10" s="233" t="s">
        <v>126</v>
      </c>
      <c r="C10" s="227">
        <v>20185</v>
      </c>
      <c r="D10" s="259">
        <v>90427</v>
      </c>
      <c r="E10" s="616">
        <f t="shared" si="1"/>
        <v>-0.77678127108054007</v>
      </c>
      <c r="F10" s="228">
        <v>32935242</v>
      </c>
      <c r="G10" s="247">
        <v>133102859</v>
      </c>
      <c r="H10" s="615">
        <f t="shared" si="2"/>
        <v>-0.75255796721842017</v>
      </c>
      <c r="I10" s="295">
        <f t="shared" si="3"/>
        <v>1631.6691602675253</v>
      </c>
      <c r="J10" s="295">
        <f t="shared" si="4"/>
        <v>1471.9371316089221</v>
      </c>
      <c r="K10" s="617">
        <f t="shared" si="0"/>
        <v>0.10851824118602527</v>
      </c>
    </row>
    <row r="11" spans="1:11" ht="20.25" thickBot="1">
      <c r="A11" s="637">
        <v>87120010</v>
      </c>
      <c r="B11" s="237" t="s">
        <v>128</v>
      </c>
      <c r="C11" s="238">
        <f>SUM(C5:C10)</f>
        <v>25525</v>
      </c>
      <c r="D11" s="238">
        <f>SUM(D5:D10)</f>
        <v>109288</v>
      </c>
      <c r="E11" s="621">
        <f t="shared" si="1"/>
        <v>-0.76644279335334164</v>
      </c>
      <c r="F11" s="239">
        <f>SUM(F5:F10)</f>
        <v>38843549</v>
      </c>
      <c r="G11" s="301">
        <f>SUM(G5:G10)</f>
        <v>149703683</v>
      </c>
      <c r="H11" s="622">
        <f t="shared" si="2"/>
        <v>-0.74053043838607502</v>
      </c>
      <c r="I11" s="597">
        <f t="shared" si="3"/>
        <v>1521.784485798237</v>
      </c>
      <c r="J11" s="597">
        <f t="shared" si="4"/>
        <v>1369.8089726227947</v>
      </c>
      <c r="K11" s="626">
        <f t="shared" si="0"/>
        <v>0.11094650145593105</v>
      </c>
    </row>
    <row r="12" spans="1:11" ht="17.25" thickTop="1">
      <c r="A12" s="242"/>
      <c r="B12" s="243"/>
      <c r="C12" s="244"/>
      <c r="D12" s="244"/>
      <c r="E12" s="619"/>
      <c r="F12" s="245"/>
      <c r="G12" s="284"/>
      <c r="H12" s="620"/>
      <c r="I12" s="597"/>
      <c r="J12" s="597"/>
      <c r="K12" s="625"/>
    </row>
    <row r="13" spans="1:11">
      <c r="A13" s="636">
        <v>87120090004</v>
      </c>
      <c r="B13" s="232" t="s">
        <v>130</v>
      </c>
      <c r="C13" s="296">
        <v>226</v>
      </c>
      <c r="D13" s="297">
        <v>27</v>
      </c>
      <c r="E13" s="616">
        <f t="shared" si="1"/>
        <v>7.3703703703703702</v>
      </c>
      <c r="F13" s="298">
        <v>73890</v>
      </c>
      <c r="G13" s="299">
        <v>22111</v>
      </c>
      <c r="H13" s="615">
        <f t="shared" si="2"/>
        <v>2.3417755868119938</v>
      </c>
      <c r="I13" s="295">
        <f t="shared" ref="I13" si="5">IF(C13,F13/C13,0)</f>
        <v>326.94690265486724</v>
      </c>
      <c r="J13" s="295">
        <f t="shared" ref="J13" si="6">IF(D13,G13/D13,0)</f>
        <v>818.92592592592598</v>
      </c>
      <c r="K13" s="617">
        <f t="shared" si="0"/>
        <v>-0.60076132369945212</v>
      </c>
    </row>
    <row r="14" spans="1:11" ht="20.25" thickBot="1">
      <c r="A14" s="236" t="s">
        <v>131</v>
      </c>
      <c r="B14" s="248" t="s">
        <v>132</v>
      </c>
      <c r="C14" s="238">
        <f>C11+C13</f>
        <v>25751</v>
      </c>
      <c r="D14" s="238">
        <f>D11+D13</f>
        <v>109315</v>
      </c>
      <c r="E14" s="621">
        <f t="shared" si="1"/>
        <v>-0.7644330604217171</v>
      </c>
      <c r="F14" s="239">
        <f>F11+F13</f>
        <v>38917439</v>
      </c>
      <c r="G14" s="301">
        <f>G11+G13</f>
        <v>149725794</v>
      </c>
      <c r="H14" s="622">
        <f t="shared" si="2"/>
        <v>-0.74007525383368478</v>
      </c>
      <c r="I14" s="302">
        <f>F14/C14</f>
        <v>1511.298163178129</v>
      </c>
      <c r="J14" s="302">
        <f>G14/D14</f>
        <v>1369.6729085669854</v>
      </c>
      <c r="K14" s="626">
        <f t="shared" si="0"/>
        <v>0.10340078549068951</v>
      </c>
    </row>
    <row r="15" spans="1:11" ht="17.25" thickTop="1">
      <c r="A15" s="249"/>
      <c r="B15" s="250"/>
      <c r="C15" s="251"/>
      <c r="D15" s="251"/>
      <c r="E15" s="252"/>
      <c r="F15" s="251"/>
      <c r="G15" s="304"/>
      <c r="H15" s="305"/>
      <c r="I15" s="253"/>
      <c r="J15" s="253"/>
      <c r="K15" s="36"/>
    </row>
    <row r="16" spans="1:11" ht="19.5">
      <c r="A16" s="779" t="s">
        <v>529</v>
      </c>
      <c r="B16" s="779"/>
      <c r="C16" s="779"/>
      <c r="D16" s="779"/>
      <c r="E16" s="779"/>
      <c r="F16" s="779"/>
      <c r="G16" s="779"/>
      <c r="H16" s="779"/>
      <c r="I16" s="306"/>
      <c r="J16" s="306"/>
      <c r="K16" s="36"/>
    </row>
    <row r="17" spans="1:11">
      <c r="A17" s="242"/>
      <c r="B17" s="243"/>
      <c r="C17" s="209"/>
      <c r="D17" s="209"/>
      <c r="E17" s="254"/>
      <c r="F17" s="209"/>
      <c r="G17" s="284"/>
      <c r="H17" s="72"/>
      <c r="I17" s="5"/>
      <c r="J17" s="5"/>
      <c r="K17" s="36"/>
    </row>
    <row r="18" spans="1:11">
      <c r="A18" s="210" t="s">
        <v>110</v>
      </c>
      <c r="B18" s="211" t="s">
        <v>111</v>
      </c>
      <c r="C18" s="268" t="s">
        <v>530</v>
      </c>
      <c r="D18" s="268" t="s">
        <v>531</v>
      </c>
      <c r="E18" s="268" t="s">
        <v>415</v>
      </c>
      <c r="F18" s="285" t="s">
        <v>532</v>
      </c>
      <c r="G18" s="286" t="s">
        <v>533</v>
      </c>
      <c r="H18" s="736" t="s">
        <v>187</v>
      </c>
      <c r="I18" s="255"/>
      <c r="J18" s="255"/>
      <c r="K18" s="36"/>
    </row>
    <row r="19" spans="1:11">
      <c r="A19" s="215"/>
      <c r="B19" s="216"/>
      <c r="C19" s="217" t="s">
        <v>184</v>
      </c>
      <c r="D19" s="217" t="s">
        <v>184</v>
      </c>
      <c r="E19" s="217" t="s">
        <v>189</v>
      </c>
      <c r="F19" s="218" t="s">
        <v>181</v>
      </c>
      <c r="G19" s="289" t="s">
        <v>181</v>
      </c>
      <c r="H19" s="735" t="s">
        <v>192</v>
      </c>
      <c r="I19" s="256"/>
      <c r="J19" s="519"/>
      <c r="K19" s="36"/>
    </row>
    <row r="20" spans="1:11">
      <c r="A20" s="594">
        <v>85121010001</v>
      </c>
      <c r="B20" s="226" t="s">
        <v>135</v>
      </c>
      <c r="C20" s="227">
        <v>2178</v>
      </c>
      <c r="D20" s="259">
        <v>5126</v>
      </c>
      <c r="E20" s="616">
        <f t="shared" ref="E20:E42" si="7">IF(D20,(C20-D20)/D20,0)</f>
        <v>-0.57510729613733902</v>
      </c>
      <c r="F20" s="228">
        <v>241659</v>
      </c>
      <c r="G20" s="247">
        <v>478750</v>
      </c>
      <c r="H20" s="617">
        <f t="shared" ref="H20:H42" si="8">IF(G20,(F20-G20)/G20,0)</f>
        <v>-0.49522924281984332</v>
      </c>
      <c r="I20" s="209"/>
      <c r="J20" s="209"/>
      <c r="K20" s="36"/>
    </row>
    <row r="21" spans="1:11">
      <c r="A21" s="594">
        <v>85121020009</v>
      </c>
      <c r="B21" s="226" t="s">
        <v>137</v>
      </c>
      <c r="C21" s="227">
        <v>307</v>
      </c>
      <c r="D21" s="259">
        <v>140</v>
      </c>
      <c r="E21" s="616">
        <f t="shared" si="7"/>
        <v>1.1928571428571428</v>
      </c>
      <c r="F21" s="228">
        <v>46318</v>
      </c>
      <c r="G21" s="247">
        <v>23070</v>
      </c>
      <c r="H21" s="617">
        <f t="shared" si="8"/>
        <v>1.0077156480277416</v>
      </c>
      <c r="I21" s="209"/>
      <c r="J21" s="209"/>
      <c r="K21" s="36"/>
    </row>
    <row r="22" spans="1:11">
      <c r="A22" s="594">
        <v>87149120007</v>
      </c>
      <c r="B22" s="226" t="s">
        <v>139</v>
      </c>
      <c r="C22" s="227">
        <f>VLOOKUP(A22,[23]進出口值表查詢結果!$A$3:$D$19,4,0)</f>
        <v>957078</v>
      </c>
      <c r="D22" s="259">
        <f>VLOOKUP(A22,[24]進出口值表查詢結果!$A$10:$D$26,4,0)</f>
        <v>952124</v>
      </c>
      <c r="E22" s="616">
        <f t="shared" si="7"/>
        <v>5.2031037974045397E-3</v>
      </c>
      <c r="F22" s="228">
        <f>VLOOKUP(A22,[23]進出口值表查詢結果!$A$3:$D$19,3,0)</f>
        <v>53889889</v>
      </c>
      <c r="G22" s="247">
        <f>VLOOKUP(A22,[24]進出口值表查詢結果!$A$10:$D$26,3,0)</f>
        <v>53791669</v>
      </c>
      <c r="H22" s="617">
        <f t="shared" si="8"/>
        <v>1.8259333057689658E-3</v>
      </c>
      <c r="I22" s="209"/>
      <c r="J22" s="209"/>
      <c r="K22" s="36"/>
    </row>
    <row r="23" spans="1:11">
      <c r="A23" s="594">
        <v>87149200108</v>
      </c>
      <c r="B23" s="226" t="s">
        <v>141</v>
      </c>
      <c r="C23" s="227">
        <f>VLOOKUP(A23,[23]進出口值表查詢結果!$A$3:$D$19,4,0)</f>
        <v>170390</v>
      </c>
      <c r="D23" s="259">
        <f>VLOOKUP(A23,[24]進出口值表查詢結果!$A$10:$D$26,4,0)</f>
        <v>161515</v>
      </c>
      <c r="E23" s="616">
        <f t="shared" si="7"/>
        <v>5.4948456799678046E-2</v>
      </c>
      <c r="F23" s="228">
        <f>VLOOKUP(A23,[23]進出口值表查詢結果!$A$3:$D$19,3,0)</f>
        <v>5143796</v>
      </c>
      <c r="G23" s="247">
        <f>VLOOKUP(A23,[24]進出口值表查詢結果!$A$10:$D$26,3,0)</f>
        <v>4070262</v>
      </c>
      <c r="H23" s="617">
        <f t="shared" si="8"/>
        <v>0.26375058902842125</v>
      </c>
      <c r="I23" s="209"/>
      <c r="J23" s="209"/>
      <c r="K23" s="36"/>
    </row>
    <row r="24" spans="1:11">
      <c r="A24" s="594">
        <v>87149200206</v>
      </c>
      <c r="B24" s="226" t="s">
        <v>318</v>
      </c>
      <c r="C24" s="227">
        <f>VLOOKUP(A24,[23]進出口值表查詢結果!$A$3:$D$19,4,0)</f>
        <v>58209</v>
      </c>
      <c r="D24" s="259">
        <f>VLOOKUP(A24,[24]進出口值表查詢結果!$A$10:$D$26,4,0)</f>
        <v>266556</v>
      </c>
      <c r="E24" s="616">
        <f t="shared" si="7"/>
        <v>-0.78162562463422325</v>
      </c>
      <c r="F24" s="228">
        <f>VLOOKUP(A24,[23]進出口值表查詢結果!$A$3:$D$19,3,0)</f>
        <v>2075893</v>
      </c>
      <c r="G24" s="247">
        <f>VLOOKUP(A24,[24]進出口值表查詢結果!$A$10:$D$26,3,0)</f>
        <v>7750198</v>
      </c>
      <c r="H24" s="617">
        <f t="shared" si="8"/>
        <v>-0.73214968185328944</v>
      </c>
      <c r="I24" s="209"/>
      <c r="J24" s="209"/>
      <c r="K24" s="36"/>
    </row>
    <row r="25" spans="1:11">
      <c r="A25" s="594">
        <v>87149200304</v>
      </c>
      <c r="B25" s="226" t="s">
        <v>145</v>
      </c>
      <c r="C25" s="227">
        <f>VLOOKUP(A25,[23]進出口值表查詢結果!$A$3:$D$19,4,0)</f>
        <v>54293</v>
      </c>
      <c r="D25" s="259">
        <f>VLOOKUP(A25,[24]進出口值表查詢結果!$A$10:$D$26,4,0)</f>
        <v>90701</v>
      </c>
      <c r="E25" s="616">
        <f t="shared" si="7"/>
        <v>-0.40140682021146407</v>
      </c>
      <c r="F25" s="228">
        <f>VLOOKUP(A25,[23]進出口值表查詢結果!$A$3:$D$19,3,0)</f>
        <v>9930203</v>
      </c>
      <c r="G25" s="247">
        <f>VLOOKUP(A25,[24]進出口值表查詢結果!$A$10:$D$26,3,0)</f>
        <v>14656786</v>
      </c>
      <c r="H25" s="617">
        <f t="shared" si="8"/>
        <v>-0.32248427451966616</v>
      </c>
      <c r="I25" s="209"/>
      <c r="J25" s="209"/>
      <c r="K25" s="36"/>
    </row>
    <row r="26" spans="1:11">
      <c r="A26" s="594">
        <v>87149310007</v>
      </c>
      <c r="B26" s="226" t="s">
        <v>147</v>
      </c>
      <c r="C26" s="227">
        <f>VLOOKUP(A26,[23]進出口值表查詢結果!$A$3:$D$19,4,0)</f>
        <v>53478</v>
      </c>
      <c r="D26" s="259">
        <f>VLOOKUP(A26,[24]進出口值表查詢結果!$A$10:$D$26,4,0)</f>
        <v>47084</v>
      </c>
      <c r="E26" s="616">
        <f t="shared" si="7"/>
        <v>0.13579984708181123</v>
      </c>
      <c r="F26" s="228">
        <f>VLOOKUP(A26,[23]進出口值表查詢結果!$A$3:$D$19,3,0)</f>
        <v>6970513</v>
      </c>
      <c r="G26" s="247">
        <f>VLOOKUP(A26,[24]進出口值表查詢結果!$A$10:$D$26,3,0)</f>
        <v>8863418</v>
      </c>
      <c r="H26" s="617">
        <f t="shared" si="8"/>
        <v>-0.21356377415574895</v>
      </c>
      <c r="I26" s="209"/>
      <c r="J26" s="209"/>
      <c r="K26" s="36"/>
    </row>
    <row r="27" spans="1:11">
      <c r="A27" s="594">
        <v>87149320103</v>
      </c>
      <c r="B27" s="226" t="s">
        <v>403</v>
      </c>
      <c r="C27" s="227">
        <f>VLOOKUP(A27,[23]進出口值表查詢結果!$A$3:$D$19,4,0)</f>
        <v>165</v>
      </c>
      <c r="D27" s="259">
        <f>VLOOKUP(A27,[24]進出口值表查詢結果!$A$10:$D$26,4,0)</f>
        <v>917</v>
      </c>
      <c r="E27" s="616">
        <f t="shared" si="7"/>
        <v>-0.82006543075245364</v>
      </c>
      <c r="F27" s="228">
        <f>VLOOKUP(A27,[23]進出口值表查詢結果!$A$3:$D$19,3,0)</f>
        <v>5901</v>
      </c>
      <c r="G27" s="247">
        <f>VLOOKUP(A27,[24]進出口值表查詢結果!$A$10:$D$26,3,0)</f>
        <v>30165</v>
      </c>
      <c r="H27" s="617">
        <f t="shared" si="8"/>
        <v>-0.80437593237195426</v>
      </c>
      <c r="I27" s="209"/>
      <c r="J27" s="209"/>
      <c r="K27" s="36"/>
    </row>
    <row r="28" spans="1:11">
      <c r="A28" s="594">
        <v>87149410006</v>
      </c>
      <c r="B28" s="226" t="s">
        <v>151</v>
      </c>
      <c r="C28" s="227">
        <f>VLOOKUP(A28,[23]進出口值表查詢結果!$A$3:$D$19,4,0)</f>
        <v>13</v>
      </c>
      <c r="D28" s="259">
        <f>VLOOKUP(A28,[24]進出口值表查詢結果!$A$10:$D$26,4,0)</f>
        <v>308</v>
      </c>
      <c r="E28" s="616">
        <f t="shared" si="7"/>
        <v>-0.95779220779220775</v>
      </c>
      <c r="F28" s="228">
        <f>VLOOKUP(A28,[23]進出口值表查詢結果!$A$3:$D$19,3,0)</f>
        <v>1974</v>
      </c>
      <c r="G28" s="247">
        <f>VLOOKUP(A28,[24]進出口值表查詢結果!$A$10:$D$26,3,0)</f>
        <v>16888</v>
      </c>
      <c r="H28" s="617">
        <f t="shared" si="8"/>
        <v>-0.88311226906679297</v>
      </c>
      <c r="I28" s="209"/>
      <c r="J28" s="209"/>
      <c r="K28" s="36"/>
    </row>
    <row r="29" spans="1:11">
      <c r="A29" s="594">
        <v>87149490009</v>
      </c>
      <c r="B29" s="226" t="s">
        <v>153</v>
      </c>
      <c r="C29" s="227">
        <f>VLOOKUP(A29,[23]進出口值表查詢結果!$A$3:$D$19,4,0)</f>
        <v>534901</v>
      </c>
      <c r="D29" s="259">
        <f>VLOOKUP(A29,[24]進出口值表查詢結果!$A$10:$D$26,4,0)</f>
        <v>872779</v>
      </c>
      <c r="E29" s="616">
        <f t="shared" si="7"/>
        <v>-0.38712892954573841</v>
      </c>
      <c r="F29" s="228">
        <f>VLOOKUP(A29,[23]進出口值表查詢結果!$A$3:$D$19,3,0)</f>
        <v>20983193</v>
      </c>
      <c r="G29" s="247">
        <f>VLOOKUP(A29,[24]進出口值表查詢結果!$A$10:$D$26,3,0)</f>
        <v>32543241</v>
      </c>
      <c r="H29" s="617">
        <f t="shared" si="8"/>
        <v>-0.35522116558704159</v>
      </c>
      <c r="I29" s="209"/>
      <c r="J29" s="209"/>
      <c r="K29" s="36"/>
    </row>
    <row r="30" spans="1:11">
      <c r="A30" s="594">
        <v>87149500007</v>
      </c>
      <c r="B30" s="226" t="s">
        <v>155</v>
      </c>
      <c r="C30" s="227">
        <f>VLOOKUP(A30,[23]進出口值表查詢結果!$A$3:$D$19,4,0)</f>
        <v>20130</v>
      </c>
      <c r="D30" s="259">
        <f>VLOOKUP(A30,[24]進出口值表查詢結果!$A$10:$D$26,4,0)</f>
        <v>55248</v>
      </c>
      <c r="E30" s="616">
        <f t="shared" si="7"/>
        <v>-0.63564291920069504</v>
      </c>
      <c r="F30" s="228">
        <f>VLOOKUP(A30,[23]進出口值表查詢結果!$A$3:$D$19,3,0)</f>
        <v>1373501</v>
      </c>
      <c r="G30" s="247">
        <f>VLOOKUP(A30,[24]進出口值表查詢結果!$A$10:$D$26,3,0)</f>
        <v>2358202</v>
      </c>
      <c r="H30" s="617">
        <f t="shared" si="8"/>
        <v>-0.41756431382892562</v>
      </c>
      <c r="I30" s="209"/>
      <c r="J30" s="258"/>
      <c r="K30" s="36"/>
    </row>
    <row r="31" spans="1:11">
      <c r="A31" s="594">
        <v>87149610004</v>
      </c>
      <c r="B31" s="226" t="s">
        <v>157</v>
      </c>
      <c r="C31" s="227">
        <f>VLOOKUP(A31,[23]進出口值表查詢結果!$A$3:$D$19,4,0)</f>
        <v>210496</v>
      </c>
      <c r="D31" s="259">
        <f>VLOOKUP(A31,[24]進出口值表查詢結果!$A$10:$D$26,4,0)</f>
        <v>173739</v>
      </c>
      <c r="E31" s="616">
        <f t="shared" si="7"/>
        <v>0.21156447314650137</v>
      </c>
      <c r="F31" s="228">
        <f>VLOOKUP(A31,[23]進出口值表查詢結果!$A$3:$D$19,3,0)</f>
        <v>2397317</v>
      </c>
      <c r="G31" s="247">
        <f>VLOOKUP(A31,[24]進出口值表查詢結果!$A$10:$D$26,3,0)</f>
        <v>2974718</v>
      </c>
      <c r="H31" s="617">
        <f t="shared" si="8"/>
        <v>-0.1941027687330362</v>
      </c>
      <c r="I31" s="209"/>
      <c r="J31" s="209"/>
      <c r="K31" s="36"/>
    </row>
    <row r="32" spans="1:11">
      <c r="A32" s="594">
        <v>87149620002</v>
      </c>
      <c r="B32" s="226" t="s">
        <v>159</v>
      </c>
      <c r="C32" s="227">
        <f>VLOOKUP(A32,[23]進出口值表查詢結果!$A$3:$D$19,4,0)</f>
        <v>109821</v>
      </c>
      <c r="D32" s="259">
        <f>VLOOKUP(A32,[24]進出口值表查詢結果!$A$10:$D$26,4,0)</f>
        <v>168569</v>
      </c>
      <c r="E32" s="616">
        <f t="shared" si="7"/>
        <v>-0.34851010565406448</v>
      </c>
      <c r="F32" s="228">
        <f>VLOOKUP(A32,[23]進出口值表查詢結果!$A$3:$D$19,3,0)</f>
        <v>6538755</v>
      </c>
      <c r="G32" s="247">
        <f>VLOOKUP(A32,[24]進出口值表查詢結果!$A$10:$D$26,3,0)</f>
        <v>10245334</v>
      </c>
      <c r="H32" s="617">
        <f t="shared" si="8"/>
        <v>-0.36178215371016698</v>
      </c>
      <c r="I32" s="209"/>
      <c r="J32" s="209"/>
      <c r="K32" s="36"/>
    </row>
    <row r="33" spans="1:11">
      <c r="A33" s="594">
        <v>73151100209</v>
      </c>
      <c r="B33" s="226" t="s">
        <v>161</v>
      </c>
      <c r="C33" s="227">
        <v>46081</v>
      </c>
      <c r="D33" s="259">
        <v>42107</v>
      </c>
      <c r="E33" s="616">
        <f t="shared" si="7"/>
        <v>9.4378606882466104E-2</v>
      </c>
      <c r="F33" s="228">
        <v>1513738</v>
      </c>
      <c r="G33" s="247">
        <v>1438326</v>
      </c>
      <c r="H33" s="617">
        <f t="shared" si="8"/>
        <v>5.2430394778374308E-2</v>
      </c>
      <c r="I33" s="209"/>
      <c r="J33" s="209"/>
      <c r="K33" s="36"/>
    </row>
    <row r="34" spans="1:11">
      <c r="A34" s="594">
        <v>87149990111</v>
      </c>
      <c r="B34" s="226" t="s">
        <v>163</v>
      </c>
      <c r="C34" s="227">
        <f>VLOOKUP(A34,[23]進出口值表查詢結果!$A$3:$D$19,4,0)</f>
        <v>146384</v>
      </c>
      <c r="D34" s="259">
        <f>VLOOKUP(A34,[24]進出口值表查詢結果!$A$10:$D$26,4,0)</f>
        <v>140532</v>
      </c>
      <c r="E34" s="616">
        <f t="shared" si="7"/>
        <v>4.1641761307033273E-2</v>
      </c>
      <c r="F34" s="228">
        <f>VLOOKUP(A34,[23]進出口值表查詢結果!$A$3:$D$19,3,0)</f>
        <v>12459168</v>
      </c>
      <c r="G34" s="247">
        <f>VLOOKUP(A34,[24]進出口值表查詢結果!$A$10:$D$26,3,0)</f>
        <v>14999046</v>
      </c>
      <c r="H34" s="617">
        <f t="shared" si="8"/>
        <v>-0.16933596976767723</v>
      </c>
      <c r="I34" s="209"/>
      <c r="J34" s="209"/>
      <c r="K34" s="36"/>
    </row>
    <row r="35" spans="1:11">
      <c r="A35" s="594">
        <v>87149320906</v>
      </c>
      <c r="B35" s="226" t="s">
        <v>402</v>
      </c>
      <c r="C35" s="227">
        <f>VLOOKUP(A35,[23]進出口值表查詢結果!$A$3:$D$19,4,0)</f>
        <v>321539</v>
      </c>
      <c r="D35" s="259">
        <f>VLOOKUP(A35,[24]進出口值表查詢結果!$A$10:$D$26,4,0)</f>
        <v>258818</v>
      </c>
      <c r="E35" s="616">
        <f t="shared" si="7"/>
        <v>0.24233631354851673</v>
      </c>
      <c r="F35" s="228">
        <f>VLOOKUP(A35,[23]進出口值表查詢結果!$A$3:$D$19,3,0)</f>
        <v>9298493</v>
      </c>
      <c r="G35" s="247">
        <f>VLOOKUP(A35,[24]進出口值表查詢結果!$A$10:$D$26,3,0)</f>
        <v>7466609</v>
      </c>
      <c r="H35" s="617">
        <f t="shared" si="8"/>
        <v>0.24534350198329657</v>
      </c>
      <c r="I35" s="209"/>
      <c r="J35" s="209"/>
      <c r="K35" s="36"/>
    </row>
    <row r="36" spans="1:11">
      <c r="A36" s="594">
        <v>87149990139</v>
      </c>
      <c r="B36" s="226" t="s">
        <v>167</v>
      </c>
      <c r="C36" s="227">
        <f>VLOOKUP(A36,[23]進出口值表查詢結果!$A$3:$D$19,4,0)</f>
        <v>27112</v>
      </c>
      <c r="D36" s="259">
        <f>VLOOKUP(A36,[24]進出口值表查詢結果!$A$10:$D$26,4,0)</f>
        <v>12574</v>
      </c>
      <c r="E36" s="616">
        <f t="shared" si="7"/>
        <v>1.1561953236837919</v>
      </c>
      <c r="F36" s="228">
        <f>VLOOKUP(A36,[23]進出口值表查詢結果!$A$3:$D$19,3,0)</f>
        <v>310308</v>
      </c>
      <c r="G36" s="247">
        <f>VLOOKUP(A36,[24]進出口值表查詢結果!$A$10:$D$26,3,0)</f>
        <v>330409</v>
      </c>
      <c r="H36" s="617">
        <f t="shared" si="8"/>
        <v>-6.0836720549379705E-2</v>
      </c>
      <c r="I36" s="209"/>
      <c r="J36" s="209"/>
      <c r="K36" s="36"/>
    </row>
    <row r="37" spans="1:11">
      <c r="A37" s="594">
        <v>87149990148</v>
      </c>
      <c r="B37" s="226" t="s">
        <v>169</v>
      </c>
      <c r="C37" s="227">
        <f>VLOOKUP(A37,[23]進出口值表查詢結果!$A$3:$D$19,4,0)</f>
        <v>34605</v>
      </c>
      <c r="D37" s="259">
        <f>VLOOKUP(A37,[24]進出口值表查詢結果!$A$10:$D$26,4,0)</f>
        <v>43054</v>
      </c>
      <c r="E37" s="616">
        <f t="shared" si="7"/>
        <v>-0.19624192874065127</v>
      </c>
      <c r="F37" s="228">
        <f>VLOOKUP(A37,[23]進出口值表查詢結果!$A$3:$D$19,3,0)</f>
        <v>1041652</v>
      </c>
      <c r="G37" s="247">
        <f>VLOOKUP(A37,[24]進出口值表查詢結果!$A$10:$D$26,3,0)</f>
        <v>1659186</v>
      </c>
      <c r="H37" s="617">
        <f t="shared" si="8"/>
        <v>-0.37219094182327961</v>
      </c>
      <c r="I37" s="209"/>
      <c r="J37" s="209"/>
      <c r="K37" s="36"/>
    </row>
    <row r="38" spans="1:11">
      <c r="A38" s="594">
        <v>87149990157</v>
      </c>
      <c r="B38" s="226" t="s">
        <v>171</v>
      </c>
      <c r="C38" s="227">
        <f>VLOOKUP(A38,[23]進出口值表查詢結果!$A$3:$D$19,4,0)</f>
        <v>71764</v>
      </c>
      <c r="D38" s="259">
        <f>VLOOKUP(A38,[24]進出口值表查詢結果!$A$10:$D$26,4,0)</f>
        <v>47499</v>
      </c>
      <c r="E38" s="616">
        <f t="shared" si="7"/>
        <v>0.5108528600602118</v>
      </c>
      <c r="F38" s="228">
        <f>VLOOKUP(A38,[23]進出口值表查詢結果!$A$3:$D$19,3,0)</f>
        <v>2749547</v>
      </c>
      <c r="G38" s="247">
        <f>VLOOKUP(A38,[24]進出口值表查詢結果!$A$10:$D$26,3,0)</f>
        <v>1520076</v>
      </c>
      <c r="H38" s="617">
        <f t="shared" si="8"/>
        <v>0.80882205889705516</v>
      </c>
      <c r="I38" s="209"/>
      <c r="J38" s="209"/>
      <c r="K38" s="36"/>
    </row>
    <row r="39" spans="1:11">
      <c r="A39" s="594">
        <v>87149990166</v>
      </c>
      <c r="B39" s="226" t="s">
        <v>173</v>
      </c>
      <c r="C39" s="227">
        <f>VLOOKUP(A39,[23]進出口值表查詢結果!$A$3:$D$19,4,0)</f>
        <v>57758</v>
      </c>
      <c r="D39" s="259">
        <f>VLOOKUP(A39,[24]進出口值表查詢結果!$A$10:$D$26,4,0)</f>
        <v>115389</v>
      </c>
      <c r="E39" s="616">
        <f t="shared" si="7"/>
        <v>-0.49944968757853869</v>
      </c>
      <c r="F39" s="228">
        <f>VLOOKUP(A39,[23]進出口值表查詢結果!$A$3:$D$19,3,0)</f>
        <v>2183359</v>
      </c>
      <c r="G39" s="247">
        <f>VLOOKUP(A39,[24]進出口值表查詢結果!$A$10:$D$26,3,0)</f>
        <v>4898874</v>
      </c>
      <c r="H39" s="617">
        <f t="shared" si="8"/>
        <v>-0.55431411381472562</v>
      </c>
      <c r="I39" s="307"/>
      <c r="J39" s="209"/>
      <c r="K39" s="36"/>
    </row>
    <row r="40" spans="1:11">
      <c r="A40" s="594">
        <v>40115000008</v>
      </c>
      <c r="B40" s="226" t="s">
        <v>175</v>
      </c>
      <c r="C40" s="227">
        <v>543962</v>
      </c>
      <c r="D40" s="259">
        <v>619099</v>
      </c>
      <c r="E40" s="616">
        <f t="shared" si="7"/>
        <v>-0.12136508054446865</v>
      </c>
      <c r="F40" s="228">
        <v>9550792</v>
      </c>
      <c r="G40" s="247">
        <v>12283174</v>
      </c>
      <c r="H40" s="617">
        <f t="shared" si="8"/>
        <v>-0.22244918129467189</v>
      </c>
      <c r="I40" s="209"/>
      <c r="J40" s="209"/>
      <c r="K40" s="36"/>
    </row>
    <row r="41" spans="1:11">
      <c r="A41" s="594">
        <v>40132000003</v>
      </c>
      <c r="B41" s="226" t="s">
        <v>177</v>
      </c>
      <c r="C41" s="227">
        <v>9992</v>
      </c>
      <c r="D41" s="259">
        <v>19156</v>
      </c>
      <c r="E41" s="616">
        <f t="shared" si="7"/>
        <v>-0.4783879724368344</v>
      </c>
      <c r="F41" s="228">
        <v>113369</v>
      </c>
      <c r="G41" s="247">
        <v>167954</v>
      </c>
      <c r="H41" s="617">
        <f t="shared" si="8"/>
        <v>-0.32499970229943914</v>
      </c>
      <c r="I41" s="209"/>
      <c r="J41" s="209"/>
      <c r="K41" s="36"/>
    </row>
    <row r="42" spans="1:11" ht="20.25" thickBot="1">
      <c r="A42" s="260" t="s">
        <v>131</v>
      </c>
      <c r="B42" s="261"/>
      <c r="C42" s="308">
        <f>SUM(C20:C41)</f>
        <v>3430656</v>
      </c>
      <c r="D42" s="283">
        <f>SUM(D20:D41)</f>
        <v>4093034</v>
      </c>
      <c r="E42" s="621">
        <f t="shared" si="7"/>
        <v>-0.16183056383113359</v>
      </c>
      <c r="F42" s="310">
        <f>SUM(F20:F41)</f>
        <v>148819338</v>
      </c>
      <c r="G42" s="311">
        <f>SUM(G20:G41)</f>
        <v>182566355</v>
      </c>
      <c r="H42" s="626">
        <f t="shared" si="8"/>
        <v>-0.18484795295387257</v>
      </c>
      <c r="I42" s="4"/>
      <c r="J42" s="4"/>
      <c r="K42" s="36"/>
    </row>
    <row r="43" spans="1:11" ht="9" customHeight="1" thickTop="1">
      <c r="A43" s="249"/>
      <c r="B43" s="265"/>
      <c r="C43" s="251"/>
      <c r="D43" s="251"/>
      <c r="E43" s="252"/>
      <c r="F43" s="251"/>
      <c r="G43" s="304"/>
      <c r="H43" s="305"/>
      <c r="I43" s="4"/>
      <c r="J43" s="4"/>
      <c r="K43" s="36"/>
    </row>
    <row r="44" spans="1:11">
      <c r="A44" s="57" t="s">
        <v>193</v>
      </c>
      <c r="B44" s="3"/>
      <c r="C44" s="35"/>
      <c r="D44" s="3"/>
      <c r="E44" s="3"/>
      <c r="F44" s="3"/>
      <c r="G44" s="284"/>
      <c r="H44" s="36"/>
      <c r="I44" s="4"/>
      <c r="J44" s="4"/>
      <c r="K44" s="36"/>
    </row>
    <row r="45" spans="1:11" ht="18">
      <c r="A45" s="153" t="s">
        <v>186</v>
      </c>
      <c r="B45" s="61"/>
      <c r="C45" s="62"/>
      <c r="D45" s="64"/>
      <c r="E45" s="61"/>
      <c r="F45" s="62"/>
      <c r="G45" s="312"/>
      <c r="H45" s="313"/>
      <c r="I45" s="60"/>
      <c r="J45" s="60"/>
      <c r="K45" s="313"/>
    </row>
  </sheetData>
  <mergeCells count="2">
    <mergeCell ref="A16:H16"/>
    <mergeCell ref="A1:K1"/>
  </mergeCells>
  <phoneticPr fontId="3" type="noConversion"/>
  <conditionalFormatting sqref="H1:H1048576">
    <cfRule type="cellIs" dxfId="29" priority="1" operator="greaterThanOrEqual">
      <formula>0</formula>
    </cfRule>
    <cfRule type="cellIs" dxfId="28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topLeftCell="B10" workbookViewId="0">
      <selection activeCell="C7" sqref="C7"/>
    </sheetView>
  </sheetViews>
  <sheetFormatPr defaultRowHeight="16.5"/>
  <cols>
    <col min="1" max="1" width="15.375" customWidth="1"/>
    <col min="2" max="2" width="23.75" customWidth="1"/>
    <col min="3" max="3" width="14.875" customWidth="1"/>
    <col min="6" max="6" width="17.25" customWidth="1"/>
    <col min="7" max="7" width="13.75" customWidth="1"/>
  </cols>
  <sheetData>
    <row r="1" spans="1:11" ht="19.5">
      <c r="A1" s="779" t="s">
        <v>292</v>
      </c>
      <c r="B1" s="779"/>
      <c r="C1" s="779"/>
      <c r="D1" s="779"/>
      <c r="E1" s="779"/>
      <c r="F1" s="779"/>
      <c r="G1" s="779"/>
      <c r="H1" s="779"/>
      <c r="I1" s="779"/>
      <c r="J1" s="779"/>
      <c r="K1" s="4"/>
    </row>
    <row r="2" spans="1:11">
      <c r="A2" s="208"/>
      <c r="B2" s="4"/>
      <c r="C2" s="209"/>
      <c r="D2" s="209"/>
      <c r="E2" s="209"/>
      <c r="F2" s="209"/>
      <c r="G2" s="209"/>
      <c r="H2" s="209"/>
      <c r="I2" s="4"/>
      <c r="J2" s="4"/>
      <c r="K2" s="4"/>
    </row>
    <row r="3" spans="1:11">
      <c r="A3" s="210" t="s">
        <v>110</v>
      </c>
      <c r="B3" s="211" t="s">
        <v>111</v>
      </c>
      <c r="C3" s="267" t="s">
        <v>293</v>
      </c>
      <c r="D3" s="267"/>
      <c r="E3" s="268"/>
      <c r="F3" s="269" t="s">
        <v>291</v>
      </c>
      <c r="G3" s="269"/>
      <c r="H3" s="268"/>
      <c r="I3" s="214"/>
      <c r="J3" s="270"/>
      <c r="K3" s="271"/>
    </row>
    <row r="4" spans="1:11">
      <c r="A4" s="215"/>
      <c r="B4" s="216"/>
      <c r="C4" s="272" t="s">
        <v>180</v>
      </c>
      <c r="D4" s="272"/>
      <c r="E4" s="217"/>
      <c r="F4" s="273" t="s">
        <v>181</v>
      </c>
      <c r="G4" s="273"/>
      <c r="H4" s="217"/>
      <c r="I4" s="223"/>
      <c r="J4" s="224"/>
      <c r="K4" s="274"/>
    </row>
    <row r="5" spans="1:11">
      <c r="A5" s="225" t="s">
        <v>115</v>
      </c>
      <c r="B5" s="226" t="s">
        <v>116</v>
      </c>
      <c r="C5" s="227">
        <v>335</v>
      </c>
      <c r="D5" s="259"/>
      <c r="E5" s="275"/>
      <c r="F5" s="259">
        <v>92758</v>
      </c>
      <c r="G5" s="259"/>
      <c r="H5" s="275"/>
      <c r="I5" s="33"/>
      <c r="J5" s="33"/>
      <c r="K5" s="276"/>
    </row>
    <row r="6" spans="1:11">
      <c r="A6" s="231" t="s">
        <v>117</v>
      </c>
      <c r="B6" s="232" t="s">
        <v>118</v>
      </c>
      <c r="C6" s="227">
        <v>147</v>
      </c>
      <c r="D6" s="259"/>
      <c r="E6" s="277"/>
      <c r="F6" s="259">
        <v>108181</v>
      </c>
      <c r="G6" s="259"/>
      <c r="H6" s="277"/>
      <c r="I6" s="33"/>
      <c r="J6" s="33"/>
      <c r="K6" s="276"/>
    </row>
    <row r="7" spans="1:11">
      <c r="A7" s="225" t="s">
        <v>119</v>
      </c>
      <c r="B7" s="233" t="s">
        <v>120</v>
      </c>
      <c r="C7" s="227">
        <v>256</v>
      </c>
      <c r="D7" s="227"/>
      <c r="E7" s="278"/>
      <c r="F7" s="259">
        <v>13098</v>
      </c>
      <c r="G7" s="234"/>
      <c r="H7" s="278"/>
      <c r="I7" s="279"/>
      <c r="J7" s="33"/>
      <c r="K7" s="280"/>
    </row>
    <row r="8" spans="1:11">
      <c r="A8" s="225" t="s">
        <v>121</v>
      </c>
      <c r="B8" s="233" t="s">
        <v>122</v>
      </c>
      <c r="C8" s="227">
        <v>75</v>
      </c>
      <c r="D8" s="227"/>
      <c r="E8" s="278"/>
      <c r="F8" s="259">
        <v>33190</v>
      </c>
      <c r="G8" s="234"/>
      <c r="H8" s="278"/>
      <c r="I8" s="279"/>
      <c r="J8" s="33"/>
      <c r="K8" s="280"/>
    </row>
    <row r="9" spans="1:11">
      <c r="A9" s="225" t="s">
        <v>123</v>
      </c>
      <c r="B9" s="233" t="s">
        <v>124</v>
      </c>
      <c r="C9" s="227">
        <v>1574</v>
      </c>
      <c r="D9" s="227"/>
      <c r="E9" s="278"/>
      <c r="F9" s="259">
        <v>1349036</v>
      </c>
      <c r="G9" s="234"/>
      <c r="H9" s="278"/>
      <c r="I9" s="279"/>
      <c r="J9" s="33"/>
      <c r="K9" s="280"/>
    </row>
    <row r="10" spans="1:11">
      <c r="A10" s="225" t="s">
        <v>125</v>
      </c>
      <c r="B10" s="233" t="s">
        <v>126</v>
      </c>
      <c r="C10" s="227">
        <v>5452</v>
      </c>
      <c r="D10" s="227"/>
      <c r="E10" s="278"/>
      <c r="F10" s="259">
        <v>6850730</v>
      </c>
      <c r="G10" s="234"/>
      <c r="H10" s="278"/>
      <c r="I10" s="279"/>
      <c r="J10" s="33"/>
      <c r="K10" s="280"/>
    </row>
    <row r="11" spans="1:11" ht="20.25" thickBot="1">
      <c r="A11" s="236" t="s">
        <v>127</v>
      </c>
      <c r="B11" s="237" t="s">
        <v>182</v>
      </c>
      <c r="C11" s="238">
        <f>SUM(C5:C10)</f>
        <v>7839</v>
      </c>
      <c r="D11" s="238"/>
      <c r="E11" s="238"/>
      <c r="F11" s="238">
        <f>SUM(F5:F10)</f>
        <v>8446993</v>
      </c>
      <c r="G11" s="238"/>
      <c r="H11" s="238"/>
      <c r="I11" s="241"/>
      <c r="J11" s="241"/>
      <c r="K11" s="281"/>
    </row>
    <row r="12" spans="1:11" ht="17.25" thickTop="1">
      <c r="A12" s="242"/>
      <c r="B12" s="243"/>
      <c r="C12" s="244"/>
      <c r="D12" s="209"/>
      <c r="E12" s="254"/>
      <c r="F12" s="209"/>
      <c r="G12" s="209"/>
      <c r="H12" s="254"/>
      <c r="I12" s="5"/>
      <c r="J12" s="5"/>
      <c r="K12" s="4"/>
    </row>
    <row r="13" spans="1:11">
      <c r="A13" s="225" t="s">
        <v>129</v>
      </c>
      <c r="B13" s="226" t="s">
        <v>130</v>
      </c>
      <c r="C13" s="227">
        <v>175</v>
      </c>
      <c r="D13" s="259"/>
      <c r="E13" s="275"/>
      <c r="F13" s="259">
        <v>42264</v>
      </c>
      <c r="G13" s="259"/>
      <c r="H13" s="275"/>
      <c r="I13" s="33"/>
      <c r="J13" s="33"/>
      <c r="K13" s="276"/>
    </row>
    <row r="14" spans="1:11" ht="20.25" thickBot="1">
      <c r="A14" s="236" t="s">
        <v>131</v>
      </c>
      <c r="B14" s="248" t="s">
        <v>183</v>
      </c>
      <c r="C14" s="238">
        <f>C11+C13</f>
        <v>8014</v>
      </c>
      <c r="D14" s="238"/>
      <c r="E14" s="238"/>
      <c r="F14" s="238">
        <f>F11+F13</f>
        <v>8489257</v>
      </c>
      <c r="G14" s="238"/>
      <c r="H14" s="238"/>
      <c r="I14" s="241"/>
      <c r="J14" s="241"/>
      <c r="K14" s="282"/>
    </row>
    <row r="15" spans="1:11" ht="17.25" thickTop="1">
      <c r="A15" s="249"/>
      <c r="B15" s="250"/>
      <c r="C15" s="251"/>
      <c r="D15" s="251"/>
      <c r="E15" s="252"/>
      <c r="F15" s="251"/>
      <c r="G15" s="251"/>
      <c r="H15" s="252"/>
      <c r="I15" s="253"/>
      <c r="J15" s="253"/>
      <c r="K15" s="4"/>
    </row>
    <row r="16" spans="1:11" ht="19.5">
      <c r="A16" s="779" t="s">
        <v>289</v>
      </c>
      <c r="B16" s="779"/>
      <c r="C16" s="779"/>
      <c r="D16" s="779"/>
      <c r="E16" s="779"/>
      <c r="F16" s="779"/>
      <c r="G16" s="779"/>
      <c r="H16" s="779"/>
      <c r="I16" s="779"/>
      <c r="J16" s="779"/>
      <c r="K16" s="4"/>
    </row>
    <row r="17" spans="1:11">
      <c r="A17" s="242"/>
      <c r="B17" s="243"/>
      <c r="C17" s="209"/>
      <c r="D17" s="209"/>
      <c r="E17" s="254"/>
      <c r="F17" s="209"/>
      <c r="G17" s="209"/>
      <c r="H17" s="254"/>
      <c r="I17" s="5"/>
      <c r="J17" s="5"/>
      <c r="K17" s="4"/>
    </row>
    <row r="18" spans="1:11">
      <c r="A18" s="210" t="s">
        <v>110</v>
      </c>
      <c r="B18" s="211" t="s">
        <v>111</v>
      </c>
      <c r="C18" s="267" t="s">
        <v>290</v>
      </c>
      <c r="D18" s="267"/>
      <c r="E18" s="268"/>
      <c r="F18" s="269" t="s">
        <v>291</v>
      </c>
      <c r="G18" s="269"/>
      <c r="H18" s="268"/>
      <c r="I18" s="255"/>
      <c r="J18" s="255"/>
      <c r="K18" s="4"/>
    </row>
    <row r="19" spans="1:11">
      <c r="A19" s="215"/>
      <c r="B19" s="216"/>
      <c r="C19" s="272" t="s">
        <v>184</v>
      </c>
      <c r="D19" s="272"/>
      <c r="E19" s="217"/>
      <c r="F19" s="273" t="s">
        <v>181</v>
      </c>
      <c r="G19" s="273"/>
      <c r="H19" s="217"/>
      <c r="I19" s="256"/>
      <c r="J19" s="255"/>
      <c r="K19" s="4"/>
    </row>
    <row r="20" spans="1:11">
      <c r="A20" s="257" t="s">
        <v>134</v>
      </c>
      <c r="B20" s="226" t="s">
        <v>135</v>
      </c>
      <c r="C20" s="227">
        <v>1716</v>
      </c>
      <c r="D20" s="259"/>
      <c r="E20" s="275"/>
      <c r="F20" s="259">
        <v>154775</v>
      </c>
      <c r="G20" s="259"/>
      <c r="H20" s="275"/>
      <c r="I20" s="209"/>
      <c r="J20" s="209"/>
      <c r="K20" s="4"/>
    </row>
    <row r="21" spans="1:11">
      <c r="A21" s="257" t="s">
        <v>136</v>
      </c>
      <c r="B21" s="226" t="s">
        <v>137</v>
      </c>
      <c r="C21" s="227">
        <v>63</v>
      </c>
      <c r="D21" s="259"/>
      <c r="E21" s="277"/>
      <c r="F21" s="259">
        <v>9527</v>
      </c>
      <c r="G21" s="259"/>
      <c r="H21" s="275"/>
      <c r="I21" s="209"/>
      <c r="J21" s="209"/>
      <c r="K21" s="4"/>
    </row>
    <row r="22" spans="1:11">
      <c r="A22" s="257" t="s">
        <v>138</v>
      </c>
      <c r="B22" s="226" t="s">
        <v>139</v>
      </c>
      <c r="C22" s="227">
        <v>479660</v>
      </c>
      <c r="D22" s="259"/>
      <c r="E22" s="275"/>
      <c r="F22" s="259">
        <v>13536932</v>
      </c>
      <c r="G22" s="259"/>
      <c r="H22" s="275"/>
      <c r="I22" s="209"/>
      <c r="J22" s="209"/>
      <c r="K22" s="4"/>
    </row>
    <row r="23" spans="1:11">
      <c r="A23" s="257" t="s">
        <v>140</v>
      </c>
      <c r="B23" s="226" t="s">
        <v>141</v>
      </c>
      <c r="C23" s="227">
        <v>67802</v>
      </c>
      <c r="D23" s="259"/>
      <c r="E23" s="275"/>
      <c r="F23" s="259">
        <v>762305</v>
      </c>
      <c r="G23" s="259"/>
      <c r="H23" s="275"/>
      <c r="I23" s="209"/>
      <c r="J23" s="209"/>
      <c r="K23" s="4"/>
    </row>
    <row r="24" spans="1:11">
      <c r="A24" s="257" t="s">
        <v>142</v>
      </c>
      <c r="B24" s="226" t="s">
        <v>143</v>
      </c>
      <c r="C24" s="227">
        <v>37756</v>
      </c>
      <c r="D24" s="259"/>
      <c r="E24" s="275"/>
      <c r="F24" s="259">
        <v>457045</v>
      </c>
      <c r="G24" s="259"/>
      <c r="H24" s="275"/>
      <c r="I24" s="209"/>
      <c r="J24" s="209"/>
      <c r="K24" s="4"/>
    </row>
    <row r="25" spans="1:11">
      <c r="A25" s="257" t="s">
        <v>144</v>
      </c>
      <c r="B25" s="226" t="s">
        <v>145</v>
      </c>
      <c r="C25" s="227">
        <v>17955</v>
      </c>
      <c r="D25" s="259"/>
      <c r="E25" s="277"/>
      <c r="F25" s="259">
        <v>616937</v>
      </c>
      <c r="G25" s="259"/>
      <c r="H25" s="275"/>
      <c r="I25" s="209"/>
      <c r="J25" s="209"/>
      <c r="K25" s="4"/>
    </row>
    <row r="26" spans="1:11">
      <c r="A26" s="257" t="s">
        <v>146</v>
      </c>
      <c r="B26" s="226" t="s">
        <v>147</v>
      </c>
      <c r="C26" s="227">
        <v>17615</v>
      </c>
      <c r="D26" s="259"/>
      <c r="E26" s="277"/>
      <c r="F26" s="259">
        <v>1172865</v>
      </c>
      <c r="G26" s="259"/>
      <c r="H26" s="277"/>
      <c r="I26" s="209"/>
      <c r="J26" s="209"/>
      <c r="K26" s="4"/>
    </row>
    <row r="27" spans="1:11">
      <c r="A27" s="257" t="s">
        <v>148</v>
      </c>
      <c r="B27" s="226" t="s">
        <v>149</v>
      </c>
      <c r="C27" s="227">
        <v>93981</v>
      </c>
      <c r="D27" s="259"/>
      <c r="E27" s="277"/>
      <c r="F27" s="259">
        <v>2466496</v>
      </c>
      <c r="G27" s="259"/>
      <c r="H27" s="275"/>
      <c r="I27" s="209"/>
      <c r="J27" s="209"/>
      <c r="K27" s="4"/>
    </row>
    <row r="28" spans="1:11">
      <c r="A28" s="257" t="s">
        <v>150</v>
      </c>
      <c r="B28" s="226" t="s">
        <v>151</v>
      </c>
      <c r="C28" s="227">
        <v>987</v>
      </c>
      <c r="D28" s="259"/>
      <c r="E28" s="277"/>
      <c r="F28" s="259">
        <v>15642</v>
      </c>
      <c r="G28" s="259"/>
      <c r="H28" s="275"/>
      <c r="I28" s="209"/>
      <c r="J28" s="209"/>
      <c r="K28" s="4"/>
    </row>
    <row r="29" spans="1:11">
      <c r="A29" s="257" t="s">
        <v>152</v>
      </c>
      <c r="B29" s="226" t="s">
        <v>153</v>
      </c>
      <c r="C29" s="227">
        <v>349454</v>
      </c>
      <c r="D29" s="259"/>
      <c r="E29" s="275"/>
      <c r="F29" s="259">
        <v>9306393</v>
      </c>
      <c r="G29" s="259"/>
      <c r="H29" s="275"/>
      <c r="I29" s="209"/>
      <c r="J29" s="209"/>
      <c r="K29" s="4"/>
    </row>
    <row r="30" spans="1:11">
      <c r="A30" s="257" t="s">
        <v>154</v>
      </c>
      <c r="B30" s="226" t="s">
        <v>155</v>
      </c>
      <c r="C30" s="227">
        <v>22690</v>
      </c>
      <c r="D30" s="259"/>
      <c r="E30" s="275"/>
      <c r="F30" s="259">
        <v>708528</v>
      </c>
      <c r="G30" s="259"/>
      <c r="H30" s="275"/>
      <c r="I30" s="209"/>
      <c r="J30" s="209"/>
      <c r="K30" s="4"/>
    </row>
    <row r="31" spans="1:11">
      <c r="A31" s="257" t="s">
        <v>156</v>
      </c>
      <c r="B31" s="226" t="s">
        <v>157</v>
      </c>
      <c r="C31" s="227">
        <v>85167</v>
      </c>
      <c r="D31" s="259"/>
      <c r="E31" s="275"/>
      <c r="F31" s="259">
        <v>890192</v>
      </c>
      <c r="G31" s="259"/>
      <c r="H31" s="275"/>
      <c r="I31" s="209"/>
      <c r="J31" s="209"/>
      <c r="K31" s="4"/>
    </row>
    <row r="32" spans="1:11">
      <c r="A32" s="257" t="s">
        <v>158</v>
      </c>
      <c r="B32" s="226" t="s">
        <v>159</v>
      </c>
      <c r="C32" s="227">
        <v>240282</v>
      </c>
      <c r="D32" s="259"/>
      <c r="E32" s="275"/>
      <c r="F32" s="259">
        <v>3516416</v>
      </c>
      <c r="G32" s="259"/>
      <c r="H32" s="275"/>
      <c r="I32" s="209"/>
      <c r="J32" s="209"/>
      <c r="K32" s="4"/>
    </row>
    <row r="33" spans="1:11">
      <c r="A33" s="257" t="s">
        <v>160</v>
      </c>
      <c r="B33" s="226" t="s">
        <v>161</v>
      </c>
      <c r="C33" s="227">
        <v>43993</v>
      </c>
      <c r="D33" s="259"/>
      <c r="E33" s="277"/>
      <c r="F33" s="259">
        <v>1023316</v>
      </c>
      <c r="G33" s="259"/>
      <c r="H33" s="275"/>
      <c r="I33" s="209"/>
      <c r="J33" s="209"/>
      <c r="K33" s="4"/>
    </row>
    <row r="34" spans="1:11">
      <c r="A34" s="257" t="s">
        <v>162</v>
      </c>
      <c r="B34" s="226" t="s">
        <v>163</v>
      </c>
      <c r="C34" s="227">
        <v>36202</v>
      </c>
      <c r="D34" s="259"/>
      <c r="E34" s="275"/>
      <c r="F34" s="259">
        <v>3107825</v>
      </c>
      <c r="G34" s="259"/>
      <c r="H34" s="275"/>
      <c r="I34" s="209"/>
      <c r="J34" s="209"/>
      <c r="K34" s="4"/>
    </row>
    <row r="35" spans="1:11">
      <c r="A35" s="257" t="s">
        <v>164</v>
      </c>
      <c r="B35" s="226" t="s">
        <v>165</v>
      </c>
      <c r="C35" s="227">
        <v>14314</v>
      </c>
      <c r="D35" s="259"/>
      <c r="E35" s="277"/>
      <c r="F35" s="259">
        <v>404905</v>
      </c>
      <c r="G35" s="259"/>
      <c r="H35" s="275"/>
      <c r="I35" s="209"/>
      <c r="J35" s="209"/>
      <c r="K35" s="4"/>
    </row>
    <row r="36" spans="1:11">
      <c r="A36" s="257" t="s">
        <v>166</v>
      </c>
      <c r="B36" s="226" t="s">
        <v>167</v>
      </c>
      <c r="C36" s="227">
        <v>30338</v>
      </c>
      <c r="D36" s="259"/>
      <c r="E36" s="277"/>
      <c r="F36" s="259">
        <v>226075</v>
      </c>
      <c r="G36" s="259"/>
      <c r="H36" s="277"/>
      <c r="I36" s="209"/>
      <c r="J36" s="209"/>
      <c r="K36" s="4"/>
    </row>
    <row r="37" spans="1:11">
      <c r="A37" s="257" t="s">
        <v>168</v>
      </c>
      <c r="B37" s="226" t="s">
        <v>169</v>
      </c>
      <c r="C37" s="227">
        <v>14398</v>
      </c>
      <c r="D37" s="259"/>
      <c r="E37" s="275"/>
      <c r="F37" s="259">
        <v>331905</v>
      </c>
      <c r="G37" s="259"/>
      <c r="H37" s="275"/>
      <c r="I37" s="209"/>
      <c r="J37" s="209"/>
      <c r="K37" s="4"/>
    </row>
    <row r="38" spans="1:11">
      <c r="A38" s="257" t="s">
        <v>170</v>
      </c>
      <c r="B38" s="226" t="s">
        <v>171</v>
      </c>
      <c r="C38" s="227">
        <v>17105</v>
      </c>
      <c r="D38" s="259"/>
      <c r="E38" s="277"/>
      <c r="F38" s="259">
        <v>634389</v>
      </c>
      <c r="G38" s="259"/>
      <c r="H38" s="275"/>
      <c r="I38" s="209"/>
      <c r="J38" s="209"/>
      <c r="K38" s="4"/>
    </row>
    <row r="39" spans="1:11">
      <c r="A39" s="257" t="s">
        <v>172</v>
      </c>
      <c r="B39" s="226" t="s">
        <v>173</v>
      </c>
      <c r="C39" s="227">
        <v>31833</v>
      </c>
      <c r="D39" s="259"/>
      <c r="E39" s="277"/>
      <c r="F39" s="259">
        <v>712865</v>
      </c>
      <c r="G39" s="259"/>
      <c r="H39" s="275"/>
      <c r="I39" s="209"/>
      <c r="J39" s="209"/>
      <c r="K39" s="4"/>
    </row>
    <row r="40" spans="1:11">
      <c r="A40" s="257" t="s">
        <v>174</v>
      </c>
      <c r="B40" s="226" t="s">
        <v>175</v>
      </c>
      <c r="C40" s="227">
        <v>230767</v>
      </c>
      <c r="D40" s="259"/>
      <c r="E40" s="275"/>
      <c r="F40" s="259">
        <v>2158321</v>
      </c>
      <c r="G40" s="259"/>
      <c r="H40" s="275"/>
      <c r="I40" s="209"/>
      <c r="J40" s="209"/>
      <c r="K40" s="4"/>
    </row>
    <row r="41" spans="1:11">
      <c r="A41" s="257" t="s">
        <v>176</v>
      </c>
      <c r="B41" s="226" t="s">
        <v>177</v>
      </c>
      <c r="C41" s="227">
        <v>19415</v>
      </c>
      <c r="D41" s="259"/>
      <c r="E41" s="275"/>
      <c r="F41" s="259">
        <v>179889</v>
      </c>
      <c r="G41" s="259"/>
      <c r="H41" s="275"/>
      <c r="I41" s="209"/>
      <c r="J41" s="209"/>
      <c r="K41" s="4"/>
    </row>
    <row r="42" spans="1:11" ht="20.25" thickBot="1">
      <c r="A42" s="260" t="s">
        <v>131</v>
      </c>
      <c r="B42" s="261"/>
      <c r="C42" s="283">
        <f>SUM(C20:C41)</f>
        <v>1853493</v>
      </c>
      <c r="D42" s="283">
        <f>SUM(D20:D41)</f>
        <v>0</v>
      </c>
      <c r="E42" s="283"/>
      <c r="F42" s="283">
        <f>SUM(F20:F41)</f>
        <v>42393543</v>
      </c>
      <c r="G42" s="283">
        <f>SUM(G20:G41)</f>
        <v>0</v>
      </c>
      <c r="H42" s="283"/>
      <c r="I42" s="4"/>
      <c r="J42" s="4"/>
      <c r="K42" s="4"/>
    </row>
    <row r="43" spans="1:11" ht="17.25" thickTop="1">
      <c r="A43" s="249"/>
      <c r="B43" s="265"/>
      <c r="C43" s="251"/>
      <c r="D43" s="251"/>
      <c r="E43" s="252"/>
      <c r="F43" s="251"/>
      <c r="G43" s="251"/>
      <c r="H43" s="252"/>
      <c r="I43" s="4"/>
      <c r="J43" s="4"/>
      <c r="K43" s="4"/>
    </row>
    <row r="44" spans="1:11">
      <c r="A44" s="57" t="s">
        <v>185</v>
      </c>
      <c r="B44" s="3"/>
      <c r="C44" s="58"/>
      <c r="D44" s="3"/>
      <c r="E44" s="3"/>
      <c r="F44" s="3"/>
      <c r="G44" s="209"/>
      <c r="H44" s="209"/>
      <c r="I44" s="4"/>
      <c r="J44" s="4"/>
      <c r="K44" s="4"/>
    </row>
    <row r="45" spans="1:11" ht="18">
      <c r="A45" s="153" t="s">
        <v>186</v>
      </c>
      <c r="B45" s="61"/>
      <c r="C45" s="62"/>
      <c r="D45" s="64"/>
      <c r="E45" s="61"/>
      <c r="F45" s="62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opLeftCell="C29" workbookViewId="0">
      <selection activeCell="C7" sqref="C7"/>
    </sheetView>
  </sheetViews>
  <sheetFormatPr defaultRowHeight="16.5"/>
  <cols>
    <col min="1" max="1" width="15" customWidth="1"/>
    <col min="2" max="2" width="29.875" customWidth="1"/>
    <col min="3" max="3" width="17.25" customWidth="1"/>
    <col min="6" max="6" width="19.625" customWidth="1"/>
  </cols>
  <sheetData>
    <row r="1" spans="1:11" ht="19.5">
      <c r="A1" s="779" t="s">
        <v>294</v>
      </c>
      <c r="B1" s="779"/>
      <c r="C1" s="779"/>
      <c r="D1" s="779"/>
      <c r="E1" s="779"/>
      <c r="F1" s="779"/>
      <c r="G1" s="779"/>
      <c r="H1" s="779"/>
      <c r="I1" s="779"/>
      <c r="J1" s="779"/>
      <c r="K1" s="4"/>
    </row>
    <row r="2" spans="1:11">
      <c r="A2" s="208"/>
      <c r="B2" s="4"/>
      <c r="C2" s="209"/>
      <c r="D2" s="209"/>
      <c r="E2" s="209"/>
      <c r="F2" s="314"/>
      <c r="G2" s="209"/>
      <c r="H2" s="209"/>
      <c r="I2" s="4"/>
      <c r="J2" s="4"/>
      <c r="K2" s="4"/>
    </row>
    <row r="3" spans="1:11">
      <c r="A3" s="210" t="s">
        <v>110</v>
      </c>
      <c r="B3" s="211" t="s">
        <v>111</v>
      </c>
      <c r="C3" s="267" t="s">
        <v>295</v>
      </c>
      <c r="D3" s="267"/>
      <c r="E3" s="268"/>
      <c r="F3" s="315" t="s">
        <v>296</v>
      </c>
      <c r="G3" s="269"/>
      <c r="H3" s="268"/>
      <c r="I3" s="214"/>
      <c r="J3" s="316"/>
      <c r="K3" s="271"/>
    </row>
    <row r="4" spans="1:11">
      <c r="A4" s="215"/>
      <c r="B4" s="216"/>
      <c r="C4" s="272" t="s">
        <v>180</v>
      </c>
      <c r="D4" s="272"/>
      <c r="E4" s="217"/>
      <c r="F4" s="317" t="s">
        <v>181</v>
      </c>
      <c r="G4" s="273"/>
      <c r="H4" s="217"/>
      <c r="I4" s="223"/>
      <c r="J4" s="318"/>
      <c r="K4" s="274"/>
    </row>
    <row r="5" spans="1:11">
      <c r="A5" s="225" t="s">
        <v>115</v>
      </c>
      <c r="B5" s="226" t="s">
        <v>116</v>
      </c>
      <c r="C5" s="227">
        <v>12244</v>
      </c>
      <c r="D5" s="259"/>
      <c r="E5" s="277"/>
      <c r="F5" s="319">
        <v>703207</v>
      </c>
      <c r="G5" s="259"/>
      <c r="H5" s="275"/>
      <c r="I5" s="33"/>
      <c r="J5" s="33"/>
      <c r="K5" s="320"/>
    </row>
    <row r="6" spans="1:11">
      <c r="A6" s="231" t="s">
        <v>117</v>
      </c>
      <c r="B6" s="232" t="s">
        <v>118</v>
      </c>
      <c r="C6" s="227">
        <v>10118</v>
      </c>
      <c r="D6" s="259"/>
      <c r="E6" s="277"/>
      <c r="F6" s="319">
        <v>1034314</v>
      </c>
      <c r="G6" s="259"/>
      <c r="H6" s="277"/>
      <c r="I6" s="33"/>
      <c r="J6" s="33"/>
      <c r="K6" s="321"/>
    </row>
    <row r="7" spans="1:11">
      <c r="A7" s="225" t="s">
        <v>119</v>
      </c>
      <c r="B7" s="233" t="s">
        <v>120</v>
      </c>
      <c r="C7" s="227">
        <v>22051</v>
      </c>
      <c r="D7" s="227"/>
      <c r="E7" s="278"/>
      <c r="F7" s="319">
        <v>1062690</v>
      </c>
      <c r="G7" s="234"/>
      <c r="H7" s="278"/>
      <c r="I7" s="279"/>
      <c r="J7" s="300"/>
      <c r="K7" s="280"/>
    </row>
    <row r="8" spans="1:11">
      <c r="A8" s="225" t="s">
        <v>121</v>
      </c>
      <c r="B8" s="233" t="s">
        <v>122</v>
      </c>
      <c r="C8" s="227">
        <v>22693</v>
      </c>
      <c r="D8" s="227"/>
      <c r="E8" s="278"/>
      <c r="F8" s="319">
        <v>2226924</v>
      </c>
      <c r="G8" s="234"/>
      <c r="H8" s="278"/>
      <c r="I8" s="279"/>
      <c r="J8" s="300"/>
      <c r="K8" s="280"/>
    </row>
    <row r="9" spans="1:11">
      <c r="A9" s="225" t="s">
        <v>123</v>
      </c>
      <c r="B9" s="233" t="s">
        <v>124</v>
      </c>
      <c r="C9" s="227">
        <v>8080</v>
      </c>
      <c r="D9" s="227"/>
      <c r="E9" s="278"/>
      <c r="F9" s="319">
        <v>788399</v>
      </c>
      <c r="G9" s="234"/>
      <c r="H9" s="278"/>
      <c r="I9" s="279"/>
      <c r="J9" s="300"/>
      <c r="K9" s="280"/>
    </row>
    <row r="10" spans="1:11">
      <c r="A10" s="225" t="s">
        <v>125</v>
      </c>
      <c r="B10" s="233" t="s">
        <v>126</v>
      </c>
      <c r="C10" s="227">
        <v>9660</v>
      </c>
      <c r="D10" s="227"/>
      <c r="E10" s="278"/>
      <c r="F10" s="319">
        <v>1105979</v>
      </c>
      <c r="G10" s="234"/>
      <c r="H10" s="278"/>
      <c r="I10" s="279"/>
      <c r="J10" s="300"/>
      <c r="K10" s="280"/>
    </row>
    <row r="11" spans="1:11" ht="20.25" thickBot="1">
      <c r="A11" s="236" t="s">
        <v>127</v>
      </c>
      <c r="B11" s="237" t="s">
        <v>182</v>
      </c>
      <c r="C11" s="238">
        <f>SUM(C5:C10)</f>
        <v>84846</v>
      </c>
      <c r="D11" s="238"/>
      <c r="E11" s="322"/>
      <c r="F11" s="323">
        <f>SUM(F5:F10)</f>
        <v>6921513</v>
      </c>
      <c r="G11" s="238">
        <f>G5+G6</f>
        <v>0</v>
      </c>
      <c r="H11" s="322"/>
      <c r="I11" s="241"/>
      <c r="J11" s="241"/>
      <c r="K11" s="282"/>
    </row>
    <row r="12" spans="1:11" ht="17.25" thickTop="1">
      <c r="A12" s="242"/>
      <c r="B12" s="243"/>
      <c r="C12" s="209"/>
      <c r="D12" s="209"/>
      <c r="E12" s="254"/>
      <c r="F12" s="314"/>
      <c r="G12" s="209"/>
      <c r="H12" s="254"/>
      <c r="I12" s="5"/>
      <c r="J12" s="5"/>
      <c r="K12" s="4"/>
    </row>
    <row r="13" spans="1:11">
      <c r="A13" s="225" t="s">
        <v>129</v>
      </c>
      <c r="B13" s="226" t="s">
        <v>130</v>
      </c>
      <c r="C13" s="227">
        <v>261</v>
      </c>
      <c r="D13" s="259"/>
      <c r="E13" s="275"/>
      <c r="F13" s="319">
        <v>57919</v>
      </c>
      <c r="G13" s="259"/>
      <c r="H13" s="275"/>
      <c r="I13" s="33"/>
      <c r="J13" s="33"/>
      <c r="K13" s="320"/>
    </row>
    <row r="14" spans="1:11" ht="20.25" thickBot="1">
      <c r="A14" s="236" t="s">
        <v>131</v>
      </c>
      <c r="B14" s="248" t="s">
        <v>183</v>
      </c>
      <c r="C14" s="238">
        <f>C11+C13</f>
        <v>85107</v>
      </c>
      <c r="D14" s="238"/>
      <c r="E14" s="322"/>
      <c r="F14" s="323">
        <f>F11+F13</f>
        <v>6979432</v>
      </c>
      <c r="G14" s="238">
        <f>G11+G13</f>
        <v>0</v>
      </c>
      <c r="H14" s="322"/>
      <c r="I14" s="241"/>
      <c r="J14" s="241"/>
      <c r="K14" s="282"/>
    </row>
    <row r="15" spans="1:11" ht="17.25" thickTop="1">
      <c r="A15" s="249"/>
      <c r="B15" s="250"/>
      <c r="C15" s="251"/>
      <c r="D15" s="251"/>
      <c r="E15" s="252"/>
      <c r="F15" s="324"/>
      <c r="G15" s="251"/>
      <c r="H15" s="252"/>
      <c r="I15" s="253"/>
      <c r="J15" s="253"/>
      <c r="K15" s="4"/>
    </row>
    <row r="16" spans="1:11" ht="19.5">
      <c r="A16" s="779" t="s">
        <v>297</v>
      </c>
      <c r="B16" s="779"/>
      <c r="C16" s="779"/>
      <c r="D16" s="779"/>
      <c r="E16" s="779"/>
      <c r="F16" s="779"/>
      <c r="G16" s="779"/>
      <c r="H16" s="779"/>
      <c r="I16" s="779"/>
      <c r="J16" s="779"/>
      <c r="K16" s="4"/>
    </row>
    <row r="17" spans="1:11">
      <c r="A17" s="242"/>
      <c r="B17" s="243"/>
      <c r="C17" s="209"/>
      <c r="D17" s="209"/>
      <c r="E17" s="254"/>
      <c r="F17" s="314"/>
      <c r="G17" s="209"/>
      <c r="H17" s="254"/>
      <c r="I17" s="5"/>
      <c r="J17" s="5"/>
      <c r="K17" s="4"/>
    </row>
    <row r="18" spans="1:11">
      <c r="A18" s="210" t="s">
        <v>110</v>
      </c>
      <c r="B18" s="211" t="s">
        <v>111</v>
      </c>
      <c r="C18" s="267" t="s">
        <v>290</v>
      </c>
      <c r="D18" s="267"/>
      <c r="E18" s="268"/>
      <c r="F18" s="315" t="s">
        <v>296</v>
      </c>
      <c r="G18" s="269"/>
      <c r="H18" s="268"/>
      <c r="I18" s="255"/>
      <c r="J18" s="255"/>
      <c r="K18" s="4"/>
    </row>
    <row r="19" spans="1:11">
      <c r="A19" s="215"/>
      <c r="B19" s="216"/>
      <c r="C19" s="272" t="s">
        <v>184</v>
      </c>
      <c r="D19" s="272"/>
      <c r="E19" s="217"/>
      <c r="F19" s="317" t="s">
        <v>181</v>
      </c>
      <c r="G19" s="273"/>
      <c r="H19" s="217"/>
      <c r="I19" s="256"/>
      <c r="J19" s="255"/>
      <c r="K19" s="4"/>
    </row>
    <row r="20" spans="1:11">
      <c r="A20" s="257" t="s">
        <v>134</v>
      </c>
      <c r="B20" s="226" t="s">
        <v>135</v>
      </c>
      <c r="C20" s="227">
        <v>13669</v>
      </c>
      <c r="D20" s="259"/>
      <c r="E20" s="277"/>
      <c r="F20" s="319">
        <v>661664</v>
      </c>
      <c r="G20" s="259"/>
      <c r="H20" s="275"/>
      <c r="I20" s="209"/>
      <c r="J20" s="209"/>
      <c r="K20" s="4"/>
    </row>
    <row r="21" spans="1:11">
      <c r="A21" s="257" t="s">
        <v>136</v>
      </c>
      <c r="B21" s="226" t="s">
        <v>137</v>
      </c>
      <c r="C21" s="227">
        <v>9042</v>
      </c>
      <c r="D21" s="259"/>
      <c r="E21" s="275"/>
      <c r="F21" s="319">
        <v>630558</v>
      </c>
      <c r="G21" s="259"/>
      <c r="H21" s="275"/>
      <c r="I21" s="209"/>
      <c r="J21" s="209"/>
      <c r="K21" s="4"/>
    </row>
    <row r="22" spans="1:11">
      <c r="A22" s="257" t="s">
        <v>138</v>
      </c>
      <c r="B22" s="226" t="s">
        <v>139</v>
      </c>
      <c r="C22" s="227">
        <v>2709250</v>
      </c>
      <c r="D22" s="259"/>
      <c r="E22" s="277"/>
      <c r="F22" s="319">
        <v>95326333</v>
      </c>
      <c r="G22" s="259"/>
      <c r="H22" s="275"/>
      <c r="I22" s="209"/>
      <c r="J22" s="209"/>
      <c r="K22" s="4"/>
    </row>
    <row r="23" spans="1:11">
      <c r="A23" s="257" t="s">
        <v>140</v>
      </c>
      <c r="B23" s="226" t="s">
        <v>141</v>
      </c>
      <c r="C23" s="227">
        <v>439723</v>
      </c>
      <c r="D23" s="259"/>
      <c r="E23" s="277"/>
      <c r="F23" s="319">
        <v>18018468</v>
      </c>
      <c r="G23" s="259"/>
      <c r="H23" s="275"/>
      <c r="I23" s="209"/>
      <c r="J23" s="209"/>
      <c r="K23" s="4"/>
    </row>
    <row r="24" spans="1:11">
      <c r="A24" s="257" t="s">
        <v>142</v>
      </c>
      <c r="B24" s="226" t="s">
        <v>143</v>
      </c>
      <c r="C24" s="227">
        <v>10602</v>
      </c>
      <c r="D24" s="259"/>
      <c r="E24" s="277"/>
      <c r="F24" s="319">
        <v>279728</v>
      </c>
      <c r="G24" s="259"/>
      <c r="H24" s="275"/>
      <c r="I24" s="209"/>
      <c r="J24" s="209"/>
      <c r="K24" s="4"/>
    </row>
    <row r="25" spans="1:11">
      <c r="A25" s="257" t="s">
        <v>144</v>
      </c>
      <c r="B25" s="226" t="s">
        <v>145</v>
      </c>
      <c r="C25" s="227">
        <v>214048</v>
      </c>
      <c r="D25" s="259"/>
      <c r="E25" s="277"/>
      <c r="F25" s="319">
        <v>1258761</v>
      </c>
      <c r="G25" s="259"/>
      <c r="H25" s="277"/>
      <c r="I25" s="209"/>
      <c r="J25" s="209"/>
      <c r="K25" s="4"/>
    </row>
    <row r="26" spans="1:11">
      <c r="A26" s="257" t="s">
        <v>146</v>
      </c>
      <c r="B26" s="226" t="s">
        <v>147</v>
      </c>
      <c r="C26" s="227">
        <v>430252</v>
      </c>
      <c r="D26" s="259"/>
      <c r="E26" s="277"/>
      <c r="F26" s="319">
        <v>7138805</v>
      </c>
      <c r="G26" s="259"/>
      <c r="H26" s="275"/>
      <c r="I26" s="209"/>
      <c r="J26" s="209"/>
      <c r="K26" s="4"/>
    </row>
    <row r="27" spans="1:11">
      <c r="A27" s="257" t="s">
        <v>148</v>
      </c>
      <c r="B27" s="226" t="s">
        <v>149</v>
      </c>
      <c r="C27" s="227">
        <v>102774</v>
      </c>
      <c r="D27" s="259"/>
      <c r="E27" s="277"/>
      <c r="F27" s="319">
        <v>761733</v>
      </c>
      <c r="G27" s="259"/>
      <c r="H27" s="275"/>
      <c r="I27" s="209"/>
      <c r="J27" s="209"/>
      <c r="K27" s="4"/>
    </row>
    <row r="28" spans="1:11">
      <c r="A28" s="257" t="s">
        <v>150</v>
      </c>
      <c r="B28" s="226" t="s">
        <v>151</v>
      </c>
      <c r="C28" s="227">
        <v>11042</v>
      </c>
      <c r="D28" s="259"/>
      <c r="E28" s="277"/>
      <c r="F28" s="319">
        <v>141379</v>
      </c>
      <c r="G28" s="259"/>
      <c r="H28" s="275"/>
      <c r="I28" s="209"/>
      <c r="J28" s="209"/>
      <c r="K28" s="4"/>
    </row>
    <row r="29" spans="1:11">
      <c r="A29" s="257" t="s">
        <v>152</v>
      </c>
      <c r="B29" s="226" t="s">
        <v>153</v>
      </c>
      <c r="C29" s="227">
        <v>441878</v>
      </c>
      <c r="D29" s="259"/>
      <c r="E29" s="277"/>
      <c r="F29" s="319">
        <v>5101774</v>
      </c>
      <c r="G29" s="259"/>
      <c r="H29" s="277"/>
      <c r="I29" s="209"/>
      <c r="J29" s="209"/>
      <c r="K29" s="4"/>
    </row>
    <row r="30" spans="1:11">
      <c r="A30" s="257" t="s">
        <v>154</v>
      </c>
      <c r="B30" s="226" t="s">
        <v>155</v>
      </c>
      <c r="C30" s="227">
        <v>483442</v>
      </c>
      <c r="D30" s="259"/>
      <c r="E30" s="277"/>
      <c r="F30" s="319">
        <v>4385997</v>
      </c>
      <c r="G30" s="259"/>
      <c r="H30" s="275"/>
      <c r="I30" s="209"/>
      <c r="J30" s="258"/>
      <c r="K30" s="4"/>
    </row>
    <row r="31" spans="1:11">
      <c r="A31" s="257" t="s">
        <v>156</v>
      </c>
      <c r="B31" s="226" t="s">
        <v>157</v>
      </c>
      <c r="C31" s="227">
        <v>230039</v>
      </c>
      <c r="D31" s="259"/>
      <c r="E31" s="277"/>
      <c r="F31" s="319">
        <v>851163</v>
      </c>
      <c r="G31" s="259"/>
      <c r="H31" s="277"/>
      <c r="I31" s="209"/>
      <c r="J31" s="209"/>
      <c r="K31" s="4"/>
    </row>
    <row r="32" spans="1:11">
      <c r="A32" s="257" t="s">
        <v>158</v>
      </c>
      <c r="B32" s="226" t="s">
        <v>159</v>
      </c>
      <c r="C32" s="227">
        <v>651139</v>
      </c>
      <c r="D32" s="259"/>
      <c r="E32" s="277"/>
      <c r="F32" s="319">
        <v>3878471</v>
      </c>
      <c r="G32" s="259"/>
      <c r="H32" s="277"/>
      <c r="I32" s="209"/>
      <c r="J32" s="209"/>
      <c r="K32" s="4"/>
    </row>
    <row r="33" spans="1:11">
      <c r="A33" s="257" t="s">
        <v>160</v>
      </c>
      <c r="B33" s="226" t="s">
        <v>161</v>
      </c>
      <c r="C33" s="227">
        <v>370450</v>
      </c>
      <c r="D33" s="259"/>
      <c r="E33" s="277"/>
      <c r="F33" s="319">
        <v>1214949</v>
      </c>
      <c r="G33" s="259"/>
      <c r="H33" s="275"/>
      <c r="I33" s="209"/>
      <c r="J33" s="209"/>
      <c r="K33" s="4"/>
    </row>
    <row r="34" spans="1:11">
      <c r="A34" s="257" t="s">
        <v>162</v>
      </c>
      <c r="B34" s="226" t="s">
        <v>163</v>
      </c>
      <c r="C34" s="227">
        <v>102620</v>
      </c>
      <c r="D34" s="259"/>
      <c r="E34" s="277"/>
      <c r="F34" s="319">
        <v>1608131</v>
      </c>
      <c r="G34" s="259"/>
      <c r="H34" s="275"/>
      <c r="I34" s="209"/>
      <c r="J34" s="209"/>
      <c r="K34" s="4"/>
    </row>
    <row r="35" spans="1:11">
      <c r="A35" s="257" t="s">
        <v>164</v>
      </c>
      <c r="B35" s="226" t="s">
        <v>165</v>
      </c>
      <c r="C35" s="227">
        <v>69032</v>
      </c>
      <c r="D35" s="259"/>
      <c r="E35" s="277"/>
      <c r="F35" s="319">
        <v>453883</v>
      </c>
      <c r="G35" s="259"/>
      <c r="H35" s="277"/>
      <c r="I35" s="209"/>
      <c r="J35" s="209"/>
      <c r="K35" s="4"/>
    </row>
    <row r="36" spans="1:11">
      <c r="A36" s="257" t="s">
        <v>166</v>
      </c>
      <c r="B36" s="226" t="s">
        <v>167</v>
      </c>
      <c r="C36" s="227">
        <v>51992</v>
      </c>
      <c r="D36" s="259"/>
      <c r="E36" s="277"/>
      <c r="F36" s="319">
        <v>115583</v>
      </c>
      <c r="G36" s="259"/>
      <c r="H36" s="277"/>
      <c r="I36" s="209"/>
      <c r="J36" s="209"/>
      <c r="K36" s="4"/>
    </row>
    <row r="37" spans="1:11">
      <c r="A37" s="257" t="s">
        <v>168</v>
      </c>
      <c r="B37" s="226" t="s">
        <v>169</v>
      </c>
      <c r="C37" s="227">
        <v>163831</v>
      </c>
      <c r="D37" s="259"/>
      <c r="E37" s="277"/>
      <c r="F37" s="319">
        <v>1583116</v>
      </c>
      <c r="G37" s="259"/>
      <c r="H37" s="277"/>
      <c r="I37" s="209"/>
      <c r="J37" s="209"/>
      <c r="K37" s="4"/>
    </row>
    <row r="38" spans="1:11">
      <c r="A38" s="257" t="s">
        <v>170</v>
      </c>
      <c r="B38" s="226" t="s">
        <v>171</v>
      </c>
      <c r="C38" s="227">
        <v>322085</v>
      </c>
      <c r="D38" s="259"/>
      <c r="E38" s="277"/>
      <c r="F38" s="319">
        <v>4468321</v>
      </c>
      <c r="G38" s="259"/>
      <c r="H38" s="275"/>
      <c r="I38" s="209"/>
      <c r="J38" s="209"/>
      <c r="K38" s="4"/>
    </row>
    <row r="39" spans="1:11">
      <c r="A39" s="257" t="s">
        <v>172</v>
      </c>
      <c r="B39" s="226" t="s">
        <v>173</v>
      </c>
      <c r="C39" s="227">
        <v>227800</v>
      </c>
      <c r="D39" s="259"/>
      <c r="E39" s="277"/>
      <c r="F39" s="319">
        <v>3943329</v>
      </c>
      <c r="G39" s="259"/>
      <c r="H39" s="275"/>
      <c r="I39" s="209"/>
      <c r="J39" s="209"/>
      <c r="K39" s="4"/>
    </row>
    <row r="40" spans="1:11">
      <c r="A40" s="257" t="s">
        <v>174</v>
      </c>
      <c r="B40" s="226" t="s">
        <v>175</v>
      </c>
      <c r="C40" s="227">
        <v>547742</v>
      </c>
      <c r="D40" s="259"/>
      <c r="E40" s="277"/>
      <c r="F40" s="319">
        <v>2776561</v>
      </c>
      <c r="G40" s="259"/>
      <c r="H40" s="275"/>
      <c r="I40" s="209"/>
      <c r="J40" s="209"/>
      <c r="K40" s="4"/>
    </row>
    <row r="41" spans="1:11">
      <c r="A41" s="257" t="s">
        <v>176</v>
      </c>
      <c r="B41" s="226" t="s">
        <v>177</v>
      </c>
      <c r="C41" s="227">
        <v>156124</v>
      </c>
      <c r="D41" s="259"/>
      <c r="E41" s="277"/>
      <c r="F41" s="319">
        <v>622390</v>
      </c>
      <c r="G41" s="259"/>
      <c r="H41" s="275"/>
      <c r="I41" s="209"/>
      <c r="J41" s="209"/>
      <c r="K41" s="4"/>
    </row>
    <row r="42" spans="1:11" ht="20.25" thickBot="1">
      <c r="A42" s="260" t="s">
        <v>131</v>
      </c>
      <c r="B42" s="261"/>
      <c r="C42" s="283">
        <f>SUM(C20:C41)</f>
        <v>7758576</v>
      </c>
      <c r="D42" s="283">
        <f>SUM(D20:D41)</f>
        <v>0</v>
      </c>
      <c r="E42" s="325"/>
      <c r="F42" s="326">
        <f>SUM(F20:F41)</f>
        <v>155221097</v>
      </c>
      <c r="G42" s="283">
        <f>SUM(G20:G41)</f>
        <v>0</v>
      </c>
      <c r="H42" s="283"/>
      <c r="I42" s="4"/>
      <c r="J42" s="4"/>
      <c r="K42" s="4"/>
    </row>
    <row r="43" spans="1:11" ht="17.25" thickTop="1">
      <c r="A43" s="249"/>
      <c r="B43" s="265"/>
      <c r="C43" s="251"/>
      <c r="D43" s="251"/>
      <c r="E43" s="252"/>
      <c r="F43" s="324"/>
      <c r="G43" s="251"/>
      <c r="H43" s="252"/>
      <c r="I43" s="4"/>
      <c r="J43" s="4"/>
      <c r="K43" s="4"/>
    </row>
    <row r="44" spans="1:11">
      <c r="A44" s="57" t="s">
        <v>194</v>
      </c>
      <c r="B44" s="3"/>
      <c r="C44" s="58"/>
      <c r="D44" s="3"/>
      <c r="E44" s="3"/>
      <c r="F44" s="327"/>
      <c r="G44" s="209"/>
      <c r="H44" s="209"/>
      <c r="I44" s="4"/>
      <c r="J44" s="4"/>
      <c r="K44" s="4"/>
    </row>
    <row r="45" spans="1:11" ht="18">
      <c r="A45" s="153" t="s">
        <v>186</v>
      </c>
      <c r="B45" s="61"/>
      <c r="C45" s="62"/>
      <c r="D45" s="64"/>
      <c r="E45" s="61"/>
      <c r="F45" s="328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875" customWidth="1"/>
    <col min="2" max="2" width="26.875" customWidth="1"/>
    <col min="3" max="3" width="17" customWidth="1"/>
    <col min="4" max="4" width="18.25" customWidth="1"/>
    <col min="5" max="5" width="11.125" customWidth="1"/>
    <col min="6" max="6" width="18.875" customWidth="1"/>
    <col min="7" max="7" width="19.375" bestFit="1" customWidth="1"/>
    <col min="8" max="8" width="10.5" customWidth="1"/>
    <col min="9" max="9" width="11.625" customWidth="1"/>
    <col min="10" max="10" width="12" customWidth="1"/>
    <col min="11" max="11" width="11.5" customWidth="1"/>
  </cols>
  <sheetData>
    <row r="1" spans="1:11" ht="19.5">
      <c r="A1" s="779" t="s">
        <v>535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</row>
    <row r="2" spans="1:11">
      <c r="A2" s="208"/>
      <c r="B2" s="4"/>
      <c r="C2" s="209"/>
      <c r="D2" s="209"/>
      <c r="E2" s="36"/>
      <c r="F2" s="209"/>
      <c r="G2" s="284"/>
      <c r="H2" s="36"/>
      <c r="I2" s="4"/>
      <c r="J2" s="4"/>
      <c r="K2" s="36"/>
    </row>
    <row r="3" spans="1:11">
      <c r="A3" s="210" t="s">
        <v>110</v>
      </c>
      <c r="B3" s="211" t="s">
        <v>111</v>
      </c>
      <c r="C3" s="268" t="s">
        <v>530</v>
      </c>
      <c r="D3" s="268" t="s">
        <v>531</v>
      </c>
      <c r="E3" s="733" t="s">
        <v>501</v>
      </c>
      <c r="F3" s="285" t="s">
        <v>532</v>
      </c>
      <c r="G3" s="286" t="s">
        <v>533</v>
      </c>
      <c r="H3" s="287" t="s">
        <v>408</v>
      </c>
      <c r="I3" s="288" t="s">
        <v>502</v>
      </c>
      <c r="J3" s="288" t="s">
        <v>503</v>
      </c>
      <c r="K3" s="672" t="s">
        <v>409</v>
      </c>
    </row>
    <row r="4" spans="1:11">
      <c r="A4" s="215"/>
      <c r="B4" s="216"/>
      <c r="C4" s="217" t="s">
        <v>180</v>
      </c>
      <c r="D4" s="217" t="s">
        <v>180</v>
      </c>
      <c r="E4" s="734" t="s">
        <v>189</v>
      </c>
      <c r="F4" s="218" t="s">
        <v>181</v>
      </c>
      <c r="G4" s="289" t="s">
        <v>181</v>
      </c>
      <c r="H4" s="290" t="s">
        <v>190</v>
      </c>
      <c r="I4" s="329" t="s">
        <v>4</v>
      </c>
      <c r="J4" s="330" t="s">
        <v>4</v>
      </c>
      <c r="K4" s="293" t="s">
        <v>191</v>
      </c>
    </row>
    <row r="5" spans="1:11">
      <c r="A5" s="635">
        <v>87120010902</v>
      </c>
      <c r="B5" s="226" t="s">
        <v>116</v>
      </c>
      <c r="C5" s="227">
        <v>44757</v>
      </c>
      <c r="D5" s="259">
        <v>52970</v>
      </c>
      <c r="E5" s="616">
        <f>IF(D5,(C5-D5)/D5,0)</f>
        <v>-0.15505002831791581</v>
      </c>
      <c r="F5" s="228">
        <v>2487512</v>
      </c>
      <c r="G5" s="247">
        <v>3197625</v>
      </c>
      <c r="H5" s="615">
        <f t="shared" ref="H5:H14" si="0">(F5-G5)/G5</f>
        <v>-0.22207513388843281</v>
      </c>
      <c r="I5" s="295">
        <f t="shared" ref="I5:J11" si="1">F5/C5</f>
        <v>55.57816654378086</v>
      </c>
      <c r="J5" s="295">
        <f t="shared" si="1"/>
        <v>60.36671700962809</v>
      </c>
      <c r="K5" s="618">
        <f t="shared" ref="K5:K14" si="2">(I5-J5)/J5</f>
        <v>-7.9324347969486037E-2</v>
      </c>
    </row>
    <row r="6" spans="1:11">
      <c r="A6" s="636">
        <v>87120010109</v>
      </c>
      <c r="B6" s="232" t="s">
        <v>118</v>
      </c>
      <c r="C6" s="227">
        <v>19366</v>
      </c>
      <c r="D6" s="259">
        <v>21153</v>
      </c>
      <c r="E6" s="616">
        <f t="shared" ref="E6:E14" si="3">IF(D6,(C6-D6)/D6,0)</f>
        <v>-8.4479742826076676E-2</v>
      </c>
      <c r="F6" s="228">
        <v>1818224</v>
      </c>
      <c r="G6" s="247">
        <v>1955262</v>
      </c>
      <c r="H6" s="615">
        <f t="shared" si="0"/>
        <v>-7.0086770980052795E-2</v>
      </c>
      <c r="I6" s="295">
        <f t="shared" si="1"/>
        <v>93.887431581121547</v>
      </c>
      <c r="J6" s="295">
        <f t="shared" si="1"/>
        <v>92.434264643313</v>
      </c>
      <c r="K6" s="618">
        <f t="shared" si="2"/>
        <v>1.5721085069655215E-2</v>
      </c>
    </row>
    <row r="7" spans="1:11">
      <c r="A7" s="635">
        <v>87120010207</v>
      </c>
      <c r="B7" s="233" t="s">
        <v>120</v>
      </c>
      <c r="C7" s="227">
        <v>34331</v>
      </c>
      <c r="D7" s="259">
        <v>32390</v>
      </c>
      <c r="E7" s="616">
        <f t="shared" si="3"/>
        <v>5.9925903056498919E-2</v>
      </c>
      <c r="F7" s="228">
        <v>1963143</v>
      </c>
      <c r="G7" s="247">
        <v>1886810</v>
      </c>
      <c r="H7" s="615">
        <f t="shared" si="0"/>
        <v>4.0456113758142051E-2</v>
      </c>
      <c r="I7" s="295">
        <f t="shared" si="1"/>
        <v>57.18280854038624</v>
      </c>
      <c r="J7" s="295">
        <f t="shared" si="1"/>
        <v>58.252855819697437</v>
      </c>
      <c r="K7" s="618">
        <f t="shared" si="2"/>
        <v>-1.8369009797960405E-2</v>
      </c>
    </row>
    <row r="8" spans="1:11">
      <c r="A8" s="635">
        <v>87120010305</v>
      </c>
      <c r="B8" s="233" t="s">
        <v>122</v>
      </c>
      <c r="C8" s="227">
        <v>49140</v>
      </c>
      <c r="D8" s="259">
        <v>54437</v>
      </c>
      <c r="E8" s="616">
        <f t="shared" si="3"/>
        <v>-9.7305141723460151E-2</v>
      </c>
      <c r="F8" s="228">
        <v>6171276</v>
      </c>
      <c r="G8" s="247">
        <v>5723812</v>
      </c>
      <c r="H8" s="615">
        <f t="shared" si="0"/>
        <v>7.8175873002118174E-2</v>
      </c>
      <c r="I8" s="295">
        <f t="shared" si="1"/>
        <v>125.58559218559219</v>
      </c>
      <c r="J8" s="295">
        <f t="shared" si="1"/>
        <v>105.14561787019858</v>
      </c>
      <c r="K8" s="618">
        <f t="shared" si="2"/>
        <v>0.19439682536866726</v>
      </c>
    </row>
    <row r="9" spans="1:11">
      <c r="A9" s="635">
        <v>87120010403</v>
      </c>
      <c r="B9" s="233" t="s">
        <v>124</v>
      </c>
      <c r="C9" s="227">
        <v>14573</v>
      </c>
      <c r="D9" s="259">
        <v>16421</v>
      </c>
      <c r="E9" s="616">
        <f t="shared" si="3"/>
        <v>-0.11253882223981487</v>
      </c>
      <c r="F9" s="228">
        <v>1694422</v>
      </c>
      <c r="G9" s="247">
        <v>2031097</v>
      </c>
      <c r="H9" s="615">
        <f t="shared" si="0"/>
        <v>-0.16576017787432112</v>
      </c>
      <c r="I9" s="295">
        <f t="shared" si="1"/>
        <v>116.27132368077952</v>
      </c>
      <c r="J9" s="295">
        <f t="shared" si="1"/>
        <v>123.68899579806346</v>
      </c>
      <c r="K9" s="618">
        <f t="shared" si="2"/>
        <v>-5.9970347963647037E-2</v>
      </c>
    </row>
    <row r="10" spans="1:11">
      <c r="A10" s="635">
        <v>87120010500</v>
      </c>
      <c r="B10" s="233" t="s">
        <v>126</v>
      </c>
      <c r="C10" s="227">
        <v>24212</v>
      </c>
      <c r="D10" s="259">
        <v>28148</v>
      </c>
      <c r="E10" s="616">
        <f t="shared" si="3"/>
        <v>-0.13983231490692055</v>
      </c>
      <c r="F10" s="228">
        <v>8311722</v>
      </c>
      <c r="G10" s="247">
        <v>10342935</v>
      </c>
      <c r="H10" s="615">
        <f t="shared" si="0"/>
        <v>-0.19638651891363526</v>
      </c>
      <c r="I10" s="300">
        <f t="shared" si="1"/>
        <v>343.28936064761274</v>
      </c>
      <c r="J10" s="300">
        <f t="shared" si="1"/>
        <v>367.44830893846807</v>
      </c>
      <c r="K10" s="618">
        <f t="shared" si="2"/>
        <v>-6.5747882635924529E-2</v>
      </c>
    </row>
    <row r="11" spans="1:11" ht="20.25" thickBot="1">
      <c r="A11" s="637">
        <v>87120010</v>
      </c>
      <c r="B11" s="237" t="s">
        <v>128</v>
      </c>
      <c r="C11" s="238">
        <f>SUM(C5:C10)</f>
        <v>186379</v>
      </c>
      <c r="D11" s="238">
        <f>SUM(D5:D10)</f>
        <v>205519</v>
      </c>
      <c r="E11" s="621">
        <f t="shared" si="3"/>
        <v>-9.3130075564789624E-2</v>
      </c>
      <c r="F11" s="239">
        <f>SUM(F5:F10)</f>
        <v>22446299</v>
      </c>
      <c r="G11" s="301">
        <f>SUM(G5:G10)</f>
        <v>25137541</v>
      </c>
      <c r="H11" s="622">
        <f t="shared" si="0"/>
        <v>-0.10706067073147688</v>
      </c>
      <c r="I11" s="302">
        <f t="shared" si="1"/>
        <v>120.43362717902768</v>
      </c>
      <c r="J11" s="302">
        <f t="shared" si="1"/>
        <v>122.31249178908033</v>
      </c>
      <c r="K11" s="624">
        <f t="shared" si="2"/>
        <v>-1.5361183331074807E-2</v>
      </c>
    </row>
    <row r="12" spans="1:11" ht="17.25" thickTop="1">
      <c r="A12" s="638"/>
      <c r="B12" s="243"/>
      <c r="C12" s="244"/>
      <c r="D12" s="244"/>
      <c r="E12" s="619"/>
      <c r="F12" s="245"/>
      <c r="G12" s="284"/>
      <c r="H12" s="620"/>
      <c r="I12" s="303"/>
      <c r="J12" s="303"/>
      <c r="K12" s="623"/>
    </row>
    <row r="13" spans="1:11">
      <c r="A13" s="635">
        <v>87120090004</v>
      </c>
      <c r="B13" s="226" t="s">
        <v>130</v>
      </c>
      <c r="C13" s="227">
        <v>1736</v>
      </c>
      <c r="D13" s="297">
        <v>4282</v>
      </c>
      <c r="E13" s="616">
        <f t="shared" si="3"/>
        <v>-0.5945819710415694</v>
      </c>
      <c r="F13" s="298">
        <v>99874</v>
      </c>
      <c r="G13" s="299">
        <v>227571</v>
      </c>
      <c r="H13" s="615">
        <f t="shared" si="0"/>
        <v>-0.56113037249913211</v>
      </c>
      <c r="I13" s="300">
        <f>F13/C13</f>
        <v>57.531105990783409</v>
      </c>
      <c r="J13" s="300">
        <f>G13/D13</f>
        <v>53.14595983185427</v>
      </c>
      <c r="K13" s="618">
        <f t="shared" si="2"/>
        <v>8.251137382414532E-2</v>
      </c>
    </row>
    <row r="14" spans="1:11" ht="20.25" thickBot="1">
      <c r="A14" s="236" t="s">
        <v>131</v>
      </c>
      <c r="B14" s="248" t="s">
        <v>132</v>
      </c>
      <c r="C14" s="238">
        <f>C11+C13</f>
        <v>188115</v>
      </c>
      <c r="D14" s="238">
        <f>D11+D13</f>
        <v>209801</v>
      </c>
      <c r="E14" s="621">
        <f t="shared" si="3"/>
        <v>-0.10336461694653505</v>
      </c>
      <c r="F14" s="239">
        <f>F11+F13</f>
        <v>22546173</v>
      </c>
      <c r="G14" s="301">
        <f>G11+G13</f>
        <v>25365112</v>
      </c>
      <c r="H14" s="622">
        <f t="shared" si="0"/>
        <v>-0.11113449844021978</v>
      </c>
      <c r="I14" s="302">
        <f>F14/C14</f>
        <v>119.85313770831672</v>
      </c>
      <c r="J14" s="302">
        <f>G14/D14</f>
        <v>120.90081553472099</v>
      </c>
      <c r="K14" s="624">
        <f t="shared" si="2"/>
        <v>-8.66559767831665E-3</v>
      </c>
    </row>
    <row r="15" spans="1:11" ht="17.25" thickTop="1">
      <c r="A15" s="249"/>
      <c r="B15" s="250"/>
      <c r="C15" s="251"/>
      <c r="D15" s="251"/>
      <c r="E15" s="305"/>
      <c r="F15" s="251"/>
      <c r="G15" s="304"/>
      <c r="H15" s="305"/>
      <c r="I15" s="253"/>
      <c r="J15" s="253"/>
      <c r="K15" s="36"/>
    </row>
    <row r="16" spans="1:11" ht="19.5">
      <c r="A16" s="779" t="s">
        <v>536</v>
      </c>
      <c r="B16" s="779"/>
      <c r="C16" s="779"/>
      <c r="D16" s="779"/>
      <c r="E16" s="779"/>
      <c r="F16" s="779"/>
      <c r="G16" s="779"/>
      <c r="H16" s="779"/>
      <c r="I16" s="306"/>
      <c r="J16" s="306"/>
      <c r="K16" s="36"/>
    </row>
    <row r="17" spans="1:11">
      <c r="A17" s="242"/>
      <c r="B17" s="243"/>
      <c r="C17" s="209"/>
      <c r="D17" s="209"/>
      <c r="E17" s="72"/>
      <c r="F17" s="209"/>
      <c r="G17" s="284"/>
      <c r="H17" s="72"/>
      <c r="I17" s="5"/>
      <c r="J17" s="5"/>
      <c r="K17" s="36"/>
    </row>
    <row r="18" spans="1:11">
      <c r="A18" s="210" t="s">
        <v>110</v>
      </c>
      <c r="B18" s="211" t="s">
        <v>111</v>
      </c>
      <c r="C18" s="268" t="s">
        <v>530</v>
      </c>
      <c r="D18" s="268" t="s">
        <v>531</v>
      </c>
      <c r="E18" s="733" t="s">
        <v>501</v>
      </c>
      <c r="F18" s="285" t="s">
        <v>532</v>
      </c>
      <c r="G18" s="286" t="s">
        <v>533</v>
      </c>
      <c r="H18" s="287" t="s">
        <v>195</v>
      </c>
      <c r="I18" s="255"/>
      <c r="J18" s="255"/>
      <c r="K18" s="36"/>
    </row>
    <row r="19" spans="1:11">
      <c r="A19" s="215"/>
      <c r="B19" s="216"/>
      <c r="C19" s="217" t="s">
        <v>184</v>
      </c>
      <c r="D19" s="217" t="s">
        <v>184</v>
      </c>
      <c r="E19" s="734" t="s">
        <v>189</v>
      </c>
      <c r="F19" s="218" t="s">
        <v>181</v>
      </c>
      <c r="G19" s="289" t="s">
        <v>181</v>
      </c>
      <c r="H19" s="290" t="s">
        <v>190</v>
      </c>
      <c r="I19" s="256"/>
      <c r="J19" s="255"/>
      <c r="K19" s="36"/>
    </row>
    <row r="20" spans="1:11">
      <c r="A20" s="594">
        <v>85121010001</v>
      </c>
      <c r="B20" s="226" t="s">
        <v>135</v>
      </c>
      <c r="C20" s="227">
        <v>36388</v>
      </c>
      <c r="D20" s="259">
        <v>36552</v>
      </c>
      <c r="E20" s="294">
        <f>(C20-D20)/D20</f>
        <v>-4.4867585905012039E-3</v>
      </c>
      <c r="F20" s="228">
        <v>1401600</v>
      </c>
      <c r="G20" s="247">
        <v>1546410</v>
      </c>
      <c r="H20" s="294">
        <f t="shared" ref="H20:H24" si="4">IF(G20,(F20-G20)/G20,0)</f>
        <v>-9.3642695016198804E-2</v>
      </c>
      <c r="I20" s="209"/>
      <c r="J20" s="209"/>
      <c r="K20" s="36"/>
    </row>
    <row r="21" spans="1:11">
      <c r="A21" s="594">
        <v>85121020009</v>
      </c>
      <c r="B21" s="226" t="s">
        <v>137</v>
      </c>
      <c r="C21" s="227">
        <v>16927</v>
      </c>
      <c r="D21" s="259">
        <v>23314</v>
      </c>
      <c r="E21" s="294">
        <f t="shared" ref="E21:E41" si="5">IF(D21,(C21-D21)/D21,0)</f>
        <v>-0.27395556318092135</v>
      </c>
      <c r="F21" s="228">
        <v>1188824</v>
      </c>
      <c r="G21" s="247">
        <v>1423772</v>
      </c>
      <c r="H21" s="294">
        <f t="shared" si="4"/>
        <v>-0.16501799445416823</v>
      </c>
      <c r="I21" s="209"/>
      <c r="J21" s="209"/>
      <c r="K21" s="36"/>
    </row>
    <row r="22" spans="1:11">
      <c r="A22" s="594">
        <v>87149120007</v>
      </c>
      <c r="B22" s="226" t="s">
        <v>139</v>
      </c>
      <c r="C22" s="227">
        <f>VLOOKUP(A22,[25]進出口值表查詢結果!$A$3:$D$19,4,0)</f>
        <v>3530373</v>
      </c>
      <c r="D22" s="259">
        <f>VLOOKUP(A22,[26]進出口值表查詢結果!$A$3:$D$19,4,0)</f>
        <v>3698426</v>
      </c>
      <c r="E22" s="294">
        <f t="shared" si="5"/>
        <v>-4.5439059751364502E-2</v>
      </c>
      <c r="F22" s="228">
        <f>VLOOKUP(A22,[25]進出口值表查詢結果!$A$3:$D$19,3,0)</f>
        <v>200567277</v>
      </c>
      <c r="G22" s="247">
        <f>VLOOKUP(A22,[26]進出口值表查詢結果!$A$3:$E$19,3,0)</f>
        <v>238563019</v>
      </c>
      <c r="H22" s="294">
        <f t="shared" si="4"/>
        <v>-0.15926920341329182</v>
      </c>
      <c r="I22" s="209"/>
      <c r="J22" s="209"/>
      <c r="K22" s="36"/>
    </row>
    <row r="23" spans="1:11">
      <c r="A23" s="594">
        <v>87149200108</v>
      </c>
      <c r="B23" s="226" t="s">
        <v>141</v>
      </c>
      <c r="C23" s="227">
        <f>VLOOKUP(A23,[25]進出口值表查詢結果!$A$3:$D$19,4,0)</f>
        <v>603957</v>
      </c>
      <c r="D23" s="259">
        <f>VLOOKUP(A23,[26]進出口值表查詢結果!$A$3:$D$19,4,0)</f>
        <v>609753</v>
      </c>
      <c r="E23" s="724">
        <f t="shared" si="5"/>
        <v>-9.5054882878805019E-3</v>
      </c>
      <c r="F23" s="228">
        <f>VLOOKUP(A23,[25]進出口值表查詢結果!$A$3:$D$19,3,0)</f>
        <v>64938026</v>
      </c>
      <c r="G23" s="247">
        <f>VLOOKUP(A23,[26]進出口值表查詢結果!$A$3:$E$19,3,0)</f>
        <v>62865782</v>
      </c>
      <c r="H23" s="294">
        <f t="shared" si="4"/>
        <v>3.2962987718819753E-2</v>
      </c>
      <c r="I23" s="209"/>
      <c r="J23" s="209"/>
      <c r="K23" s="36"/>
    </row>
    <row r="24" spans="1:11">
      <c r="A24" s="594">
        <v>87149200206</v>
      </c>
      <c r="B24" s="226" t="s">
        <v>143</v>
      </c>
      <c r="C24" s="227">
        <f>VLOOKUP(A24,[25]進出口值表查詢結果!$A$3:$D$19,4,0)</f>
        <v>80476</v>
      </c>
      <c r="D24" s="259">
        <f>VLOOKUP(A24,[26]進出口值表查詢結果!$A$3:$D$19,4,0)</f>
        <v>75915</v>
      </c>
      <c r="E24" s="724">
        <f t="shared" si="5"/>
        <v>6.0080353026411119E-2</v>
      </c>
      <c r="F24" s="228">
        <f>VLOOKUP(A24,[25]進出口值表查詢結果!$A$3:$D$19,3,0)</f>
        <v>4898894</v>
      </c>
      <c r="G24" s="247">
        <f>VLOOKUP(A24,[26]進出口值表查詢結果!$A$3:$E$19,3,0)</f>
        <v>4594331</v>
      </c>
      <c r="H24" s="294">
        <f t="shared" si="4"/>
        <v>6.6291044332678684E-2</v>
      </c>
      <c r="I24" s="209"/>
      <c r="J24" s="209"/>
      <c r="K24" s="36"/>
    </row>
    <row r="25" spans="1:11">
      <c r="A25" s="594">
        <v>87149200304</v>
      </c>
      <c r="B25" s="226" t="s">
        <v>145</v>
      </c>
      <c r="C25" s="227">
        <f>VLOOKUP(A25,[25]進出口值表查詢結果!$A$3:$D$19,4,0)</f>
        <v>82614</v>
      </c>
      <c r="D25" s="259">
        <f>VLOOKUP(A25,[26]進出口值表查詢結果!$A$3:$D$19,4,0)</f>
        <v>134969</v>
      </c>
      <c r="E25" s="294">
        <f t="shared" si="5"/>
        <v>-0.38790388904118722</v>
      </c>
      <c r="F25" s="228">
        <f>VLOOKUP(A25,[25]進出口值表查詢結果!$A$3:$D$19,3,0)</f>
        <v>2672687</v>
      </c>
      <c r="G25" s="247">
        <f>VLOOKUP(A25,[26]進出口值表查詢結果!$A$3:$E$19,3,0)</f>
        <v>2150696</v>
      </c>
      <c r="H25" s="294">
        <f>IF(G25,(F25-G25)/G25,0)</f>
        <v>0.24270794198715206</v>
      </c>
      <c r="I25" s="209"/>
      <c r="J25" s="209"/>
      <c r="K25" s="36"/>
    </row>
    <row r="26" spans="1:11">
      <c r="A26" s="594">
        <v>87149310007</v>
      </c>
      <c r="B26" s="226" t="s">
        <v>147</v>
      </c>
      <c r="C26" s="227">
        <f>VLOOKUP(A26,[25]進出口值表查詢結果!$A$3:$D$19,4,0)</f>
        <v>373189</v>
      </c>
      <c r="D26" s="259">
        <f>VLOOKUP(A26,[26]進出口值表查詢結果!$A$3:$D$19,4,0)</f>
        <v>438484</v>
      </c>
      <c r="E26" s="294">
        <f t="shared" si="5"/>
        <v>-0.14891079264009632</v>
      </c>
      <c r="F26" s="228">
        <f>VLOOKUP(A26,[25]進出口值表查詢結果!$A$3:$D$19,3,0)</f>
        <v>14400113</v>
      </c>
      <c r="G26" s="247">
        <f>VLOOKUP(A26,[26]進出口值表查詢結果!$A$3:$E$19,3,0)</f>
        <v>16380376</v>
      </c>
      <c r="H26" s="294">
        <f t="shared" ref="H26:H41" si="6">IF(G26,(F26-G26)/G26,0)</f>
        <v>-0.12089240198149298</v>
      </c>
      <c r="I26" s="209"/>
      <c r="J26" s="209"/>
      <c r="K26" s="36"/>
    </row>
    <row r="27" spans="1:11">
      <c r="A27" s="594">
        <v>87149320103</v>
      </c>
      <c r="B27" s="226" t="s">
        <v>404</v>
      </c>
      <c r="C27" s="227">
        <f>VLOOKUP(A27,[25]進出口值表查詢結果!$A$3:$D$19,4,0)</f>
        <v>3251</v>
      </c>
      <c r="D27" s="259">
        <f>VLOOKUP(A27,[26]進出口值表查詢結果!$A$3:$D$19,4,0)</f>
        <v>4781</v>
      </c>
      <c r="E27" s="294">
        <f>IF(D27,(C27-D27)/D27,0)</f>
        <v>-0.32001673290106675</v>
      </c>
      <c r="F27" s="228">
        <f>VLOOKUP(A27,[25]進出口值表查詢結果!$A$3:$D$19,3,0)</f>
        <v>82778</v>
      </c>
      <c r="G27" s="247">
        <f>VLOOKUP(A27,[26]進出口值表查詢結果!$A$3:$E$19,3,0)</f>
        <v>157603</v>
      </c>
      <c r="H27" s="294">
        <f t="shared" si="6"/>
        <v>-0.47476888130302086</v>
      </c>
      <c r="I27" s="209"/>
      <c r="J27" s="209"/>
      <c r="K27" s="36"/>
    </row>
    <row r="28" spans="1:11">
      <c r="A28" s="594">
        <v>87149410006</v>
      </c>
      <c r="B28" s="226" t="s">
        <v>151</v>
      </c>
      <c r="C28" s="227">
        <f>VLOOKUP(A28,[25]進出口值表查詢結果!$A$3:$D$19,4,0)</f>
        <v>19670</v>
      </c>
      <c r="D28" s="259">
        <f>VLOOKUP(A28,[26]進出口值表查詢結果!$A$3:$D$19,4,0)</f>
        <v>19945</v>
      </c>
      <c r="E28" s="724">
        <f t="shared" si="5"/>
        <v>-1.3787916771120581E-2</v>
      </c>
      <c r="F28" s="228">
        <f>VLOOKUP(A28,[25]進出口值表查詢結果!$A$3:$D$19,3,0)</f>
        <v>328906</v>
      </c>
      <c r="G28" s="247">
        <f>VLOOKUP(A28,[26]進出口值表查詢結果!$A$3:$E$19,3,0)</f>
        <v>282065</v>
      </c>
      <c r="H28" s="294">
        <f t="shared" si="6"/>
        <v>0.16606455958732916</v>
      </c>
      <c r="I28" s="209"/>
      <c r="J28" s="209"/>
      <c r="K28" s="36"/>
    </row>
    <row r="29" spans="1:11">
      <c r="A29" s="594">
        <v>87149490009</v>
      </c>
      <c r="B29" s="226" t="s">
        <v>153</v>
      </c>
      <c r="C29" s="227">
        <f>VLOOKUP(A29,[25]進出口值表查詢結果!$A$3:$D$19,4,0)</f>
        <v>1260218</v>
      </c>
      <c r="D29" s="259">
        <f>VLOOKUP(A29,[26]進出口值表查詢結果!$A$3:$D$19,4,0)</f>
        <v>807088</v>
      </c>
      <c r="E29" s="724">
        <f t="shared" si="5"/>
        <v>0.56143815792082152</v>
      </c>
      <c r="F29" s="228">
        <f>VLOOKUP(A29,[25]進出口值表查詢結果!$A$3:$D$19,3,0)</f>
        <v>15727744</v>
      </c>
      <c r="G29" s="247">
        <f>VLOOKUP(A29,[26]進出口值表查詢結果!$A$3:$E$19,3,0)</f>
        <v>11857148</v>
      </c>
      <c r="H29" s="294">
        <f t="shared" si="6"/>
        <v>0.32643566564236187</v>
      </c>
      <c r="I29" s="209"/>
      <c r="J29" s="209"/>
      <c r="K29" s="36"/>
    </row>
    <row r="30" spans="1:11">
      <c r="A30" s="594">
        <v>87149500007</v>
      </c>
      <c r="B30" s="226" t="s">
        <v>155</v>
      </c>
      <c r="C30" s="227">
        <f>VLOOKUP(A30,[25]進出口值表查詢結果!$A$3:$D$19,4,0)</f>
        <v>583714</v>
      </c>
      <c r="D30" s="259">
        <f>VLOOKUP(A30,[26]進出口值表查詢結果!$A$3:$D$19,4,0)</f>
        <v>490632</v>
      </c>
      <c r="E30" s="724">
        <f t="shared" si="5"/>
        <v>0.18971856707267362</v>
      </c>
      <c r="F30" s="228">
        <f>VLOOKUP(A30,[25]進出口值表查詢結果!$A$3:$D$19,3,0)</f>
        <v>6258139</v>
      </c>
      <c r="G30" s="247">
        <f>VLOOKUP(A30,[26]進出口值表查詢結果!$A$3:$E$19,3,0)</f>
        <v>5469444</v>
      </c>
      <c r="H30" s="294">
        <f t="shared" si="6"/>
        <v>0.14420021486644713</v>
      </c>
      <c r="I30" s="209"/>
      <c r="J30" s="258"/>
      <c r="K30" s="36"/>
    </row>
    <row r="31" spans="1:11">
      <c r="A31" s="594">
        <v>87149610004</v>
      </c>
      <c r="B31" s="226" t="s">
        <v>157</v>
      </c>
      <c r="C31" s="227">
        <f>VLOOKUP(A31,[25]進出口值表查詢結果!$A$3:$D$19,4,0)</f>
        <v>240859</v>
      </c>
      <c r="D31" s="259">
        <f>VLOOKUP(A31,[26]進出口值表查詢結果!$A$3:$D$19,4,0)</f>
        <v>244096</v>
      </c>
      <c r="E31" s="724">
        <f t="shared" si="5"/>
        <v>-1.3261175930781332E-2</v>
      </c>
      <c r="F31" s="228">
        <f>VLOOKUP(A31,[25]進出口值表查詢結果!$A$3:$D$19,3,0)</f>
        <v>1602932</v>
      </c>
      <c r="G31" s="247">
        <f>VLOOKUP(A31,[26]進出口值表查詢結果!$A$3:$E$19,3,0)</f>
        <v>3066835</v>
      </c>
      <c r="H31" s="294">
        <f t="shared" si="6"/>
        <v>-0.4773334724561315</v>
      </c>
      <c r="I31" s="209"/>
      <c r="J31" s="209"/>
      <c r="K31" s="36"/>
    </row>
    <row r="32" spans="1:11">
      <c r="A32" s="594">
        <v>87149620002</v>
      </c>
      <c r="B32" s="226" t="s">
        <v>159</v>
      </c>
      <c r="C32" s="227">
        <f>VLOOKUP(A32,[25]進出口值表查詢結果!$A$3:$D$19,4,0)</f>
        <v>929797</v>
      </c>
      <c r="D32" s="259">
        <f>VLOOKUP(A32,[26]進出口值表查詢結果!$A$3:$D$19,4,0)</f>
        <v>715022</v>
      </c>
      <c r="E32" s="724">
        <f t="shared" si="5"/>
        <v>0.30037537306544415</v>
      </c>
      <c r="F32" s="228">
        <f>VLOOKUP(A32,[25]進出口值表查詢結果!$A$3:$D$19,3,0)</f>
        <v>10267090</v>
      </c>
      <c r="G32" s="247">
        <f>VLOOKUP(A32,[26]進出口值表查詢結果!$A$3:$E$19,3,0)</f>
        <v>7077414</v>
      </c>
      <c r="H32" s="294">
        <f t="shared" si="6"/>
        <v>0.45068382321565476</v>
      </c>
      <c r="I32" s="209"/>
      <c r="J32" s="209"/>
      <c r="K32" s="36"/>
    </row>
    <row r="33" spans="1:11">
      <c r="A33" s="594">
        <v>73151100209</v>
      </c>
      <c r="B33" s="226" t="s">
        <v>161</v>
      </c>
      <c r="C33" s="227">
        <v>545508</v>
      </c>
      <c r="D33" s="259">
        <v>459903</v>
      </c>
      <c r="E33" s="724">
        <f t="shared" si="5"/>
        <v>0.1861370767313977</v>
      </c>
      <c r="F33" s="228">
        <v>2054301</v>
      </c>
      <c r="G33" s="247">
        <v>1932370</v>
      </c>
      <c r="H33" s="294">
        <f t="shared" si="6"/>
        <v>6.3099199428680849E-2</v>
      </c>
      <c r="I33" s="209"/>
      <c r="J33" s="209"/>
      <c r="K33" s="36"/>
    </row>
    <row r="34" spans="1:11">
      <c r="A34" s="594">
        <v>87149990111</v>
      </c>
      <c r="B34" s="226" t="s">
        <v>163</v>
      </c>
      <c r="C34" s="227">
        <f>VLOOKUP(A34,[25]進出口值表查詢結果!$A$3:$D$19,4,0)</f>
        <v>172645</v>
      </c>
      <c r="D34" s="259">
        <f>VLOOKUP(A34,[26]進出口值表查詢結果!$A$3:$D$19,4,0)</f>
        <v>166913</v>
      </c>
      <c r="E34" s="294">
        <f t="shared" si="5"/>
        <v>3.4341243641897279E-2</v>
      </c>
      <c r="F34" s="228">
        <f>VLOOKUP(A34,[25]進出口值表查詢結果!$A$3:$D$19,3,0)</f>
        <v>4546063</v>
      </c>
      <c r="G34" s="247">
        <f>VLOOKUP(A34,[26]進出口值表查詢結果!$A$3:$E$19,3,0)</f>
        <v>4030737</v>
      </c>
      <c r="H34" s="294">
        <f t="shared" si="6"/>
        <v>0.12784907573974685</v>
      </c>
      <c r="I34" s="209"/>
      <c r="J34" s="209"/>
      <c r="K34" s="36"/>
    </row>
    <row r="35" spans="1:11">
      <c r="A35" s="594">
        <v>87149320906</v>
      </c>
      <c r="B35" s="226" t="s">
        <v>401</v>
      </c>
      <c r="C35" s="227">
        <f>VLOOKUP(A35,[25]進出口值表查詢結果!$A$3:$D$19,4,0)</f>
        <v>230010</v>
      </c>
      <c r="D35" s="259">
        <f>VLOOKUP(A35,[26]進出口值表查詢結果!$A$3:$D$19,4,0)</f>
        <v>171354</v>
      </c>
      <c r="E35" s="724">
        <f t="shared" si="5"/>
        <v>0.34230890437340245</v>
      </c>
      <c r="F35" s="228">
        <f>VLOOKUP(A35,[25]進出口值表查詢結果!$A$3:$D$19,3,0)</f>
        <v>2358191</v>
      </c>
      <c r="G35" s="247">
        <f>VLOOKUP(A35,[26]進出口值表查詢結果!$A$3:$E$19,3,0)</f>
        <v>1370653</v>
      </c>
      <c r="H35" s="294">
        <f t="shared" si="6"/>
        <v>0.72048724221228855</v>
      </c>
      <c r="I35" s="209"/>
      <c r="J35" s="209"/>
      <c r="K35" s="36"/>
    </row>
    <row r="36" spans="1:11">
      <c r="A36" s="594">
        <v>87149990139</v>
      </c>
      <c r="B36" s="226" t="s">
        <v>167</v>
      </c>
      <c r="C36" s="227">
        <f>VLOOKUP(A36,[25]進出口值表查詢結果!$A$3:$D$19,4,0)</f>
        <v>35172</v>
      </c>
      <c r="D36" s="259">
        <f>VLOOKUP(A36,[26]進出口值表查詢結果!$A$3:$D$19,4,0)</f>
        <v>28697</v>
      </c>
      <c r="E36" s="724">
        <f t="shared" si="5"/>
        <v>0.22563334146426456</v>
      </c>
      <c r="F36" s="228">
        <f>VLOOKUP(A36,[25]進出口值表查詢結果!$A$3:$D$19,3,0)</f>
        <v>140758</v>
      </c>
      <c r="G36" s="247">
        <f>VLOOKUP(A36,[26]進出口值表查詢結果!$A$3:$E$19,3,0)</f>
        <v>99900</v>
      </c>
      <c r="H36" s="294">
        <f t="shared" si="6"/>
        <v>0.408988988988989</v>
      </c>
      <c r="I36" s="209"/>
      <c r="J36" s="209"/>
      <c r="K36" s="36"/>
    </row>
    <row r="37" spans="1:11">
      <c r="A37" s="594">
        <v>87149990148</v>
      </c>
      <c r="B37" s="226" t="s">
        <v>169</v>
      </c>
      <c r="C37" s="227">
        <f>VLOOKUP(A37,[25]進出口值表查詢結果!$A$3:$D$19,4,0)</f>
        <v>111811</v>
      </c>
      <c r="D37" s="259">
        <f>VLOOKUP(A37,[26]進出口值表查詢結果!$A$3:$D$19,4,0)</f>
        <v>148304</v>
      </c>
      <c r="E37" s="294">
        <f t="shared" si="5"/>
        <v>-0.2460688855324199</v>
      </c>
      <c r="F37" s="228">
        <f>VLOOKUP(A37,[25]進出口值表查詢結果!$A$3:$D$19,3,0)</f>
        <v>3267287</v>
      </c>
      <c r="G37" s="247">
        <f>VLOOKUP(A37,[26]進出口值表查詢結果!$A$3:$E$19,3,0)</f>
        <v>3466515</v>
      </c>
      <c r="H37" s="294">
        <f t="shared" si="6"/>
        <v>-5.7472129790293709E-2</v>
      </c>
      <c r="I37" s="209"/>
      <c r="J37" s="209"/>
      <c r="K37" s="36"/>
    </row>
    <row r="38" spans="1:11">
      <c r="A38" s="594">
        <v>87149990157</v>
      </c>
      <c r="B38" s="226" t="s">
        <v>171</v>
      </c>
      <c r="C38" s="227">
        <f>VLOOKUP(A38,[25]進出口值表查詢結果!$A$3:$D$19,4,0)</f>
        <v>287506</v>
      </c>
      <c r="D38" s="259">
        <f>VLOOKUP(A38,[26]進出口值表查詢結果!$A$3:$D$19,4,0)</f>
        <v>308255</v>
      </c>
      <c r="E38" s="294">
        <f t="shared" si="5"/>
        <v>-6.73111547257952E-2</v>
      </c>
      <c r="F38" s="228">
        <f>VLOOKUP(A38,[25]進出口值表查詢結果!$A$3:$D$19,3,0)</f>
        <v>12077579</v>
      </c>
      <c r="G38" s="247">
        <f>VLOOKUP(A38,[26]進出口值表查詢結果!$A$3:$E$19,3,0)</f>
        <v>13134601</v>
      </c>
      <c r="H38" s="294">
        <f t="shared" si="6"/>
        <v>-8.0476140843562735E-2</v>
      </c>
      <c r="I38" s="209"/>
      <c r="J38" s="209"/>
      <c r="K38" s="36"/>
    </row>
    <row r="39" spans="1:11">
      <c r="A39" s="594">
        <v>87149990166</v>
      </c>
      <c r="B39" s="226" t="s">
        <v>173</v>
      </c>
      <c r="C39" s="227">
        <f>VLOOKUP(A39,[25]進出口值表查詢結果!$A$3:$D$19,4,0)</f>
        <v>323975</v>
      </c>
      <c r="D39" s="259">
        <f>VLOOKUP(A39,[26]進出口值表查詢結果!$A$3:$D$19,4,0)</f>
        <v>335841</v>
      </c>
      <c r="E39" s="294">
        <f t="shared" si="5"/>
        <v>-3.5332195890317143E-2</v>
      </c>
      <c r="F39" s="228">
        <f>VLOOKUP(A39,[25]進出口值表查詢結果!$A$3:$D$19,3,0)</f>
        <v>23699016</v>
      </c>
      <c r="G39" s="247">
        <f>VLOOKUP(A39,[26]進出口值表查詢結果!$A$3:$E$19,3,0)</f>
        <v>17555594</v>
      </c>
      <c r="H39" s="294">
        <f t="shared" si="6"/>
        <v>0.34994099316719218</v>
      </c>
      <c r="I39" s="209"/>
      <c r="J39" s="209"/>
      <c r="K39" s="36"/>
    </row>
    <row r="40" spans="1:11">
      <c r="A40" s="594">
        <v>40115000008</v>
      </c>
      <c r="B40" s="226" t="s">
        <v>175</v>
      </c>
      <c r="C40" s="227">
        <v>645009</v>
      </c>
      <c r="D40" s="259">
        <v>679083</v>
      </c>
      <c r="E40" s="294">
        <f t="shared" si="5"/>
        <v>-5.0176487999257821E-2</v>
      </c>
      <c r="F40" s="228">
        <v>3484981</v>
      </c>
      <c r="G40" s="247">
        <v>3642731</v>
      </c>
      <c r="H40" s="294">
        <f t="shared" si="6"/>
        <v>-4.3305421124974638E-2</v>
      </c>
      <c r="I40" s="209"/>
      <c r="J40" s="209"/>
      <c r="K40" s="36"/>
    </row>
    <row r="41" spans="1:11">
      <c r="A41" s="594">
        <v>40132000003</v>
      </c>
      <c r="B41" s="226" t="s">
        <v>177</v>
      </c>
      <c r="C41" s="227">
        <v>200305</v>
      </c>
      <c r="D41" s="259">
        <v>223803</v>
      </c>
      <c r="E41" s="294">
        <f t="shared" si="5"/>
        <v>-0.10499412429681461</v>
      </c>
      <c r="F41" s="228">
        <v>1077814</v>
      </c>
      <c r="G41" s="247">
        <v>1174830</v>
      </c>
      <c r="H41" s="294">
        <f t="shared" si="6"/>
        <v>-8.2578756075347065E-2</v>
      </c>
      <c r="I41" s="209"/>
      <c r="J41" s="209"/>
      <c r="K41" s="36"/>
    </row>
    <row r="42" spans="1:11" ht="20.25" thickBot="1">
      <c r="A42" s="260" t="s">
        <v>131</v>
      </c>
      <c r="B42" s="261"/>
      <c r="C42" s="283">
        <f>SUM(C20:C41)</f>
        <v>10313374</v>
      </c>
      <c r="D42" s="283">
        <f>SUM(D20:D41)</f>
        <v>9821130</v>
      </c>
      <c r="E42" s="725">
        <f t="shared" ref="E42" si="7">(C42-D42)/D42</f>
        <v>5.01209127666572E-2</v>
      </c>
      <c r="F42" s="310">
        <f>SUM(F20:F41)</f>
        <v>377041000</v>
      </c>
      <c r="G42" s="311">
        <f>SUM(G20:G41)</f>
        <v>401842826</v>
      </c>
      <c r="H42" s="309">
        <f t="shared" ref="H42" si="8">(F42-G42)/G42</f>
        <v>-6.1720215953289158E-2</v>
      </c>
      <c r="I42" s="4"/>
      <c r="J42" s="4"/>
      <c r="K42" s="36"/>
    </row>
    <row r="43" spans="1:11" ht="8.25" customHeight="1" thickTop="1">
      <c r="A43" s="249"/>
      <c r="B43" s="265"/>
      <c r="C43" s="251"/>
      <c r="D43" s="251"/>
      <c r="E43" s="305"/>
      <c r="F43" s="251"/>
      <c r="G43" s="304"/>
      <c r="H43" s="305"/>
      <c r="I43" s="4"/>
      <c r="J43" s="4"/>
      <c r="K43" s="36"/>
    </row>
    <row r="44" spans="1:11">
      <c r="A44" s="57" t="s">
        <v>178</v>
      </c>
      <c r="B44" s="3"/>
      <c r="C44" s="35"/>
      <c r="D44" s="3"/>
      <c r="E44" s="331"/>
      <c r="F44" s="3"/>
      <c r="G44" s="284"/>
      <c r="H44" s="36"/>
      <c r="I44" s="4"/>
      <c r="J44" s="4"/>
      <c r="K44" s="36"/>
    </row>
    <row r="45" spans="1:11" ht="18">
      <c r="A45" s="153" t="s">
        <v>186</v>
      </c>
      <c r="B45" s="61"/>
      <c r="C45" s="62"/>
      <c r="D45" s="64"/>
      <c r="E45" s="313"/>
      <c r="F45" s="62"/>
      <c r="G45" s="312"/>
      <c r="H45" s="313"/>
      <c r="I45" s="60"/>
      <c r="J45" s="60"/>
      <c r="K45" s="313"/>
    </row>
  </sheetData>
  <mergeCells count="2">
    <mergeCell ref="A1:K1"/>
    <mergeCell ref="A16:H16"/>
  </mergeCells>
  <phoneticPr fontId="3" type="noConversion"/>
  <conditionalFormatting sqref="H1:H2 H4:H1048576">
    <cfRule type="cellIs" dxfId="27" priority="7" operator="lessThanOrEqual">
      <formula>0</formula>
    </cfRule>
    <cfRule type="cellIs" dxfId="26" priority="8" operator="lessThan">
      <formula>0</formula>
    </cfRule>
  </conditionalFormatting>
  <conditionalFormatting sqref="H1:H1048576">
    <cfRule type="cellIs" dxfId="25" priority="1" operator="greaterThanOrEqual">
      <formula>0</formula>
    </cfRule>
    <cfRule type="cellIs" dxfId="24" priority="2" operator="lessThan">
      <formula>0</formula>
    </cfRule>
  </conditionalFormatting>
  <conditionalFormatting sqref="K1:K1048576">
    <cfRule type="cellIs" dxfId="23" priority="3" operator="greaterThanOrEqual">
      <formula>0</formula>
    </cfRule>
    <cfRule type="cellIs" dxfId="22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zoomScale="115" zoomScaleNormal="115" workbookViewId="0">
      <selection activeCell="B4" sqref="B4"/>
    </sheetView>
  </sheetViews>
  <sheetFormatPr defaultRowHeight="16.5"/>
  <cols>
    <col min="1" max="1" width="15.5" customWidth="1"/>
    <col min="2" max="2" width="12.5" customWidth="1"/>
    <col min="3" max="3" width="16.625" customWidth="1"/>
    <col min="4" max="4" width="13.875" customWidth="1"/>
    <col min="5" max="5" width="13" customWidth="1"/>
    <col min="6" max="6" width="10.75" customWidth="1"/>
    <col min="7" max="7" width="13.125" customWidth="1"/>
  </cols>
  <sheetData>
    <row r="1" spans="1:9" ht="23.25">
      <c r="A1" s="66" t="s">
        <v>298</v>
      </c>
      <c r="B1" s="1"/>
      <c r="C1" s="1"/>
      <c r="D1" s="66"/>
      <c r="E1" s="111"/>
      <c r="F1" s="1"/>
      <c r="G1" s="111"/>
      <c r="H1" s="1"/>
      <c r="I1" s="1"/>
    </row>
    <row r="2" spans="1:9">
      <c r="A2" s="4"/>
      <c r="B2" s="4"/>
      <c r="C2" s="138"/>
      <c r="D2" s="138"/>
      <c r="E2" s="113"/>
      <c r="F2" s="138"/>
      <c r="G2" s="180"/>
      <c r="H2" s="4"/>
      <c r="I2" s="138"/>
    </row>
    <row r="3" spans="1:9" ht="21.75">
      <c r="A3" s="356" t="s">
        <v>197</v>
      </c>
      <c r="B3" s="357"/>
      <c r="C3" s="357"/>
      <c r="D3" s="357"/>
      <c r="E3" s="358"/>
      <c r="F3" s="358"/>
      <c r="G3" s="358"/>
      <c r="H3" s="358"/>
      <c r="I3" s="359"/>
    </row>
    <row r="4" spans="1:9" ht="21.75">
      <c r="A4" s="360" t="s">
        <v>198</v>
      </c>
      <c r="B4" s="361"/>
      <c r="C4" s="361"/>
      <c r="D4" s="361"/>
      <c r="E4" s="362"/>
      <c r="F4" s="362"/>
      <c r="G4" s="362"/>
      <c r="H4" s="362"/>
      <c r="I4" s="363"/>
    </row>
    <row r="5" spans="1:9">
      <c r="A5" s="6" t="s">
        <v>299</v>
      </c>
      <c r="B5" s="10" t="s">
        <v>271</v>
      </c>
      <c r="C5" s="10" t="s">
        <v>270</v>
      </c>
      <c r="D5" s="10" t="s">
        <v>1</v>
      </c>
      <c r="E5" s="118" t="s">
        <v>279</v>
      </c>
      <c r="F5" s="10" t="s">
        <v>2</v>
      </c>
      <c r="G5" s="118" t="s">
        <v>280</v>
      </c>
      <c r="H5" s="10" t="s">
        <v>2</v>
      </c>
      <c r="I5" s="187" t="s">
        <v>1</v>
      </c>
    </row>
    <row r="6" spans="1:9">
      <c r="A6" s="12"/>
      <c r="B6" s="10" t="s">
        <v>5</v>
      </c>
      <c r="C6" s="6" t="s">
        <v>4</v>
      </c>
      <c r="D6" s="10" t="s">
        <v>4</v>
      </c>
      <c r="E6" s="118" t="s">
        <v>5</v>
      </c>
      <c r="F6" s="10" t="s">
        <v>5</v>
      </c>
      <c r="G6" s="120" t="s">
        <v>4</v>
      </c>
      <c r="H6" s="6" t="s">
        <v>4</v>
      </c>
      <c r="I6" s="119" t="s">
        <v>4</v>
      </c>
    </row>
    <row r="7" spans="1:9">
      <c r="A7" s="155" t="s">
        <v>6</v>
      </c>
      <c r="B7" s="502"/>
      <c r="C7" s="509"/>
      <c r="D7" s="168"/>
      <c r="E7" s="121"/>
      <c r="F7" s="168"/>
      <c r="G7" s="188"/>
      <c r="H7" s="16"/>
      <c r="I7" s="169"/>
    </row>
    <row r="8" spans="1:9">
      <c r="A8" s="19" t="s">
        <v>7</v>
      </c>
      <c r="B8" s="26">
        <f>SUM(B9:B11)</f>
        <v>78216</v>
      </c>
      <c r="C8" s="510">
        <f>SUM(C9:C11)</f>
        <v>98121837</v>
      </c>
      <c r="D8" s="171">
        <f>C8/B8</f>
        <v>1254.4982740104326</v>
      </c>
      <c r="E8" s="125">
        <f>SUM(E9:E11)</f>
        <v>82553</v>
      </c>
      <c r="F8" s="190">
        <f>E8/$E$64</f>
        <v>0.25149965117306383</v>
      </c>
      <c r="G8" s="191">
        <f>SUM(G9:G11)</f>
        <v>108362698</v>
      </c>
      <c r="H8" s="126">
        <f>G8/$G$64</f>
        <v>0.25099670961605419</v>
      </c>
      <c r="I8" s="177">
        <f>G8/E8</f>
        <v>1312.6439741741669</v>
      </c>
    </row>
    <row r="9" spans="1:9">
      <c r="A9" s="24" t="s">
        <v>66</v>
      </c>
      <c r="B9" s="349">
        <v>71003</v>
      </c>
      <c r="C9" s="349">
        <v>85921306</v>
      </c>
      <c r="D9" s="171">
        <f>C9/B9</f>
        <v>1210.1081081081081</v>
      </c>
      <c r="E9" s="129">
        <f>B9+電動輔助自行車!B9</f>
        <v>74717</v>
      </c>
      <c r="F9" s="192">
        <f>E9/$E$64</f>
        <v>0.22762709334243228</v>
      </c>
      <c r="G9" s="193">
        <f>C9+電動輔助自行車!C9</f>
        <v>94622519</v>
      </c>
      <c r="H9" s="130">
        <f>G9/$G$64</f>
        <v>0.21917081581507475</v>
      </c>
      <c r="I9" s="177">
        <f>G9/E9</f>
        <v>1266.4121819666207</v>
      </c>
    </row>
    <row r="10" spans="1:9">
      <c r="A10" s="29" t="s">
        <v>8</v>
      </c>
      <c r="B10" s="349">
        <v>6694</v>
      </c>
      <c r="C10" s="349">
        <v>11257773</v>
      </c>
      <c r="D10" s="171">
        <f>C10/B10</f>
        <v>1681.7706901703018</v>
      </c>
      <c r="E10" s="129">
        <f>B10+電動輔助自行車!B10</f>
        <v>7317</v>
      </c>
      <c r="F10" s="192">
        <f>E10/$E$64</f>
        <v>2.22914121550193E-2</v>
      </c>
      <c r="G10" s="193">
        <f>C10+電動輔助自行車!C10</f>
        <v>12797421</v>
      </c>
      <c r="H10" s="130">
        <f>G10/$G$64</f>
        <v>2.9642216573191944E-2</v>
      </c>
      <c r="I10" s="177">
        <f>G10/E10</f>
        <v>1748.9983599835998</v>
      </c>
    </row>
    <row r="11" spans="1:9">
      <c r="A11" s="29" t="s">
        <v>9</v>
      </c>
      <c r="B11" s="349">
        <v>519</v>
      </c>
      <c r="C11" s="349">
        <v>942758</v>
      </c>
      <c r="D11" s="171">
        <f>C11/B11</f>
        <v>1816.4894026974953</v>
      </c>
      <c r="E11" s="129">
        <f>B11+電動輔助自行車!B11</f>
        <v>519</v>
      </c>
      <c r="F11" s="192">
        <f>E11/$E$64</f>
        <v>1.5811456756122751E-3</v>
      </c>
      <c r="G11" s="193">
        <f>C11+電動輔助自行車!C11</f>
        <v>942758</v>
      </c>
      <c r="H11" s="130">
        <f>G11/$G$64</f>
        <v>2.1836772277874809E-3</v>
      </c>
      <c r="I11" s="177">
        <f>G11/E11</f>
        <v>1816.4894026974953</v>
      </c>
    </row>
    <row r="12" spans="1:9">
      <c r="A12" s="133"/>
      <c r="B12" s="25"/>
      <c r="C12" s="174"/>
      <c r="D12" s="176"/>
      <c r="E12" s="131"/>
      <c r="F12" s="192"/>
      <c r="G12" s="193"/>
      <c r="H12" s="130"/>
      <c r="I12" s="177"/>
    </row>
    <row r="13" spans="1:9">
      <c r="A13" s="30" t="s">
        <v>10</v>
      </c>
      <c r="B13" s="25">
        <f>SUM(B14:B41)</f>
        <v>200470</v>
      </c>
      <c r="C13" s="174">
        <f>SUM(C14:C41)</f>
        <v>241140866</v>
      </c>
      <c r="D13" s="171">
        <f>C13/B13</f>
        <v>1202.8775677158676</v>
      </c>
      <c r="E13" s="134">
        <f>SUM(E14:E41)</f>
        <v>216915</v>
      </c>
      <c r="F13" s="190">
        <f t="shared" ref="F13:F41" si="0">E13/$E$64</f>
        <v>0.66083663627251765</v>
      </c>
      <c r="G13" s="194">
        <f>SUM(G14:G41)</f>
        <v>269830598</v>
      </c>
      <c r="H13" s="126">
        <f t="shared" ref="H13:H41" si="1">G13/$G$64</f>
        <v>0.62499913255880957</v>
      </c>
      <c r="I13" s="173">
        <f t="shared" ref="I13:I36" si="2">G13/E13</f>
        <v>1243.9462370052786</v>
      </c>
    </row>
    <row r="14" spans="1:9">
      <c r="A14" s="24" t="s">
        <v>11</v>
      </c>
      <c r="B14" s="349">
        <v>102873</v>
      </c>
      <c r="C14" s="349">
        <v>147122578</v>
      </c>
      <c r="D14" s="171">
        <f t="shared" ref="D14:D33" si="3">C14/B14</f>
        <v>1430.1379176265882</v>
      </c>
      <c r="E14" s="129">
        <f>B14+電動輔助自行車!B14</f>
        <v>112497</v>
      </c>
      <c r="F14" s="192">
        <f t="shared" si="0"/>
        <v>0.34272474965193467</v>
      </c>
      <c r="G14" s="193">
        <f>C14+電動輔助自行車!C14</f>
        <v>165075020</v>
      </c>
      <c r="H14" s="130">
        <f t="shared" si="1"/>
        <v>0.38235746824801592</v>
      </c>
      <c r="I14" s="173">
        <f t="shared" si="2"/>
        <v>1467.3726410482057</v>
      </c>
    </row>
    <row r="15" spans="1:9">
      <c r="A15" s="24" t="s">
        <v>12</v>
      </c>
      <c r="B15" s="349">
        <v>27441</v>
      </c>
      <c r="C15" s="349">
        <v>19864318</v>
      </c>
      <c r="D15" s="171">
        <f t="shared" si="3"/>
        <v>723.89191356000151</v>
      </c>
      <c r="E15" s="129">
        <f>B15+電動輔助自行車!B15</f>
        <v>30673</v>
      </c>
      <c r="F15" s="192">
        <f t="shared" si="0"/>
        <v>9.3446014081031425E-2</v>
      </c>
      <c r="G15" s="193">
        <f>C15+電動輔助自行車!C15</f>
        <v>23192326</v>
      </c>
      <c r="H15" s="130">
        <f t="shared" si="1"/>
        <v>5.3719569757693403E-2</v>
      </c>
      <c r="I15" s="173">
        <f t="shared" si="2"/>
        <v>756.1153457438138</v>
      </c>
    </row>
    <row r="16" spans="1:9">
      <c r="A16" s="29" t="s">
        <v>13</v>
      </c>
      <c r="B16" s="349">
        <v>8754</v>
      </c>
      <c r="C16" s="349">
        <v>12031085</v>
      </c>
      <c r="D16" s="171">
        <f t="shared" si="3"/>
        <v>1374.3528672606808</v>
      </c>
      <c r="E16" s="129">
        <f>B16+電動輔助自行車!B16</f>
        <v>9414</v>
      </c>
      <c r="F16" s="192">
        <f t="shared" si="0"/>
        <v>2.8679971850123231E-2</v>
      </c>
      <c r="G16" s="193">
        <f>C16+電動輔助自行車!C16</f>
        <v>13632233</v>
      </c>
      <c r="H16" s="130">
        <f t="shared" si="1"/>
        <v>3.1575862274298407E-2</v>
      </c>
      <c r="I16" s="173">
        <f t="shared" si="2"/>
        <v>1448.0808370512004</v>
      </c>
    </row>
    <row r="17" spans="1:9">
      <c r="A17" s="24" t="s">
        <v>14</v>
      </c>
      <c r="B17" s="349">
        <v>14411</v>
      </c>
      <c r="C17" s="349">
        <v>17341739</v>
      </c>
      <c r="D17" s="171">
        <f t="shared" si="3"/>
        <v>1203.3681909652348</v>
      </c>
      <c r="E17" s="129">
        <f>B17+電動輔助自行車!B49</f>
        <v>15899</v>
      </c>
      <c r="F17" s="192">
        <f t="shared" si="0"/>
        <v>4.8436676486627285E-2</v>
      </c>
      <c r="G17" s="193">
        <f>C17+電動輔助自行車!C49</f>
        <v>20631787</v>
      </c>
      <c r="H17" s="130">
        <f t="shared" si="1"/>
        <v>4.7788683246879675E-2</v>
      </c>
      <c r="I17" s="173">
        <f t="shared" si="2"/>
        <v>1297.6782816529342</v>
      </c>
    </row>
    <row r="18" spans="1:9">
      <c r="A18" s="24" t="s">
        <v>15</v>
      </c>
      <c r="B18" s="349">
        <v>4792</v>
      </c>
      <c r="C18" s="349">
        <v>4294747</v>
      </c>
      <c r="D18" s="171">
        <f t="shared" si="3"/>
        <v>896.2326794657763</v>
      </c>
      <c r="E18" s="129">
        <f>B18+電動輔助自行車!B17</f>
        <v>5241</v>
      </c>
      <c r="F18" s="192">
        <f t="shared" si="0"/>
        <v>1.5966829452570198E-2</v>
      </c>
      <c r="G18" s="193">
        <f>C18+電動輔助自行車!C17</f>
        <v>4946486</v>
      </c>
      <c r="H18" s="130">
        <f t="shared" si="1"/>
        <v>1.1457371707022995E-2</v>
      </c>
      <c r="I18" s="173">
        <f t="shared" si="2"/>
        <v>943.80576225911091</v>
      </c>
    </row>
    <row r="19" spans="1:9">
      <c r="A19" s="29" t="s">
        <v>16</v>
      </c>
      <c r="B19" s="349">
        <v>6635</v>
      </c>
      <c r="C19" s="349">
        <v>11591705</v>
      </c>
      <c r="D19" s="171">
        <f t="shared" si="3"/>
        <v>1747.0542577241899</v>
      </c>
      <c r="E19" s="129">
        <f>B19+電動輔助自行車!B18</f>
        <v>7111</v>
      </c>
      <c r="F19" s="192">
        <f t="shared" si="0"/>
        <v>2.1663828322309994E-2</v>
      </c>
      <c r="G19" s="193">
        <f>C19+電動輔助自行車!C18</f>
        <v>12774192</v>
      </c>
      <c r="H19" s="130">
        <f t="shared" si="1"/>
        <v>2.9588412056736742E-2</v>
      </c>
      <c r="I19" s="173">
        <f t="shared" si="2"/>
        <v>1796.3988187315426</v>
      </c>
    </row>
    <row r="20" spans="1:9">
      <c r="A20" s="29" t="s">
        <v>17</v>
      </c>
      <c r="B20" s="349">
        <v>2411</v>
      </c>
      <c r="C20" s="349">
        <v>2652126</v>
      </c>
      <c r="D20" s="171">
        <f t="shared" si="3"/>
        <v>1100.0107839070924</v>
      </c>
      <c r="E20" s="129">
        <f>B20+電動輔助自行車!B19</f>
        <v>2412</v>
      </c>
      <c r="F20" s="192">
        <f t="shared" si="0"/>
        <v>7.3482145849264116E-3</v>
      </c>
      <c r="G20" s="193">
        <f>C20+電動輔助自行車!C19</f>
        <v>2654614</v>
      </c>
      <c r="H20" s="130">
        <f t="shared" si="1"/>
        <v>6.1487891276083961E-3</v>
      </c>
      <c r="I20" s="173">
        <f t="shared" si="2"/>
        <v>1100.5862354892206</v>
      </c>
    </row>
    <row r="21" spans="1:9">
      <c r="A21" s="24" t="s">
        <v>18</v>
      </c>
      <c r="B21" s="349">
        <v>9184</v>
      </c>
      <c r="C21" s="349">
        <v>6418508</v>
      </c>
      <c r="D21" s="171">
        <f t="shared" si="3"/>
        <v>698.87935540069691</v>
      </c>
      <c r="E21" s="129">
        <f>B21+電動輔助自行車!B20</f>
        <v>9347</v>
      </c>
      <c r="F21" s="192">
        <f t="shared" si="0"/>
        <v>2.847585477831972E-2</v>
      </c>
      <c r="G21" s="193">
        <f>C21+電動輔助自行車!C20</f>
        <v>6760230</v>
      </c>
      <c r="H21" s="130">
        <f t="shared" si="1"/>
        <v>1.5658483200997247E-2</v>
      </c>
      <c r="I21" s="173">
        <f t="shared" si="2"/>
        <v>723.25131058093507</v>
      </c>
    </row>
    <row r="22" spans="1:9">
      <c r="A22" s="29" t="s">
        <v>67</v>
      </c>
      <c r="B22" s="349">
        <v>1</v>
      </c>
      <c r="C22" s="349">
        <v>633</v>
      </c>
      <c r="D22" s="171">
        <f t="shared" si="3"/>
        <v>633</v>
      </c>
      <c r="E22" s="129">
        <f>B22+電動輔助自行車!B21</f>
        <v>1</v>
      </c>
      <c r="F22" s="192">
        <f t="shared" si="0"/>
        <v>3.0465234597539017E-6</v>
      </c>
      <c r="G22" s="193">
        <f>C22+電動輔助自行車!C21</f>
        <v>633</v>
      </c>
      <c r="H22" s="130">
        <f t="shared" si="1"/>
        <v>1.4661956569867086E-6</v>
      </c>
      <c r="I22" s="173">
        <f t="shared" si="2"/>
        <v>633</v>
      </c>
    </row>
    <row r="23" spans="1:9">
      <c r="A23" s="24" t="s">
        <v>20</v>
      </c>
      <c r="B23" s="349">
        <v>0</v>
      </c>
      <c r="C23" s="349">
        <v>0</v>
      </c>
      <c r="D23" s="171">
        <v>0</v>
      </c>
      <c r="E23" s="129">
        <f>B23+電動輔助自行車!B22</f>
        <v>0</v>
      </c>
      <c r="F23" s="192">
        <f t="shared" si="0"/>
        <v>0</v>
      </c>
      <c r="G23" s="193">
        <f>C23+電動輔助自行車!C22</f>
        <v>0</v>
      </c>
      <c r="H23" s="130">
        <f t="shared" si="1"/>
        <v>0</v>
      </c>
      <c r="I23" s="173">
        <v>0</v>
      </c>
    </row>
    <row r="24" spans="1:9">
      <c r="A24" s="29" t="s">
        <v>21</v>
      </c>
      <c r="B24" s="349">
        <v>0</v>
      </c>
      <c r="C24" s="349">
        <v>0</v>
      </c>
      <c r="D24" s="171">
        <v>0</v>
      </c>
      <c r="E24" s="129">
        <f>B24+電動輔助自行車!B23</f>
        <v>0</v>
      </c>
      <c r="F24" s="192">
        <f t="shared" si="0"/>
        <v>0</v>
      </c>
      <c r="G24" s="193">
        <f>C24+電動輔助自行車!C23</f>
        <v>0</v>
      </c>
      <c r="H24" s="130">
        <f t="shared" si="1"/>
        <v>0</v>
      </c>
      <c r="I24" s="173">
        <v>0</v>
      </c>
    </row>
    <row r="25" spans="1:9">
      <c r="A25" s="29" t="s">
        <v>22</v>
      </c>
      <c r="B25" s="349">
        <v>4</v>
      </c>
      <c r="C25" s="349">
        <v>8430</v>
      </c>
      <c r="D25" s="171">
        <f t="shared" si="3"/>
        <v>2107.5</v>
      </c>
      <c r="E25" s="129">
        <f>B25+電動輔助自行車!B24</f>
        <v>4</v>
      </c>
      <c r="F25" s="192">
        <f t="shared" si="0"/>
        <v>1.2186093839015607E-5</v>
      </c>
      <c r="G25" s="193">
        <f>C25+電動輔助自行車!C24</f>
        <v>8430</v>
      </c>
      <c r="H25" s="130">
        <f t="shared" si="1"/>
        <v>1.9526112777879862E-5</v>
      </c>
      <c r="I25" s="173">
        <f t="shared" si="2"/>
        <v>2107.5</v>
      </c>
    </row>
    <row r="26" spans="1:9">
      <c r="A26" s="29" t="s">
        <v>23</v>
      </c>
      <c r="B26" s="349">
        <v>1273</v>
      </c>
      <c r="C26" s="349">
        <v>1743902</v>
      </c>
      <c r="D26" s="171">
        <f t="shared" si="3"/>
        <v>1369.9151610369206</v>
      </c>
      <c r="E26" s="129">
        <f>B26+電動輔助自行車!B25</f>
        <v>1273</v>
      </c>
      <c r="F26" s="192">
        <f t="shared" si="0"/>
        <v>3.878224364266717E-3</v>
      </c>
      <c r="G26" s="193">
        <f>C26+電動輔助自行車!C25</f>
        <v>1743902</v>
      </c>
      <c r="H26" s="130">
        <f t="shared" si="1"/>
        <v>4.0393389235551897E-3</v>
      </c>
      <c r="I26" s="173">
        <f t="shared" si="2"/>
        <v>1369.9151610369206</v>
      </c>
    </row>
    <row r="27" spans="1:9">
      <c r="A27" s="24" t="s">
        <v>24</v>
      </c>
      <c r="B27" s="349">
        <v>15855</v>
      </c>
      <c r="C27" s="349">
        <v>10351043</v>
      </c>
      <c r="D27" s="171">
        <f t="shared" si="3"/>
        <v>652.85670135603914</v>
      </c>
      <c r="E27" s="129">
        <f>B27+電動輔助自行車!B26</f>
        <v>16029</v>
      </c>
      <c r="F27" s="192">
        <f t="shared" si="0"/>
        <v>4.883272453639529E-2</v>
      </c>
      <c r="G27" s="193">
        <f>C27+電動輔助自行車!C26</f>
        <v>10410852</v>
      </c>
      <c r="H27" s="130">
        <f t="shared" si="1"/>
        <v>2.4114290660239162E-2</v>
      </c>
      <c r="I27" s="173">
        <f t="shared" si="2"/>
        <v>649.50102938424106</v>
      </c>
    </row>
    <row r="28" spans="1:9">
      <c r="A28" s="24" t="s">
        <v>25</v>
      </c>
      <c r="B28" s="349">
        <v>1201</v>
      </c>
      <c r="C28" s="349">
        <v>1390020</v>
      </c>
      <c r="D28" s="171">
        <f t="shared" si="3"/>
        <v>1157.3855120732724</v>
      </c>
      <c r="E28" s="129">
        <f>B28+電動輔助自行車!B27</f>
        <v>1201</v>
      </c>
      <c r="F28" s="192">
        <f t="shared" si="0"/>
        <v>3.658874675164436E-3</v>
      </c>
      <c r="G28" s="193">
        <f>C28+電動輔助自行車!C27</f>
        <v>1390020</v>
      </c>
      <c r="H28" s="130">
        <f t="shared" si="1"/>
        <v>3.2196544820294859E-3</v>
      </c>
      <c r="I28" s="173">
        <f t="shared" si="2"/>
        <v>1157.3855120732724</v>
      </c>
    </row>
    <row r="29" spans="1:9">
      <c r="A29" s="29" t="s">
        <v>76</v>
      </c>
      <c r="B29" s="349">
        <v>873</v>
      </c>
      <c r="C29" s="349">
        <v>1398991</v>
      </c>
      <c r="D29" s="171">
        <f t="shared" si="3"/>
        <v>1602.5097365406643</v>
      </c>
      <c r="E29" s="129">
        <f>B29+電動輔助自行車!B28</f>
        <v>1051</v>
      </c>
      <c r="F29" s="192">
        <f t="shared" si="0"/>
        <v>3.201896156201351E-3</v>
      </c>
      <c r="G29" s="193">
        <f>C29+電動輔助自行車!C28</f>
        <v>1678832</v>
      </c>
      <c r="H29" s="130">
        <f t="shared" si="1"/>
        <v>3.8886195690526226E-3</v>
      </c>
      <c r="I29" s="173">
        <f t="shared" si="2"/>
        <v>1597.3663177925785</v>
      </c>
    </row>
    <row r="30" spans="1:9">
      <c r="A30" s="29" t="s">
        <v>77</v>
      </c>
      <c r="B30" s="349">
        <v>4306</v>
      </c>
      <c r="C30" s="349">
        <v>4133443</v>
      </c>
      <c r="D30" s="171">
        <f t="shared" si="3"/>
        <v>959.92638179284722</v>
      </c>
      <c r="E30" s="129">
        <f>B30+電動輔助自行車!B29</f>
        <v>4306</v>
      </c>
      <c r="F30" s="192">
        <f t="shared" si="0"/>
        <v>1.3118330017700301E-2</v>
      </c>
      <c r="G30" s="193">
        <f>C30+電動輔助自行車!C29</f>
        <v>4133443</v>
      </c>
      <c r="H30" s="130">
        <f t="shared" si="1"/>
        <v>9.5741487756747425E-3</v>
      </c>
      <c r="I30" s="173">
        <f t="shared" si="2"/>
        <v>959.92638179284722</v>
      </c>
    </row>
    <row r="31" spans="1:9">
      <c r="A31" s="29" t="s">
        <v>26</v>
      </c>
      <c r="B31" s="349">
        <v>0</v>
      </c>
      <c r="C31" s="349">
        <v>0</v>
      </c>
      <c r="D31" s="171">
        <v>0</v>
      </c>
      <c r="E31" s="129">
        <f>B31+電動輔助自行車!B30</f>
        <v>0</v>
      </c>
      <c r="F31" s="192">
        <f t="shared" si="0"/>
        <v>0</v>
      </c>
      <c r="G31" s="193">
        <f>C31+電動輔助自行車!C30</f>
        <v>0</v>
      </c>
      <c r="H31" s="130">
        <f t="shared" si="1"/>
        <v>0</v>
      </c>
      <c r="I31" s="173">
        <v>0</v>
      </c>
    </row>
    <row r="32" spans="1:9">
      <c r="A32" s="29" t="s">
        <v>27</v>
      </c>
      <c r="B32" s="349">
        <v>0</v>
      </c>
      <c r="C32" s="349">
        <v>0</v>
      </c>
      <c r="D32" s="171">
        <v>0</v>
      </c>
      <c r="E32" s="129">
        <f>B32+電動輔助自行車!B31</f>
        <v>0</v>
      </c>
      <c r="F32" s="192">
        <f t="shared" si="0"/>
        <v>0</v>
      </c>
      <c r="G32" s="193">
        <f>C32+電動輔助自行車!C31</f>
        <v>0</v>
      </c>
      <c r="H32" s="130">
        <f t="shared" si="1"/>
        <v>0</v>
      </c>
      <c r="I32" s="173">
        <v>0</v>
      </c>
    </row>
    <row r="33" spans="1:9">
      <c r="A33" s="29" t="s">
        <v>28</v>
      </c>
      <c r="B33" s="349">
        <v>436</v>
      </c>
      <c r="C33" s="349">
        <v>767996</v>
      </c>
      <c r="D33" s="171">
        <f t="shared" si="3"/>
        <v>1761.4587155963302</v>
      </c>
      <c r="E33" s="129">
        <f>B33+電動輔助自行車!B32</f>
        <v>436</v>
      </c>
      <c r="F33" s="192">
        <f t="shared" si="0"/>
        <v>1.3282842284527013E-3</v>
      </c>
      <c r="G33" s="193">
        <f>C33+電動輔助自行車!C32</f>
        <v>767996</v>
      </c>
      <c r="H33" s="130">
        <f t="shared" si="1"/>
        <v>1.7788821481566576E-3</v>
      </c>
      <c r="I33" s="173">
        <f t="shared" si="2"/>
        <v>1761.4587155963302</v>
      </c>
    </row>
    <row r="34" spans="1:9">
      <c r="A34" s="29" t="s">
        <v>29</v>
      </c>
      <c r="B34" s="349">
        <v>0</v>
      </c>
      <c r="C34" s="349">
        <v>0</v>
      </c>
      <c r="D34" s="171">
        <v>0</v>
      </c>
      <c r="E34" s="129">
        <f>B34+電動輔助自行車!B33</f>
        <v>0</v>
      </c>
      <c r="F34" s="192">
        <f t="shared" si="0"/>
        <v>0</v>
      </c>
      <c r="G34" s="193">
        <f>C34+電動輔助自行車!C33</f>
        <v>0</v>
      </c>
      <c r="H34" s="130">
        <f t="shared" si="1"/>
        <v>0</v>
      </c>
      <c r="I34" s="173">
        <v>0</v>
      </c>
    </row>
    <row r="35" spans="1:9">
      <c r="A35" s="29" t="s">
        <v>30</v>
      </c>
      <c r="B35" s="349">
        <v>0</v>
      </c>
      <c r="C35" s="349">
        <v>0</v>
      </c>
      <c r="D35" s="171">
        <v>0</v>
      </c>
      <c r="E35" s="129">
        <f>B35+電動輔助自行車!B34</f>
        <v>0</v>
      </c>
      <c r="F35" s="192">
        <f t="shared" si="0"/>
        <v>0</v>
      </c>
      <c r="G35" s="193">
        <f>C35+電動輔助自行車!C34</f>
        <v>0</v>
      </c>
      <c r="H35" s="130">
        <f t="shared" si="1"/>
        <v>0</v>
      </c>
      <c r="I35" s="173">
        <v>0</v>
      </c>
    </row>
    <row r="36" spans="1:9">
      <c r="A36" s="29" t="s">
        <v>31</v>
      </c>
      <c r="B36" s="349">
        <v>20</v>
      </c>
      <c r="C36" s="349">
        <v>29602</v>
      </c>
      <c r="D36" s="171">
        <v>0</v>
      </c>
      <c r="E36" s="129">
        <f>B36+電動輔助自行車!B35</f>
        <v>20</v>
      </c>
      <c r="F36" s="192">
        <f t="shared" si="0"/>
        <v>6.0930469195078034E-5</v>
      </c>
      <c r="G36" s="193">
        <f>C36+電動輔助自行車!C35</f>
        <v>29602</v>
      </c>
      <c r="H36" s="130">
        <f t="shared" si="1"/>
        <v>6.8566072414092498E-5</v>
      </c>
      <c r="I36" s="173">
        <f t="shared" si="2"/>
        <v>1480.1</v>
      </c>
    </row>
    <row r="37" spans="1:9">
      <c r="A37" s="29" t="s">
        <v>32</v>
      </c>
      <c r="B37" s="349">
        <v>0</v>
      </c>
      <c r="C37" s="349">
        <v>0</v>
      </c>
      <c r="D37" s="171">
        <v>0</v>
      </c>
      <c r="E37" s="129">
        <f>B37+電動輔助自行車!B36</f>
        <v>0</v>
      </c>
      <c r="F37" s="192">
        <f t="shared" si="0"/>
        <v>0</v>
      </c>
      <c r="G37" s="193">
        <f>C37+電動輔助自行車!C36</f>
        <v>0</v>
      </c>
      <c r="H37" s="130">
        <f t="shared" si="1"/>
        <v>0</v>
      </c>
      <c r="I37" s="173">
        <v>0</v>
      </c>
    </row>
    <row r="38" spans="1:9">
      <c r="A38" s="29" t="s">
        <v>78</v>
      </c>
      <c r="B38" s="349">
        <v>0</v>
      </c>
      <c r="C38" s="349">
        <v>0</v>
      </c>
      <c r="D38" s="171">
        <v>0</v>
      </c>
      <c r="E38" s="129">
        <f>B38+電動輔助自行車!B37</f>
        <v>0</v>
      </c>
      <c r="F38" s="192">
        <f t="shared" si="0"/>
        <v>0</v>
      </c>
      <c r="G38" s="193">
        <f>C38+電動輔助自行車!C37</f>
        <v>0</v>
      </c>
      <c r="H38" s="130">
        <f t="shared" si="1"/>
        <v>0</v>
      </c>
      <c r="I38" s="173">
        <v>0</v>
      </c>
    </row>
    <row r="39" spans="1:9">
      <c r="A39" s="29" t="s">
        <v>34</v>
      </c>
      <c r="B39" s="349">
        <v>0</v>
      </c>
      <c r="C39" s="349">
        <v>0</v>
      </c>
      <c r="D39" s="171">
        <v>0</v>
      </c>
      <c r="E39" s="129">
        <f>B39+電動輔助自行車!B38</f>
        <v>0</v>
      </c>
      <c r="F39" s="192">
        <f t="shared" si="0"/>
        <v>0</v>
      </c>
      <c r="G39" s="193">
        <f>C39+電動輔助自行車!C38</f>
        <v>0</v>
      </c>
      <c r="H39" s="130">
        <f t="shared" si="1"/>
        <v>0</v>
      </c>
      <c r="I39" s="173">
        <v>0</v>
      </c>
    </row>
    <row r="40" spans="1:9">
      <c r="A40" s="29" t="s">
        <v>35</v>
      </c>
      <c r="B40" s="349">
        <v>0</v>
      </c>
      <c r="C40" s="349">
        <v>0</v>
      </c>
      <c r="D40" s="171">
        <v>0</v>
      </c>
      <c r="E40" s="129">
        <f>B40+電動輔助自行車!B39</f>
        <v>0</v>
      </c>
      <c r="F40" s="192">
        <f t="shared" si="0"/>
        <v>0</v>
      </c>
      <c r="G40" s="193">
        <f>C40+電動輔助自行車!C39</f>
        <v>0</v>
      </c>
      <c r="H40" s="130">
        <f t="shared" si="1"/>
        <v>0</v>
      </c>
      <c r="I40" s="173">
        <v>0</v>
      </c>
    </row>
    <row r="41" spans="1:9">
      <c r="A41" s="29" t="s">
        <v>79</v>
      </c>
      <c r="B41" s="349">
        <v>0</v>
      </c>
      <c r="C41" s="349">
        <v>0</v>
      </c>
      <c r="D41" s="171">
        <v>0</v>
      </c>
      <c r="E41" s="129">
        <f>B41+電動輔助自行車!B40</f>
        <v>0</v>
      </c>
      <c r="F41" s="192">
        <f t="shared" si="0"/>
        <v>0</v>
      </c>
      <c r="G41" s="193">
        <f>C41+電動輔助自行車!C40</f>
        <v>0</v>
      </c>
      <c r="H41" s="130">
        <f t="shared" si="1"/>
        <v>0</v>
      </c>
      <c r="I41" s="173">
        <v>0</v>
      </c>
    </row>
    <row r="42" spans="1:9">
      <c r="A42" s="29"/>
      <c r="B42" s="25"/>
      <c r="C42" s="174"/>
      <c r="D42" s="176"/>
      <c r="E42" s="129"/>
      <c r="F42" s="192"/>
      <c r="G42" s="193"/>
      <c r="H42" s="130"/>
      <c r="I42" s="177"/>
    </row>
    <row r="43" spans="1:9">
      <c r="A43" s="32" t="s">
        <v>37</v>
      </c>
      <c r="B43" s="25">
        <f>SUM(B44:B47)</f>
        <v>11020</v>
      </c>
      <c r="C43" s="174">
        <f>SUM(C44:C47)</f>
        <v>17563748</v>
      </c>
      <c r="D43" s="171">
        <f>C43/B43</f>
        <v>1593.8065335753176</v>
      </c>
      <c r="E43" s="134">
        <f>SUM(E44:E47)</f>
        <v>11441</v>
      </c>
      <c r="F43" s="190">
        <f>E43/$E$64</f>
        <v>3.4855274903044388E-2</v>
      </c>
      <c r="G43" s="194">
        <f>SUM(G44:G47)</f>
        <v>18302090</v>
      </c>
      <c r="H43" s="126">
        <f>G43/$G$64</f>
        <v>4.2392487949099319E-2</v>
      </c>
      <c r="I43" s="173">
        <f>G43/E43</f>
        <v>1599.6932086356087</v>
      </c>
    </row>
    <row r="44" spans="1:9">
      <c r="A44" s="24" t="s">
        <v>38</v>
      </c>
      <c r="B44" s="349">
        <v>7901</v>
      </c>
      <c r="C44" s="349">
        <v>13521847</v>
      </c>
      <c r="D44" s="171">
        <f>C44/B44</f>
        <v>1711.4095684090621</v>
      </c>
      <c r="E44" s="129">
        <f>B44+電動輔助自行車!B43</f>
        <v>7919</v>
      </c>
      <c r="F44" s="192">
        <f>E44/$E$64</f>
        <v>2.412541927779115E-2</v>
      </c>
      <c r="G44" s="193">
        <f>C44+電動輔助自行車!C43</f>
        <v>13569567</v>
      </c>
      <c r="H44" s="130">
        <f>G44/$G$64</f>
        <v>3.143071122052158E-2</v>
      </c>
      <c r="I44" s="173">
        <f>G44/E44</f>
        <v>1713.5455234246749</v>
      </c>
    </row>
    <row r="45" spans="1:9">
      <c r="A45" s="24" t="s">
        <v>39</v>
      </c>
      <c r="B45" s="349">
        <v>3078</v>
      </c>
      <c r="C45" s="349">
        <v>4015482</v>
      </c>
      <c r="D45" s="171">
        <f>C45/B45</f>
        <v>1304.5750487329435</v>
      </c>
      <c r="E45" s="129">
        <f>B45+電動輔助自行車!B44</f>
        <v>3481</v>
      </c>
      <c r="F45" s="192">
        <f>E45/$E$64</f>
        <v>1.0604948163403332E-2</v>
      </c>
      <c r="G45" s="193">
        <f>C45+電動輔助自行車!C44</f>
        <v>4706104</v>
      </c>
      <c r="H45" s="130">
        <f>G45/$G$64</f>
        <v>1.0900583327216077E-2</v>
      </c>
      <c r="I45" s="173">
        <f>G45/E45</f>
        <v>1351.9402470554439</v>
      </c>
    </row>
    <row r="46" spans="1:9">
      <c r="A46" s="24" t="s">
        <v>40</v>
      </c>
      <c r="B46" s="349">
        <v>41</v>
      </c>
      <c r="C46" s="349">
        <v>26419</v>
      </c>
      <c r="D46" s="171">
        <f>C46/B46</f>
        <v>644.36585365853659</v>
      </c>
      <c r="E46" s="129">
        <f>B46+電動輔助自行車!B45</f>
        <v>41</v>
      </c>
      <c r="F46" s="192">
        <f>E46/$E$64</f>
        <v>1.2490746184990996E-4</v>
      </c>
      <c r="G46" s="193">
        <f>C46+電動輔助自行車!C45</f>
        <v>26419</v>
      </c>
      <c r="H46" s="130">
        <f>G46/$G$64</f>
        <v>6.1193401361661702E-5</v>
      </c>
      <c r="I46" s="173">
        <f>G46/E46</f>
        <v>644.36585365853659</v>
      </c>
    </row>
    <row r="47" spans="1:9">
      <c r="A47" s="29" t="s">
        <v>41</v>
      </c>
      <c r="B47" s="349">
        <v>0</v>
      </c>
      <c r="C47" s="349">
        <v>0</v>
      </c>
      <c r="D47" s="171">
        <v>0</v>
      </c>
      <c r="E47" s="129">
        <f>B47+電動輔助自行車!B46</f>
        <v>0</v>
      </c>
      <c r="F47" s="192">
        <f>E47/$E$64</f>
        <v>0</v>
      </c>
      <c r="G47" s="193">
        <f>C47+電動輔助自行車!C46</f>
        <v>0</v>
      </c>
      <c r="H47" s="130">
        <f>G47/$G$64</f>
        <v>0</v>
      </c>
      <c r="I47" s="173">
        <v>0</v>
      </c>
    </row>
    <row r="48" spans="1:9">
      <c r="A48" s="29"/>
      <c r="B48" s="25"/>
      <c r="C48" s="174"/>
      <c r="D48" s="176"/>
      <c r="E48" s="131"/>
      <c r="F48" s="192"/>
      <c r="G48" s="193"/>
      <c r="H48" s="130"/>
      <c r="I48" s="177"/>
    </row>
    <row r="49" spans="1:9">
      <c r="A49" s="32" t="s">
        <v>42</v>
      </c>
      <c r="B49" s="174">
        <f>SUM(B50:B62)</f>
        <v>13421</v>
      </c>
      <c r="C49" s="174">
        <f>SUM(C50:C62)</f>
        <v>25402291</v>
      </c>
      <c r="D49" s="171">
        <f>C49/B49</f>
        <v>1892.7271440280158</v>
      </c>
      <c r="E49" s="134">
        <f>SUM(E50:E62)</f>
        <v>15454</v>
      </c>
      <c r="F49" s="190">
        <f t="shared" ref="F49:F64" si="4">E49/$E$64</f>
        <v>4.7080973547036796E-2</v>
      </c>
      <c r="G49" s="194">
        <f>SUM(G50:G62)</f>
        <v>31060601</v>
      </c>
      <c r="H49" s="126">
        <f t="shared" ref="H49:H64" si="5">G49/$G$64</f>
        <v>7.1944578656551378E-2</v>
      </c>
      <c r="I49" s="173">
        <f>G49/E49</f>
        <v>2009.8745308657954</v>
      </c>
    </row>
    <row r="50" spans="1:9">
      <c r="A50" s="364" t="s">
        <v>43</v>
      </c>
      <c r="B50" s="349">
        <v>2706</v>
      </c>
      <c r="C50" s="349">
        <v>3890309</v>
      </c>
      <c r="D50" s="171">
        <f>C50/B50</f>
        <v>1437.6603843311161</v>
      </c>
      <c r="E50" s="129">
        <f>B50+電動輔助自行車!B50</f>
        <v>2923</v>
      </c>
      <c r="F50" s="192">
        <f t="shared" si="4"/>
        <v>8.9049880728606558E-3</v>
      </c>
      <c r="G50" s="193">
        <f>C50+電動輔助自行車!C50</f>
        <v>4085461</v>
      </c>
      <c r="H50" s="130">
        <f t="shared" si="5"/>
        <v>9.4630097551162331E-3</v>
      </c>
      <c r="I50" s="173">
        <f>G50/E50</f>
        <v>1397.6944919603147</v>
      </c>
    </row>
    <row r="51" spans="1:9">
      <c r="A51" s="364" t="s">
        <v>44</v>
      </c>
      <c r="B51" s="349">
        <v>0</v>
      </c>
      <c r="C51" s="349">
        <v>0</v>
      </c>
      <c r="D51" s="171">
        <v>0</v>
      </c>
      <c r="E51" s="129">
        <f>B51+電動輔助自行車!B51</f>
        <v>0</v>
      </c>
      <c r="F51" s="192">
        <f t="shared" si="4"/>
        <v>0</v>
      </c>
      <c r="G51" s="193">
        <f>C51+電動輔助自行車!C51</f>
        <v>0</v>
      </c>
      <c r="H51" s="130">
        <f t="shared" si="5"/>
        <v>0</v>
      </c>
      <c r="I51" s="173">
        <v>0</v>
      </c>
    </row>
    <row r="52" spans="1:9">
      <c r="A52" s="364" t="s">
        <v>45</v>
      </c>
      <c r="B52" s="349">
        <v>528</v>
      </c>
      <c r="C52" s="349">
        <v>989616</v>
      </c>
      <c r="D52" s="171">
        <f t="shared" ref="D52:D62" si="6">C52/B52</f>
        <v>1874.2727272727273</v>
      </c>
      <c r="E52" s="129">
        <f>B52+電動輔助自行車!B52</f>
        <v>895</v>
      </c>
      <c r="F52" s="192">
        <f t="shared" si="4"/>
        <v>2.7266384964797423E-3</v>
      </c>
      <c r="G52" s="193">
        <f>C52+電動輔助自行車!C52</f>
        <v>2341481</v>
      </c>
      <c r="H52" s="130">
        <f t="shared" si="5"/>
        <v>5.4234901629018886E-3</v>
      </c>
      <c r="I52" s="173">
        <f t="shared" ref="I52:I62" si="7">G52/E52</f>
        <v>2616.1798882681564</v>
      </c>
    </row>
    <row r="53" spans="1:9">
      <c r="A53" s="137" t="s">
        <v>46</v>
      </c>
      <c r="B53" s="349">
        <v>10</v>
      </c>
      <c r="C53" s="349">
        <v>17921</v>
      </c>
      <c r="D53" s="171">
        <f t="shared" si="6"/>
        <v>1792.1</v>
      </c>
      <c r="E53" s="129">
        <f>B53+電動輔助自行車!B53</f>
        <v>106</v>
      </c>
      <c r="F53" s="192">
        <f t="shared" si="4"/>
        <v>3.2293148673391358E-4</v>
      </c>
      <c r="G53" s="193">
        <f>C53+電動輔助自行車!C53</f>
        <v>318814</v>
      </c>
      <c r="H53" s="130">
        <f t="shared" si="5"/>
        <v>7.384576653816122E-4</v>
      </c>
      <c r="I53" s="173">
        <f t="shared" si="7"/>
        <v>3007.6792452830186</v>
      </c>
    </row>
    <row r="54" spans="1:9">
      <c r="A54" s="364" t="s">
        <v>47</v>
      </c>
      <c r="B54" s="349">
        <v>745</v>
      </c>
      <c r="C54" s="349">
        <v>1519213</v>
      </c>
      <c r="D54" s="171">
        <f t="shared" si="6"/>
        <v>2039.2120805369127</v>
      </c>
      <c r="E54" s="129">
        <f>B54+電動輔助自行車!B54</f>
        <v>926</v>
      </c>
      <c r="F54" s="192">
        <f t="shared" si="4"/>
        <v>2.821080723732113E-3</v>
      </c>
      <c r="G54" s="193">
        <f>C54+電動輔助自行車!C54</f>
        <v>2091526</v>
      </c>
      <c r="H54" s="130">
        <f t="shared" si="5"/>
        <v>4.8445281795810157E-3</v>
      </c>
      <c r="I54" s="173">
        <f t="shared" si="7"/>
        <v>2258.6673866090714</v>
      </c>
    </row>
    <row r="55" spans="1:9">
      <c r="A55" s="137" t="s">
        <v>48</v>
      </c>
      <c r="B55" s="349">
        <v>4856</v>
      </c>
      <c r="C55" s="349">
        <v>9599018</v>
      </c>
      <c r="D55" s="171">
        <f t="shared" si="6"/>
        <v>1976.7335255354201</v>
      </c>
      <c r="E55" s="129">
        <f>B55+電動輔助自行車!B55</f>
        <v>5105</v>
      </c>
      <c r="F55" s="192">
        <f t="shared" si="4"/>
        <v>1.5552502262043669E-2</v>
      </c>
      <c r="G55" s="193">
        <f>C55+電動輔助自行車!C55</f>
        <v>10296275</v>
      </c>
      <c r="H55" s="130">
        <f t="shared" si="5"/>
        <v>2.3848899981265125E-2</v>
      </c>
      <c r="I55" s="173">
        <f t="shared" si="7"/>
        <v>2016.900097943193</v>
      </c>
    </row>
    <row r="56" spans="1:9">
      <c r="A56" s="137" t="s">
        <v>199</v>
      </c>
      <c r="B56" s="349">
        <v>250</v>
      </c>
      <c r="C56" s="349">
        <v>653398</v>
      </c>
      <c r="D56" s="171">
        <f t="shared" si="6"/>
        <v>2613.5920000000001</v>
      </c>
      <c r="E56" s="129">
        <f>B56+電動輔助自行車!B56</f>
        <v>250</v>
      </c>
      <c r="F56" s="192">
        <f t="shared" si="4"/>
        <v>7.6163086493847545E-4</v>
      </c>
      <c r="G56" s="193">
        <f>C56+電動輔助自行車!C56</f>
        <v>653398</v>
      </c>
      <c r="H56" s="130">
        <f t="shared" si="5"/>
        <v>1.5134428276205394E-3</v>
      </c>
      <c r="I56" s="173">
        <f t="shared" si="7"/>
        <v>2613.5920000000001</v>
      </c>
    </row>
    <row r="57" spans="1:9">
      <c r="A57" s="137" t="s">
        <v>50</v>
      </c>
      <c r="B57" s="349">
        <v>56</v>
      </c>
      <c r="C57" s="349">
        <v>38697</v>
      </c>
      <c r="D57" s="171">
        <f t="shared" si="6"/>
        <v>691.01785714285711</v>
      </c>
      <c r="E57" s="129">
        <f>B57+電動輔助自行車!B57</f>
        <v>56</v>
      </c>
      <c r="F57" s="192">
        <f t="shared" si="4"/>
        <v>1.7060531374621851E-4</v>
      </c>
      <c r="G57" s="193">
        <f>C57+電動輔助自行車!C57</f>
        <v>38697</v>
      </c>
      <c r="H57" s="130">
        <f t="shared" si="5"/>
        <v>8.9632501324509736E-5</v>
      </c>
      <c r="I57" s="173">
        <f t="shared" si="7"/>
        <v>691.01785714285711</v>
      </c>
    </row>
    <row r="58" spans="1:9">
      <c r="A58" s="137" t="s">
        <v>81</v>
      </c>
      <c r="B58" s="349">
        <v>902</v>
      </c>
      <c r="C58" s="349">
        <v>2114989</v>
      </c>
      <c r="D58" s="171">
        <f t="shared" si="6"/>
        <v>2344.7771618625279</v>
      </c>
      <c r="E58" s="129">
        <f>B58+電動輔助自行車!B58</f>
        <v>925</v>
      </c>
      <c r="F58" s="192">
        <f t="shared" si="4"/>
        <v>2.8180342002723591E-3</v>
      </c>
      <c r="G58" s="193">
        <f>C58+電動輔助自行車!C58</f>
        <v>2185930</v>
      </c>
      <c r="H58" s="130">
        <f t="shared" si="5"/>
        <v>5.0631928475149387E-3</v>
      </c>
      <c r="I58" s="173">
        <f t="shared" si="7"/>
        <v>2363.1675675675674</v>
      </c>
    </row>
    <row r="59" spans="1:9">
      <c r="A59" s="137" t="s">
        <v>51</v>
      </c>
      <c r="B59" s="349">
        <v>181</v>
      </c>
      <c r="C59" s="349">
        <v>463384</v>
      </c>
      <c r="D59" s="171">
        <f t="shared" si="6"/>
        <v>2560.1325966850827</v>
      </c>
      <c r="E59" s="129">
        <f>B59+電動輔助自行車!B59</f>
        <v>181</v>
      </c>
      <c r="F59" s="192">
        <f t="shared" si="4"/>
        <v>5.5142074621545624E-4</v>
      </c>
      <c r="G59" s="193">
        <f>C59+電動輔助自行車!C59</f>
        <v>463384</v>
      </c>
      <c r="H59" s="130">
        <f t="shared" si="5"/>
        <v>1.0733200763303776E-3</v>
      </c>
      <c r="I59" s="173">
        <f t="shared" si="7"/>
        <v>2560.1325966850827</v>
      </c>
    </row>
    <row r="60" spans="1:9">
      <c r="A60" s="137" t="s">
        <v>52</v>
      </c>
      <c r="B60" s="349">
        <v>0</v>
      </c>
      <c r="C60" s="349">
        <v>0</v>
      </c>
      <c r="D60" s="171">
        <v>0</v>
      </c>
      <c r="E60" s="129">
        <f>B60+電動輔助自行車!B60</f>
        <v>0</v>
      </c>
      <c r="F60" s="192">
        <f t="shared" si="4"/>
        <v>0</v>
      </c>
      <c r="G60" s="193">
        <f>C60+電動輔助自行車!C60</f>
        <v>0</v>
      </c>
      <c r="H60" s="130">
        <f t="shared" si="5"/>
        <v>0</v>
      </c>
      <c r="I60" s="173">
        <v>0</v>
      </c>
    </row>
    <row r="61" spans="1:9">
      <c r="A61" s="137" t="s">
        <v>53</v>
      </c>
      <c r="B61" s="349">
        <v>2272</v>
      </c>
      <c r="C61" s="349">
        <v>4272876</v>
      </c>
      <c r="D61" s="171">
        <f t="shared" si="6"/>
        <v>1880.6672535211267</v>
      </c>
      <c r="E61" s="129">
        <f>B61+電動輔助自行車!B61</f>
        <v>2704</v>
      </c>
      <c r="F61" s="192">
        <f t="shared" si="4"/>
        <v>8.2377994351745514E-3</v>
      </c>
      <c r="G61" s="193">
        <f>C61+電動輔助自行車!C61</f>
        <v>5276385</v>
      </c>
      <c r="H61" s="130">
        <f t="shared" si="5"/>
        <v>1.2221505168388332E-2</v>
      </c>
      <c r="I61" s="173">
        <f t="shared" si="7"/>
        <v>1951.3258136094676</v>
      </c>
    </row>
    <row r="62" spans="1:9">
      <c r="A62" s="137" t="s">
        <v>82</v>
      </c>
      <c r="B62" s="349">
        <v>915</v>
      </c>
      <c r="C62" s="349">
        <v>1842870</v>
      </c>
      <c r="D62" s="171">
        <f t="shared" si="6"/>
        <v>2014.0655737704917</v>
      </c>
      <c r="E62" s="129">
        <f>B62+電動輔助自行車!B62</f>
        <v>1383</v>
      </c>
      <c r="F62" s="192">
        <f t="shared" si="4"/>
        <v>4.2133419448396464E-3</v>
      </c>
      <c r="G62" s="193">
        <f>C62+電動輔助自行車!C62</f>
        <v>3309250</v>
      </c>
      <c r="H62" s="130">
        <f t="shared" si="5"/>
        <v>7.6650994911268014E-3</v>
      </c>
      <c r="I62" s="173">
        <f t="shared" si="7"/>
        <v>2392.8054953000724</v>
      </c>
    </row>
    <row r="63" spans="1:9">
      <c r="A63" s="29" t="s">
        <v>56</v>
      </c>
      <c r="B63" s="25">
        <f>B64-B49-B43-B13-B8</f>
        <v>1514</v>
      </c>
      <c r="C63" s="25">
        <f>C64-C49-C43-C13-C8</f>
        <v>2936695</v>
      </c>
      <c r="D63" s="176">
        <f>C63/B63</f>
        <v>1939.6928665785997</v>
      </c>
      <c r="E63" s="131">
        <f>E64-E49-E43-E13-E8</f>
        <v>1880</v>
      </c>
      <c r="F63" s="192">
        <f t="shared" si="4"/>
        <v>5.7274641043373355E-3</v>
      </c>
      <c r="G63" s="131">
        <f>G64-G49-G43-G13-G8</f>
        <v>4173569</v>
      </c>
      <c r="H63" s="130">
        <f t="shared" si="5"/>
        <v>9.6670912194855609E-3</v>
      </c>
      <c r="I63" s="177">
        <f>G63/E63</f>
        <v>2219.983510638298</v>
      </c>
    </row>
    <row r="64" spans="1:9">
      <c r="A64" s="30" t="s">
        <v>57</v>
      </c>
      <c r="B64" s="508">
        <v>304641</v>
      </c>
      <c r="C64" s="166">
        <v>385165437</v>
      </c>
      <c r="D64" s="179">
        <f>C64/B64</f>
        <v>1264.3256718563819</v>
      </c>
      <c r="E64" s="129">
        <f>B64+電動輔助自行車!B64</f>
        <v>328243</v>
      </c>
      <c r="F64" s="195">
        <f t="shared" si="4"/>
        <v>1</v>
      </c>
      <c r="G64" s="193">
        <f>C64+電動輔助自行車!C64</f>
        <v>431729556</v>
      </c>
      <c r="H64" s="151">
        <f t="shared" si="5"/>
        <v>1</v>
      </c>
      <c r="I64" s="179">
        <f>G64/E64</f>
        <v>1315.274220623136</v>
      </c>
    </row>
    <row r="65" spans="1:9">
      <c r="A65" s="57" t="s">
        <v>88</v>
      </c>
      <c r="B65" s="3"/>
      <c r="C65" s="3"/>
      <c r="D65" s="3"/>
      <c r="E65" s="152"/>
      <c r="F65" s="3"/>
      <c r="G65" s="152"/>
      <c r="H65" s="3"/>
      <c r="I65" s="3"/>
    </row>
    <row r="66" spans="1:9" ht="18">
      <c r="A66" s="153" t="s">
        <v>89</v>
      </c>
      <c r="B66" s="61"/>
      <c r="C66" s="64"/>
      <c r="D66" s="64"/>
      <c r="E66" s="62"/>
      <c r="F66" s="62"/>
      <c r="G66" s="62"/>
      <c r="H66" s="60"/>
      <c r="I66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9"/>
  <sheetViews>
    <sheetView topLeftCell="A7" zoomScaleNormal="100" workbookViewId="0">
      <pane xSplit="1" topLeftCell="B1" activePane="topRight" state="frozen"/>
      <selection pane="topRight" activeCell="A3" sqref="A3"/>
    </sheetView>
  </sheetViews>
  <sheetFormatPr defaultRowHeight="16.5"/>
  <cols>
    <col min="1" max="1" width="19.375" customWidth="1"/>
    <col min="2" max="2" width="2.25" customWidth="1"/>
    <col min="3" max="3" width="16.375" bestFit="1" customWidth="1"/>
    <col min="4" max="4" width="18.875" bestFit="1" customWidth="1"/>
    <col min="5" max="5" width="2.375" customWidth="1"/>
    <col min="6" max="6" width="17.5" customWidth="1"/>
    <col min="7" max="7" width="19.75" customWidth="1"/>
    <col min="8" max="8" width="2.625" customWidth="1"/>
    <col min="9" max="10" width="17.5" customWidth="1"/>
    <col min="11" max="11" width="2.375" customWidth="1"/>
    <col min="12" max="12" width="18.5" customWidth="1"/>
    <col min="13" max="13" width="18.625" customWidth="1"/>
    <col min="14" max="15" width="8.875" customWidth="1"/>
  </cols>
  <sheetData>
    <row r="1" spans="1:13" ht="23.25">
      <c r="A1" s="66" t="s">
        <v>537</v>
      </c>
      <c r="B1" s="6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18" customHeight="1">
      <c r="A2" s="387"/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4"/>
      <c r="M2" s="388" t="s">
        <v>200</v>
      </c>
    </row>
    <row r="3" spans="1:13" ht="18" customHeight="1">
      <c r="A3" s="354"/>
      <c r="B3" s="354"/>
      <c r="C3" s="388"/>
      <c r="D3" s="388"/>
      <c r="E3" s="388"/>
      <c r="F3" s="388"/>
      <c r="G3" s="388"/>
      <c r="H3" s="388"/>
      <c r="I3" s="388"/>
      <c r="J3" s="388"/>
      <c r="K3" s="388"/>
      <c r="L3" s="4"/>
      <c r="M3" s="388" t="s">
        <v>201</v>
      </c>
    </row>
    <row r="4" spans="1:13" ht="19.5">
      <c r="A4" s="348" t="s">
        <v>202</v>
      </c>
      <c r="B4" s="390"/>
      <c r="C4" s="737" t="s">
        <v>538</v>
      </c>
      <c r="D4" s="738" t="s">
        <v>539</v>
      </c>
      <c r="E4" s="390"/>
      <c r="F4" s="492" t="s">
        <v>540</v>
      </c>
      <c r="G4" s="493" t="s">
        <v>541</v>
      </c>
      <c r="H4" s="390"/>
      <c r="I4" s="737" t="s">
        <v>542</v>
      </c>
      <c r="J4" s="738" t="s">
        <v>543</v>
      </c>
      <c r="K4" s="390"/>
      <c r="L4" s="391" t="s">
        <v>544</v>
      </c>
      <c r="M4" s="498" t="s">
        <v>545</v>
      </c>
    </row>
    <row r="5" spans="1:13" ht="19.5">
      <c r="A5" s="392">
        <v>85121010001</v>
      </c>
      <c r="B5" s="393"/>
      <c r="C5" s="394"/>
      <c r="D5" s="395"/>
      <c r="E5" s="394"/>
      <c r="F5" s="394"/>
      <c r="G5" s="395"/>
      <c r="H5" s="394"/>
      <c r="I5" s="394"/>
      <c r="J5" s="395"/>
      <c r="K5" s="394"/>
      <c r="L5" s="394"/>
      <c r="M5" s="395"/>
    </row>
    <row r="6" spans="1:13" ht="19.5">
      <c r="A6" s="396" t="s">
        <v>203</v>
      </c>
      <c r="B6" s="387"/>
      <c r="C6" s="389">
        <v>9868</v>
      </c>
      <c r="D6" s="389">
        <v>1212602</v>
      </c>
      <c r="E6" s="389"/>
      <c r="F6" s="389">
        <v>117417</v>
      </c>
      <c r="G6" s="389">
        <v>13389471</v>
      </c>
      <c r="H6" s="389"/>
      <c r="I6" s="389">
        <v>4420</v>
      </c>
      <c r="J6" s="389">
        <v>152174</v>
      </c>
      <c r="K6" s="389"/>
      <c r="L6" s="389">
        <v>42263</v>
      </c>
      <c r="M6" s="389">
        <v>2254578</v>
      </c>
    </row>
    <row r="7" spans="1:13" ht="19.5">
      <c r="A7" s="396" t="s">
        <v>204</v>
      </c>
      <c r="B7" s="3" t="s">
        <v>205</v>
      </c>
      <c r="C7" s="389">
        <v>91031</v>
      </c>
      <c r="D7" s="397" t="s">
        <v>206</v>
      </c>
      <c r="E7" s="3" t="s">
        <v>205</v>
      </c>
      <c r="F7" s="389">
        <v>1023782</v>
      </c>
      <c r="G7" s="397" t="s">
        <v>314</v>
      </c>
      <c r="H7" s="3" t="s">
        <v>205</v>
      </c>
      <c r="I7" s="389">
        <v>57467</v>
      </c>
      <c r="J7" s="397" t="s">
        <v>207</v>
      </c>
      <c r="K7" s="389" t="s">
        <v>205</v>
      </c>
      <c r="L7" s="389">
        <v>530744</v>
      </c>
      <c r="M7" s="397" t="s">
        <v>207</v>
      </c>
    </row>
    <row r="8" spans="1:13" ht="19.5">
      <c r="A8" s="398">
        <v>85121020009</v>
      </c>
      <c r="B8" s="399"/>
      <c r="C8" s="400"/>
      <c r="D8" s="401"/>
      <c r="E8" s="402"/>
      <c r="F8" s="400"/>
      <c r="G8" s="401"/>
      <c r="H8" s="402"/>
      <c r="I8" s="400"/>
      <c r="J8" s="401"/>
      <c r="K8" s="402"/>
      <c r="L8" s="400"/>
      <c r="M8" s="401"/>
    </row>
    <row r="9" spans="1:13" ht="19.5">
      <c r="A9" s="396" t="s">
        <v>208</v>
      </c>
      <c r="B9" s="387"/>
      <c r="C9" s="389">
        <v>3614</v>
      </c>
      <c r="D9" s="389">
        <v>647847</v>
      </c>
      <c r="E9" s="389"/>
      <c r="F9" s="389">
        <v>42068</v>
      </c>
      <c r="G9" s="389">
        <v>7252161</v>
      </c>
      <c r="H9" s="389"/>
      <c r="I9" s="389">
        <v>1576</v>
      </c>
      <c r="J9" s="389">
        <v>103224</v>
      </c>
      <c r="K9" s="389"/>
      <c r="L9" s="389">
        <v>18886</v>
      </c>
      <c r="M9" s="389">
        <v>1563729</v>
      </c>
    </row>
    <row r="10" spans="1:13" ht="19.5">
      <c r="A10" s="396" t="s">
        <v>209</v>
      </c>
      <c r="B10" s="3" t="s">
        <v>205</v>
      </c>
      <c r="C10" s="389">
        <v>30635</v>
      </c>
      <c r="D10" s="397" t="s">
        <v>207</v>
      </c>
      <c r="E10" s="3" t="s">
        <v>205</v>
      </c>
      <c r="F10" s="389">
        <v>447813</v>
      </c>
      <c r="G10" s="397" t="s">
        <v>315</v>
      </c>
      <c r="H10" s="3" t="s">
        <v>205</v>
      </c>
      <c r="I10" s="389">
        <v>30093</v>
      </c>
      <c r="J10" s="397" t="s">
        <v>207</v>
      </c>
      <c r="K10" s="389" t="s">
        <v>205</v>
      </c>
      <c r="L10" s="389">
        <v>373613</v>
      </c>
      <c r="M10" s="397" t="s">
        <v>207</v>
      </c>
    </row>
    <row r="11" spans="1:13" ht="19.5">
      <c r="A11" s="403">
        <v>87149120007</v>
      </c>
      <c r="B11" s="404"/>
      <c r="C11" s="400"/>
      <c r="D11" s="405"/>
      <c r="E11" s="406"/>
      <c r="F11" s="400"/>
      <c r="G11" s="405"/>
      <c r="H11" s="406"/>
      <c r="I11" s="400"/>
      <c r="J11" s="405"/>
      <c r="K11" s="406"/>
      <c r="L11" s="400"/>
      <c r="M11" s="405"/>
    </row>
    <row r="12" spans="1:13" ht="19.5">
      <c r="A12" s="396" t="s">
        <v>210</v>
      </c>
      <c r="B12" s="387"/>
      <c r="C12" s="389">
        <f>VLOOKUP(A11,[27]進出口值表查詢結果!$A$3:$E$19,4,0)</f>
        <v>643456</v>
      </c>
      <c r="D12" s="389">
        <f>VLOOKUP(A11,[27]進出口值表查詢結果!$A$3:$E$19,3,0)</f>
        <v>35591924</v>
      </c>
      <c r="E12" s="389"/>
      <c r="F12" s="389">
        <f>VLOOKUP(A11,[28]進出口值表查詢結果!$A$3:$E$19,4,0)</f>
        <v>7436681</v>
      </c>
      <c r="G12" s="389">
        <f>VLOOKUP(A11,[28]進出口值表查詢結果!$A$3:$E$19,3,0)</f>
        <v>481614220</v>
      </c>
      <c r="H12" s="389"/>
      <c r="I12" s="389">
        <f>VLOOKUP(A11,[29]進出口值表查詢結果!$A$3:$E$19,4,0)</f>
        <v>432538</v>
      </c>
      <c r="J12" s="389">
        <f>VLOOKUP(A11,[29]進出口值表查詢結果!$A$3:$E$19,3,0)</f>
        <v>19577720</v>
      </c>
      <c r="K12" s="389"/>
      <c r="L12" s="389">
        <f>VLOOKUP(A11,[30]進出口值表查詢結果!$A$3:$E$19,4,0)</f>
        <v>3939383</v>
      </c>
      <c r="M12" s="389">
        <f>VLOOKUP(A11,[30]進出口值表查詢結果!$A$3:$E$19,3,0)</f>
        <v>264729291</v>
      </c>
    </row>
    <row r="13" spans="1:13" ht="19.5">
      <c r="A13" s="396" t="s">
        <v>211</v>
      </c>
      <c r="B13" s="3" t="s">
        <v>205</v>
      </c>
      <c r="C13" s="389"/>
      <c r="D13" s="397"/>
      <c r="E13" s="3" t="s">
        <v>205</v>
      </c>
      <c r="F13" s="389"/>
      <c r="G13" s="397"/>
      <c r="H13" s="389"/>
      <c r="I13" s="389"/>
      <c r="J13" s="397"/>
      <c r="K13" s="389"/>
      <c r="L13" s="389"/>
      <c r="M13" s="397"/>
    </row>
    <row r="14" spans="1:13" ht="19.5">
      <c r="A14" s="403">
        <v>87149200108</v>
      </c>
      <c r="B14" s="404"/>
      <c r="C14" s="400"/>
      <c r="D14" s="405"/>
      <c r="E14" s="406"/>
      <c r="F14" s="400"/>
      <c r="G14" s="405"/>
      <c r="H14" s="406"/>
      <c r="I14" s="400"/>
      <c r="J14" s="405"/>
      <c r="K14" s="406"/>
      <c r="L14" s="400"/>
      <c r="M14" s="405"/>
    </row>
    <row r="15" spans="1:13" ht="19.5">
      <c r="A15" s="396" t="s">
        <v>212</v>
      </c>
      <c r="B15" s="387"/>
      <c r="C15" s="389">
        <f>VLOOKUP(A14,[27]進出口值表查詢結果!$A$3:$E$19,4,0)</f>
        <v>127607</v>
      </c>
      <c r="D15" s="389">
        <f>VLOOKUP(A14,[27]進出口值表查詢結果!$A$3:$E$19,3,0)</f>
        <v>2992442</v>
      </c>
      <c r="E15" s="389"/>
      <c r="F15" s="389">
        <f>VLOOKUP(A14,[28]進出口值表查詢結果!$A$3:$E$19,4,0)</f>
        <v>1184861</v>
      </c>
      <c r="G15" s="389">
        <f>VLOOKUP(A14,[28]進出口值表查詢結果!$A$3:$E$19,3,0)</f>
        <v>39192736</v>
      </c>
      <c r="H15" s="389"/>
      <c r="I15" s="389">
        <f>VLOOKUP(A14,[29]進出口值表查詢結果!$A$3:$E$19,4,0)</f>
        <v>62819</v>
      </c>
      <c r="J15" s="389">
        <f>VLOOKUP(A14,[29]進出口值表查詢結果!$A$3:$E$19,3,0)</f>
        <v>6734641</v>
      </c>
      <c r="K15" s="389"/>
      <c r="L15" s="389">
        <f>VLOOKUP(A14,[30]進出口值表查詢結果!$A$3:$E$19,4,0)</f>
        <v>647261</v>
      </c>
      <c r="M15" s="389">
        <f>VLOOKUP(A14,[30]進出口值表查詢結果!$A$3:$E$19,3,0)</f>
        <v>72125724</v>
      </c>
    </row>
    <row r="16" spans="1:13" ht="19.5">
      <c r="A16" s="396"/>
      <c r="B16" s="3" t="s">
        <v>205</v>
      </c>
      <c r="C16" s="389">
        <f>VLOOKUP(A14,[27]進出口值表查詢結果!$A$3:$E$19,5,0)</f>
        <v>232264</v>
      </c>
      <c r="D16" s="397" t="s">
        <v>316</v>
      </c>
      <c r="E16" s="3" t="s">
        <v>205</v>
      </c>
      <c r="F16" s="389">
        <f>VLOOKUP(A14,[28]進出口值表查詢結果!$A$3:$E$19,5,0)</f>
        <v>2125680</v>
      </c>
      <c r="G16" s="397" t="s">
        <v>213</v>
      </c>
      <c r="H16" s="3" t="s">
        <v>205</v>
      </c>
      <c r="I16" s="389">
        <f>VLOOKUP(A14,[29]進出口值表查詢結果!$A$3:$E$19,5,0)</f>
        <v>143696</v>
      </c>
      <c r="J16" s="397" t="s">
        <v>213</v>
      </c>
      <c r="K16" s="389" t="s">
        <v>205</v>
      </c>
      <c r="L16" s="389">
        <f>VLOOKUP(A14,[30]進出口值表查詢結果!$A$3:$E$19,5,0)</f>
        <v>1402531</v>
      </c>
      <c r="M16" s="397" t="s">
        <v>213</v>
      </c>
    </row>
    <row r="17" spans="1:13" ht="19.5">
      <c r="A17" s="403">
        <v>87149200206</v>
      </c>
      <c r="B17" s="404"/>
      <c r="C17" s="400"/>
      <c r="D17" s="405"/>
      <c r="E17" s="406"/>
      <c r="F17" s="400"/>
      <c r="G17" s="405"/>
      <c r="H17" s="406"/>
      <c r="I17" s="406"/>
      <c r="J17" s="405"/>
      <c r="K17" s="406"/>
      <c r="L17" s="406"/>
      <c r="M17" s="405"/>
    </row>
    <row r="18" spans="1:13" ht="19.5">
      <c r="A18" s="396" t="s">
        <v>143</v>
      </c>
      <c r="B18" s="387"/>
      <c r="C18" s="389">
        <f>VLOOKUP(A17,[27]進出口值表查詢結果!$A$3:$E$19,4,0)</f>
        <v>93137</v>
      </c>
      <c r="D18" s="389">
        <f>VLOOKUP(A17,[27]進出口值表查詢結果!$A$3:$E$19,3,0)</f>
        <v>1177291</v>
      </c>
      <c r="E18" s="389"/>
      <c r="F18" s="389">
        <f>VLOOKUP(A17,[28]進出口值表查詢結果!$A$3:$E$19,4,0)</f>
        <v>888790</v>
      </c>
      <c r="G18" s="389">
        <f>VLOOKUP(A17,[28]進出口值表查詢結果!$A$3:$E$19,3,0)</f>
        <v>11323900</v>
      </c>
      <c r="H18" s="389"/>
      <c r="I18" s="389">
        <f>VLOOKUP(A17,[29]進出口值表查詢結果!$A$3:$E$19,4,0)</f>
        <v>10777</v>
      </c>
      <c r="J18" s="389">
        <f>VLOOKUP(A17,[29]進出口值表查詢結果!$A$3:$E$19,3,0)</f>
        <v>522926</v>
      </c>
      <c r="K18" s="389"/>
      <c r="L18" s="389">
        <f>VLOOKUP(A17,[30]進出口值表查詢結果!$A$3:$E$19,4,0)</f>
        <v>131398</v>
      </c>
      <c r="M18" s="389">
        <f>VLOOKUP(A17,[30]進出口值表查詢結果!$A$3:$E$19,3,0)</f>
        <v>10363605</v>
      </c>
    </row>
    <row r="19" spans="1:13" ht="19.5">
      <c r="A19" s="396"/>
      <c r="B19" s="3" t="s">
        <v>205</v>
      </c>
      <c r="C19" s="389">
        <f>VLOOKUP(A17,[27]進出口值表查詢結果!$A$3:$E$19,5,0)</f>
        <v>14479755</v>
      </c>
      <c r="D19" s="397" t="s">
        <v>300</v>
      </c>
      <c r="E19" s="3" t="s">
        <v>205</v>
      </c>
      <c r="F19" s="389">
        <f>VLOOKUP(A17,[28]進出口值表查詢結果!$A$3:$E$19,5,0)</f>
        <v>135747553</v>
      </c>
      <c r="G19" s="397" t="s">
        <v>213</v>
      </c>
      <c r="H19" s="3" t="s">
        <v>205</v>
      </c>
      <c r="I19" s="389">
        <f>VLOOKUP(A17,[29]進出口值表查詢結果!$A$3:$E$19,5,0)</f>
        <v>1796263</v>
      </c>
      <c r="J19" s="397" t="s">
        <v>213</v>
      </c>
      <c r="K19" s="389" t="s">
        <v>205</v>
      </c>
      <c r="L19" s="389">
        <f>VLOOKUP(A17,[30]進出口值表查詢結果!$A$3:$E$19,5,0)</f>
        <v>24332320</v>
      </c>
      <c r="M19" s="397" t="s">
        <v>213</v>
      </c>
    </row>
    <row r="20" spans="1:13" ht="19.5">
      <c r="A20" s="403">
        <v>87149200304</v>
      </c>
      <c r="B20" s="404"/>
      <c r="C20" s="400"/>
      <c r="D20" s="405"/>
      <c r="E20" s="406"/>
      <c r="F20" s="400"/>
      <c r="G20" s="405"/>
      <c r="H20" s="406"/>
      <c r="I20" s="406"/>
      <c r="J20" s="405"/>
      <c r="K20" s="406"/>
      <c r="L20" s="406"/>
      <c r="M20" s="405"/>
    </row>
    <row r="21" spans="1:13" ht="19.5">
      <c r="A21" s="396" t="s">
        <v>145</v>
      </c>
      <c r="B21" s="387"/>
      <c r="C21" s="389">
        <f>VLOOKUP(A20,[27]進出口值表查詢結果!$A$3:$E$19,4,0)</f>
        <v>64280</v>
      </c>
      <c r="D21" s="389">
        <f>VLOOKUP(A20,[27]進出口值表查詢結果!$A$3:$E$19,3,0)</f>
        <v>9474806</v>
      </c>
      <c r="E21" s="389"/>
      <c r="F21" s="389">
        <f>VLOOKUP(A20,[28]進出口值表查詢結果!$A$3:$E$19,4,0)</f>
        <v>767328</v>
      </c>
      <c r="G21" s="389">
        <f>VLOOKUP(A20,[28]進出口值表查詢結果!$A$3:$E$19,3,0)</f>
        <v>109572709</v>
      </c>
      <c r="H21" s="389"/>
      <c r="I21" s="389">
        <f>VLOOKUP(A20,[29]進出口值表查詢結果!$A$3:$E$19,4,0)</f>
        <v>21839</v>
      </c>
      <c r="J21" s="389">
        <f>VLOOKUP(A20,[29]進出口值表查詢結果!$A$3:$E$19,3,0)</f>
        <v>447681</v>
      </c>
      <c r="K21" s="389"/>
      <c r="L21" s="389">
        <f>VLOOKUP(A20,[30]進出口值表查詢結果!$A$3:$E$19,4,0)</f>
        <v>106573</v>
      </c>
      <c r="M21" s="389">
        <f>VLOOKUP(A20,[30]進出口值表查詢結果!$A$3:$E$19,3,0)</f>
        <v>6197232</v>
      </c>
    </row>
    <row r="22" spans="1:13" ht="19.5">
      <c r="A22" s="403">
        <v>87149310007</v>
      </c>
      <c r="B22" s="404"/>
      <c r="C22" s="400"/>
      <c r="D22" s="405"/>
      <c r="E22" s="406"/>
      <c r="F22" s="400"/>
      <c r="G22" s="405"/>
      <c r="H22" s="406"/>
      <c r="I22" s="406"/>
      <c r="J22" s="405"/>
      <c r="K22" s="406"/>
      <c r="L22" s="406"/>
      <c r="M22" s="405"/>
    </row>
    <row r="23" spans="1:13" ht="19.5">
      <c r="A23" s="396" t="s">
        <v>214</v>
      </c>
      <c r="B23" s="387"/>
      <c r="C23" s="389">
        <f>VLOOKUP(A22,[27]進出口值表查詢結果!$A$3:$E$19,4,0)</f>
        <v>62382</v>
      </c>
      <c r="D23" s="389">
        <f>VLOOKUP(A22,[27]進出口值表查詢結果!$A$3:$E$19,3,0)</f>
        <v>4033870</v>
      </c>
      <c r="E23" s="389"/>
      <c r="F23" s="389">
        <f>VLOOKUP(A22,[28]進出口值表查詢結果!$A$3:$E$19,4,0)</f>
        <v>627640</v>
      </c>
      <c r="G23" s="389">
        <f>VLOOKUP(A22,[28]進出口值表查詢結果!$A$3:$E$19,3,0)</f>
        <v>46718056</v>
      </c>
      <c r="H23" s="389"/>
      <c r="I23" s="389">
        <f>VLOOKUP(A22,[29]進出口值表查詢結果!$A$3:$E$19,4,0)</f>
        <v>48785</v>
      </c>
      <c r="J23" s="389">
        <f>VLOOKUP(A22,[29]進出口值表查詢結果!$A$3:$E$19,3,0)</f>
        <v>1982237</v>
      </c>
      <c r="K23" s="389"/>
      <c r="L23" s="389">
        <f>VLOOKUP(A22,[30]進出口值表查詢結果!$A$3:$E$19,4,0)</f>
        <v>514419</v>
      </c>
      <c r="M23" s="389">
        <f>VLOOKUP(A22,[30]進出口值表查詢結果!$A$3:$E$19,3,0)</f>
        <v>24131843</v>
      </c>
    </row>
    <row r="24" spans="1:13" ht="19.5">
      <c r="A24" s="396" t="s">
        <v>215</v>
      </c>
      <c r="B24" s="387"/>
      <c r="C24" s="389"/>
      <c r="D24" s="397"/>
      <c r="E24" s="389"/>
      <c r="F24" s="389"/>
      <c r="G24" s="397"/>
      <c r="H24" s="389"/>
      <c r="I24" s="389"/>
      <c r="J24" s="397"/>
      <c r="K24" s="389"/>
      <c r="L24" s="389"/>
      <c r="M24" s="397"/>
    </row>
    <row r="25" spans="1:13" ht="19.5">
      <c r="A25" s="396" t="s">
        <v>216</v>
      </c>
      <c r="B25" s="387"/>
      <c r="C25" s="389"/>
      <c r="D25" s="397"/>
      <c r="E25" s="389"/>
      <c r="F25" s="389"/>
      <c r="G25" s="397"/>
      <c r="H25" s="389"/>
      <c r="I25" s="389"/>
      <c r="J25" s="397"/>
      <c r="K25" s="389"/>
      <c r="L25" s="389"/>
      <c r="M25" s="397"/>
    </row>
    <row r="26" spans="1:13" ht="19.5">
      <c r="A26" s="403">
        <v>87149320103</v>
      </c>
      <c r="B26" s="404"/>
      <c r="C26" s="400"/>
      <c r="D26" s="405"/>
      <c r="E26" s="406"/>
      <c r="F26" s="400"/>
      <c r="G26" s="405"/>
      <c r="H26" s="406"/>
      <c r="I26" s="406"/>
      <c r="J26" s="405"/>
      <c r="K26" s="406"/>
      <c r="L26" s="406"/>
      <c r="M26" s="405"/>
    </row>
    <row r="27" spans="1:13" ht="39">
      <c r="A27" s="726" t="s">
        <v>405</v>
      </c>
      <c r="B27" s="387"/>
      <c r="C27" s="389">
        <f>VLOOKUP(A26,[27]進出口值表查詢結果!$A$3:$E$19,4,0)</f>
        <v>1447</v>
      </c>
      <c r="D27" s="389">
        <f>VLOOKUP(A26,[27]進出口值表查詢結果!$A$3:$E$19,3,0)</f>
        <v>48324</v>
      </c>
      <c r="E27" s="389"/>
      <c r="F27" s="389">
        <f>VLOOKUP(A26,[28]進出口值表查詢結果!$A$3:$E$19,4,0)</f>
        <v>23588</v>
      </c>
      <c r="G27" s="389">
        <f>VLOOKUP(A26,[28]進出口值表查詢結果!$A$3:$E$19,3,0)</f>
        <v>907610</v>
      </c>
      <c r="H27" s="389"/>
      <c r="I27" s="389">
        <f>VLOOKUP(A26,[29]進出口值表查詢結果!$A$3:$E$19,4,0)</f>
        <v>474</v>
      </c>
      <c r="J27" s="389">
        <f>VLOOKUP(A26,[29]進出口值表查詢結果!$A$3:$E$19,3,0)</f>
        <v>13908</v>
      </c>
      <c r="K27" s="389"/>
      <c r="L27" s="389">
        <f>VLOOKUP(A26,[30]進出口值表查詢結果!$A$3:$E$19,4,0)</f>
        <v>10933</v>
      </c>
      <c r="M27" s="389">
        <f>VLOOKUP(A26,[30]進出口值表查詢結果!$A$3:$E$19,3,0)</f>
        <v>425260</v>
      </c>
    </row>
    <row r="28" spans="1:13" ht="19.5">
      <c r="A28" s="403">
        <v>87149410006</v>
      </c>
      <c r="B28" s="404"/>
      <c r="C28" s="400"/>
      <c r="D28" s="405"/>
      <c r="E28" s="406"/>
      <c r="F28" s="400"/>
      <c r="G28" s="405"/>
      <c r="H28" s="406"/>
      <c r="I28" s="406"/>
      <c r="J28" s="405"/>
      <c r="K28" s="406"/>
      <c r="L28" s="406"/>
      <c r="M28" s="405"/>
    </row>
    <row r="29" spans="1:13" ht="19.5">
      <c r="A29" s="396" t="s">
        <v>218</v>
      </c>
      <c r="B29" s="387"/>
      <c r="C29" s="389">
        <f>VLOOKUP(A28,[27]進出口值表查詢結果!$A$3:$E$19,4,0)</f>
        <v>7885</v>
      </c>
      <c r="D29" s="389">
        <f>VLOOKUP(A28,[27]進出口值表查詢結果!$A$3:$E$19,3,0)</f>
        <v>164303</v>
      </c>
      <c r="E29" s="389"/>
      <c r="F29" s="389">
        <f>VLOOKUP(A28,[28]進出口值表查詢結果!$A$3:$E$19,4,0)</f>
        <v>92060</v>
      </c>
      <c r="G29" s="389">
        <f>VLOOKUP(A28,[28]進出口值表查詢結果!$A$3:$E$19,3,0)</f>
        <v>2082500</v>
      </c>
      <c r="H29" s="389"/>
      <c r="I29" s="389">
        <f>VLOOKUP(A28,[29]進出口值表查詢結果!$A$3:$E$19,4,0)</f>
        <v>4974</v>
      </c>
      <c r="J29" s="389">
        <f>VLOOKUP(A28,[29]進出口值表查詢結果!$A$3:$E$19,3,0)</f>
        <v>688736</v>
      </c>
      <c r="K29" s="389"/>
      <c r="L29" s="389">
        <f>VLOOKUP(A28,[30]進出口值表查詢結果!$A$3:$E$19,4,0)</f>
        <v>32700</v>
      </c>
      <c r="M29" s="389">
        <f>VLOOKUP(A28,[30]進出口值表查詢結果!$A$3:$E$19,3,0)</f>
        <v>2228381</v>
      </c>
    </row>
    <row r="30" spans="1:13" ht="19.5">
      <c r="A30" s="396" t="s">
        <v>219</v>
      </c>
      <c r="B30" s="387"/>
      <c r="C30" s="389"/>
      <c r="D30" s="397"/>
      <c r="E30" s="389"/>
      <c r="F30" s="389"/>
      <c r="G30" s="397"/>
      <c r="H30" s="389"/>
      <c r="I30" s="389"/>
      <c r="J30" s="397"/>
      <c r="K30" s="389"/>
      <c r="L30" s="389"/>
      <c r="M30" s="397"/>
    </row>
    <row r="31" spans="1:13" ht="19.5">
      <c r="A31" s="403">
        <v>87149490009</v>
      </c>
      <c r="B31" s="404"/>
      <c r="C31" s="400"/>
      <c r="D31" s="405"/>
      <c r="E31" s="406"/>
      <c r="F31" s="400"/>
      <c r="G31" s="405"/>
      <c r="H31" s="406"/>
      <c r="I31" s="406"/>
      <c r="J31" s="405"/>
      <c r="K31" s="406"/>
      <c r="L31" s="406"/>
      <c r="M31" s="405"/>
    </row>
    <row r="32" spans="1:13" ht="19.5">
      <c r="A32" s="396" t="s">
        <v>220</v>
      </c>
      <c r="B32" s="387"/>
      <c r="C32" s="389">
        <f>VLOOKUP(A31,[27]進出口值表查詢結果!$A$3:$E$19,4,0)</f>
        <v>464871</v>
      </c>
      <c r="D32" s="389">
        <f>VLOOKUP(A31,[27]進出口值表查詢結果!$A$3:$E$19,3,0)</f>
        <v>18316424</v>
      </c>
      <c r="E32" s="389"/>
      <c r="F32" s="389">
        <f>VLOOKUP(A31,[28]進出口值表查詢結果!$A$3:$E$19,4,0)</f>
        <v>4286645</v>
      </c>
      <c r="G32" s="389">
        <f>VLOOKUP(A31,[28]進出口值表查詢結果!$A$3:$E$19,3,0)</f>
        <v>184148540</v>
      </c>
      <c r="H32" s="389"/>
      <c r="I32" s="389">
        <f>VLOOKUP(A31,[29]進出口值表查詢結果!$A$3:$E$19,4,0)</f>
        <v>229512</v>
      </c>
      <c r="J32" s="389">
        <f>VLOOKUP(A31,[29]進出口值表查詢結果!$A$3:$E$19,3,0)</f>
        <v>6087357</v>
      </c>
      <c r="K32" s="389"/>
      <c r="L32" s="389">
        <f>VLOOKUP(A31,[30]進出口值表查詢結果!$A$3:$E$19,4,0)</f>
        <v>1923987</v>
      </c>
      <c r="M32" s="389">
        <f>VLOOKUP(A31,[30]進出口值表查詢結果!$A$3:$E$19,3,0)</f>
        <v>80227141</v>
      </c>
    </row>
    <row r="33" spans="1:13" ht="19.5">
      <c r="A33" s="396" t="s">
        <v>221</v>
      </c>
      <c r="B33" s="387"/>
      <c r="C33" s="389"/>
      <c r="D33" s="397"/>
      <c r="E33" s="389"/>
      <c r="F33" s="389"/>
      <c r="G33" s="397"/>
      <c r="H33" s="389"/>
      <c r="I33" s="389"/>
      <c r="J33" s="397"/>
      <c r="K33" s="389"/>
      <c r="L33" s="389"/>
      <c r="M33" s="397"/>
    </row>
    <row r="34" spans="1:13" ht="19.5">
      <c r="A34" s="403">
        <v>87149500007</v>
      </c>
      <c r="B34" s="404"/>
      <c r="C34" s="406"/>
      <c r="D34" s="405"/>
      <c r="E34" s="406"/>
      <c r="F34" s="406"/>
      <c r="G34" s="405"/>
      <c r="H34" s="406"/>
      <c r="I34" s="406"/>
      <c r="J34" s="405"/>
      <c r="K34" s="406"/>
      <c r="L34" s="406"/>
      <c r="M34" s="405"/>
    </row>
    <row r="35" spans="1:13" ht="19.5">
      <c r="A35" s="396" t="s">
        <v>222</v>
      </c>
      <c r="B35" s="387"/>
      <c r="C35" s="389">
        <f>VLOOKUP(A34,[27]進出口值表查詢結果!$A$3:$E$19,4,0)</f>
        <v>140963</v>
      </c>
      <c r="D35" s="389">
        <f>VLOOKUP(A34,[27]進出口值表查詢結果!$A$3:$E$19,3,0)</f>
        <v>3031863</v>
      </c>
      <c r="E35" s="389"/>
      <c r="F35" s="389">
        <f>VLOOKUP(A34,[28]進出口值表查詢結果!$A$3:$E$19,4,0)</f>
        <v>1374818</v>
      </c>
      <c r="G35" s="389">
        <f>VLOOKUP(A34,[28]進出口值表查詢結果!$A$3:$E$19,3,0)</f>
        <v>30294289</v>
      </c>
      <c r="H35" s="389"/>
      <c r="I35" s="389">
        <f>VLOOKUP(A34,[29]進出口值表查詢結果!$A$3:$E$19,4,0)</f>
        <v>83328</v>
      </c>
      <c r="J35" s="389">
        <f>VLOOKUP(A34,[29]進出口值表查詢結果!$A$3:$E$19,3,0)</f>
        <v>1051564</v>
      </c>
      <c r="K35" s="389"/>
      <c r="L35" s="389">
        <f>VLOOKUP(A34,[30]進出口值表查詢結果!$A$3:$E$19,4,0)</f>
        <v>691044</v>
      </c>
      <c r="M35" s="389">
        <f>VLOOKUP(A34,[30]進出口值表查詢結果!$A$3:$E$19,3,0)</f>
        <v>11030406</v>
      </c>
    </row>
    <row r="36" spans="1:13" ht="19.5">
      <c r="A36" s="403">
        <v>87149610004</v>
      </c>
      <c r="B36" s="404"/>
      <c r="C36" s="406"/>
      <c r="D36" s="405"/>
      <c r="E36" s="406"/>
      <c r="F36" s="406"/>
      <c r="G36" s="405"/>
      <c r="H36" s="406"/>
      <c r="I36" s="406"/>
      <c r="J36" s="405"/>
      <c r="K36" s="406"/>
      <c r="L36" s="406"/>
      <c r="M36" s="405"/>
    </row>
    <row r="37" spans="1:13" ht="19.5">
      <c r="A37" s="396" t="s">
        <v>223</v>
      </c>
      <c r="B37" s="387"/>
      <c r="C37" s="389">
        <f>VLOOKUP(A36,[27]進出口值表查詢結果!$A$3:$E$19,4,0)</f>
        <v>154572</v>
      </c>
      <c r="D37" s="389">
        <f>VLOOKUP(A36,[27]進出口值表查詢結果!$A$3:$E$19,3,0)</f>
        <v>3423349</v>
      </c>
      <c r="E37" s="389"/>
      <c r="F37" s="389">
        <f>VLOOKUP(A36,[28]進出口值表查詢結果!$A$3:$E$19,4,0)</f>
        <v>1689296</v>
      </c>
      <c r="G37" s="389">
        <f>VLOOKUP(A36,[28]進出口值表查詢結果!$A$3:$E$19,3,0)</f>
        <v>39879476</v>
      </c>
      <c r="H37" s="389"/>
      <c r="I37" s="389">
        <f>VLOOKUP(A36,[29]進出口值表查詢結果!$A$3:$E$19,4,0)</f>
        <v>20843</v>
      </c>
      <c r="J37" s="389">
        <f>VLOOKUP(A36,[29]進出口值表查詢結果!$A$3:$E$19,3,0)</f>
        <v>235072</v>
      </c>
      <c r="K37" s="389"/>
      <c r="L37" s="389">
        <f>VLOOKUP(A36,[30]進出口值表查詢結果!$A$3:$E$19,4,0)</f>
        <v>252059</v>
      </c>
      <c r="M37" s="389">
        <f>VLOOKUP(A36,[30]進出口值表查詢結果!$A$3:$E$19,3,0)</f>
        <v>2837485</v>
      </c>
    </row>
    <row r="38" spans="1:13" ht="19.5">
      <c r="A38" s="403">
        <v>87149620002</v>
      </c>
      <c r="B38" s="404"/>
      <c r="C38" s="400"/>
      <c r="D38" s="405"/>
      <c r="E38" s="406"/>
      <c r="F38" s="400"/>
      <c r="G38" s="405"/>
      <c r="H38" s="406"/>
      <c r="I38" s="406"/>
      <c r="J38" s="405"/>
      <c r="K38" s="406"/>
      <c r="L38" s="406"/>
      <c r="M38" s="405"/>
    </row>
    <row r="39" spans="1:13" ht="19.5">
      <c r="A39" s="396" t="s">
        <v>224</v>
      </c>
      <c r="B39" s="387"/>
      <c r="C39" s="389">
        <f>VLOOKUP(A38,[27]進出口值表查詢結果!$A$3:$E$19,4,0)</f>
        <v>204266</v>
      </c>
      <c r="D39" s="389">
        <f>VLOOKUP(A38,[27]進出口值表查詢結果!$A$3:$E$19,3,0)</f>
        <v>11197508</v>
      </c>
      <c r="E39" s="389"/>
      <c r="F39" s="389">
        <f>VLOOKUP(A38,[28]進出口值表查詢結果!$A$3:$E$19,4,0)</f>
        <v>1829478</v>
      </c>
      <c r="G39" s="389">
        <f>VLOOKUP(A38,[28]進出口值表查詢結果!$A$3:$E$19,3,0)</f>
        <v>102955693</v>
      </c>
      <c r="H39" s="389"/>
      <c r="I39" s="389">
        <f>VLOOKUP(A38,[29]進出口值表查詢結果!$A$3:$E$19,4,0)</f>
        <v>124968</v>
      </c>
      <c r="J39" s="389">
        <f>VLOOKUP(A38,[29]進出口值表查詢結果!$A$3:$E$19,3,0)</f>
        <v>2921975</v>
      </c>
      <c r="K39" s="389"/>
      <c r="L39" s="389">
        <f>VLOOKUP(A38,[30]進出口值表查詢結果!$A$3:$E$19,4,0)</f>
        <v>1227593</v>
      </c>
      <c r="M39" s="389">
        <f>VLOOKUP(A38,[30]進出口值表查詢結果!$A$3:$E$19,3,0)</f>
        <v>31452584</v>
      </c>
    </row>
    <row r="40" spans="1:13" ht="19.5">
      <c r="A40" s="396" t="s">
        <v>219</v>
      </c>
      <c r="B40" s="387"/>
      <c r="C40" s="389"/>
      <c r="D40" s="397"/>
      <c r="E40" s="389"/>
      <c r="F40" s="389"/>
      <c r="G40" s="389"/>
      <c r="H40" s="389"/>
      <c r="I40" s="389"/>
      <c r="J40" s="389"/>
      <c r="K40" s="389"/>
      <c r="L40" s="389"/>
      <c r="M40" s="389"/>
    </row>
    <row r="41" spans="1:13" ht="19.5">
      <c r="A41" s="403">
        <v>73151100209</v>
      </c>
      <c r="B41" s="404"/>
      <c r="C41" s="400"/>
      <c r="D41" s="405"/>
      <c r="E41" s="406"/>
      <c r="F41" s="405"/>
      <c r="G41" s="405"/>
      <c r="H41" s="406"/>
      <c r="I41" s="405"/>
      <c r="J41" s="405"/>
      <c r="K41" s="406"/>
      <c r="L41" s="405"/>
      <c r="M41" s="405"/>
    </row>
    <row r="42" spans="1:13" ht="19.5">
      <c r="A42" s="396" t="s">
        <v>225</v>
      </c>
      <c r="B42" s="387"/>
      <c r="C42" s="739">
        <v>99023</v>
      </c>
      <c r="D42" s="739">
        <v>1970052</v>
      </c>
      <c r="E42" s="389"/>
      <c r="F42" s="389">
        <v>1156176</v>
      </c>
      <c r="G42" s="389">
        <v>25111935</v>
      </c>
      <c r="H42" s="389"/>
      <c r="I42" s="389">
        <v>62415</v>
      </c>
      <c r="J42" s="389">
        <v>790121</v>
      </c>
      <c r="K42" s="389"/>
      <c r="L42" s="389">
        <v>966968</v>
      </c>
      <c r="M42" s="389">
        <v>9925998</v>
      </c>
    </row>
    <row r="43" spans="1:13" ht="19.5">
      <c r="A43" s="396" t="s">
        <v>226</v>
      </c>
      <c r="B43" s="387"/>
      <c r="C43" s="389"/>
      <c r="D43" s="397"/>
      <c r="E43" s="389"/>
      <c r="F43" s="389"/>
      <c r="G43" s="397"/>
      <c r="H43" s="389"/>
      <c r="I43" s="389"/>
      <c r="J43" s="397"/>
      <c r="K43" s="389"/>
      <c r="L43" s="389"/>
      <c r="M43" s="397"/>
    </row>
    <row r="44" spans="1:13" ht="19.5">
      <c r="A44" s="403">
        <v>87149990111</v>
      </c>
      <c r="B44" s="404"/>
      <c r="C44" s="400"/>
      <c r="D44" s="405"/>
      <c r="E44" s="406"/>
      <c r="F44" s="400"/>
      <c r="G44" s="405"/>
      <c r="H44" s="406"/>
      <c r="I44" s="406"/>
      <c r="J44" s="405"/>
      <c r="K44" s="406"/>
      <c r="L44" s="406"/>
      <c r="M44" s="405"/>
    </row>
    <row r="45" spans="1:13" ht="19.5">
      <c r="A45" s="407" t="s">
        <v>227</v>
      </c>
      <c r="B45" s="354"/>
      <c r="C45" s="389">
        <f>VLOOKUP(A44,[27]進出口值表查詢結果!$A$3:$E$19,4,0)</f>
        <v>62560</v>
      </c>
      <c r="D45" s="389">
        <f>VLOOKUP(A44,[27]進出口值表查詢結果!$A$3:$E$19,3,0)</f>
        <v>8594543</v>
      </c>
      <c r="E45" s="389"/>
      <c r="F45" s="389">
        <f>VLOOKUP(A44,[28]進出口值表查詢結果!$A$3:$E$19,4,0)</f>
        <v>800765</v>
      </c>
      <c r="G45" s="389">
        <f>VLOOKUP(A44,[28]進出口值表查詢結果!$A$3:$E$19,3,0)</f>
        <v>92926599</v>
      </c>
      <c r="H45" s="389"/>
      <c r="I45" s="389">
        <f>VLOOKUP(A44,[29]進出口值表查詢結果!$A$3:$E$19,4,0)</f>
        <v>56301</v>
      </c>
      <c r="J45" s="389">
        <f>VLOOKUP(A44,[29]進出口值表查詢結果!$A$3:$E$19,3,0)</f>
        <v>3478563</v>
      </c>
      <c r="K45" s="389"/>
      <c r="L45" s="389">
        <f>VLOOKUP(A44,[30]進出口值表查詢結果!$A$3:$E$19,4,0)</f>
        <v>346047</v>
      </c>
      <c r="M45" s="389">
        <f>VLOOKUP(A44,[30]進出口值表查詢結果!$A$3:$E$19,3,0)</f>
        <v>29363294</v>
      </c>
    </row>
    <row r="46" spans="1:13" ht="19.5">
      <c r="A46" s="396" t="s">
        <v>228</v>
      </c>
      <c r="B46" s="387"/>
      <c r="C46" s="389"/>
      <c r="D46" s="397"/>
      <c r="E46" s="389"/>
      <c r="F46" s="389"/>
      <c r="G46" s="397"/>
      <c r="H46" s="389"/>
      <c r="I46" s="389"/>
      <c r="J46" s="397"/>
      <c r="K46" s="389"/>
      <c r="L46" s="389"/>
      <c r="M46" s="397"/>
    </row>
    <row r="47" spans="1:13" ht="19.5">
      <c r="A47" s="403">
        <v>87149320906</v>
      </c>
      <c r="B47" s="404"/>
      <c r="C47" s="400"/>
      <c r="D47" s="405"/>
      <c r="E47" s="406"/>
      <c r="F47" s="400"/>
      <c r="G47" s="405"/>
      <c r="H47" s="406"/>
      <c r="I47" s="406"/>
      <c r="J47" s="405"/>
      <c r="K47" s="406"/>
      <c r="L47" s="406"/>
      <c r="M47" s="405"/>
    </row>
    <row r="48" spans="1:13" ht="19.5">
      <c r="A48" s="396" t="s">
        <v>406</v>
      </c>
      <c r="B48" s="387"/>
      <c r="C48" s="389">
        <f>VLOOKUP(A47,[27]進出口值表查詢結果!$A$3:$E$19,4,0)</f>
        <v>194463</v>
      </c>
      <c r="D48" s="389">
        <f>VLOOKUP(A47,[27]進出口值表查詢結果!$A$3:$E$19,3,0)</f>
        <v>7206769</v>
      </c>
      <c r="E48" s="389"/>
      <c r="F48" s="389">
        <f>VLOOKUP(A47,[28]進出口值表查詢結果!$A$3:$E$19,4,0)</f>
        <v>1938354</v>
      </c>
      <c r="G48" s="389">
        <f>VLOOKUP(A47,[28]進出口值表查詢結果!$A$3:$E$19,3,0)</f>
        <v>78279873</v>
      </c>
      <c r="H48" s="389"/>
      <c r="I48" s="389">
        <f>VLOOKUP(A47,[29]進出口值表查詢結果!$A$3:$E$19,4,0)</f>
        <v>42511</v>
      </c>
      <c r="J48" s="389">
        <f>VLOOKUP(A47,[29]進出口值表查詢結果!$A$3:$E$19,3,0)</f>
        <v>1525485</v>
      </c>
      <c r="K48" s="389"/>
      <c r="L48" s="389">
        <f>VLOOKUP(A47,[30]進出口值表查詢結果!$A$3:$E$19,4,0)</f>
        <v>395721</v>
      </c>
      <c r="M48" s="389">
        <f>VLOOKUP(A47,[30]進出口值表查詢結果!$A$3:$E$19,3,0)</f>
        <v>16621765</v>
      </c>
    </row>
    <row r="49" spans="1:13" ht="19.5">
      <c r="A49" s="403">
        <v>87149990139</v>
      </c>
      <c r="B49" s="404"/>
      <c r="C49" s="400"/>
      <c r="D49" s="405"/>
      <c r="E49" s="406"/>
      <c r="F49" s="400"/>
      <c r="G49" s="405"/>
      <c r="H49" s="406"/>
      <c r="I49" s="406"/>
      <c r="J49" s="405"/>
      <c r="K49" s="406"/>
      <c r="L49" s="406"/>
      <c r="M49" s="405"/>
    </row>
    <row r="50" spans="1:13" ht="19.5">
      <c r="A50" s="396" t="s">
        <v>230</v>
      </c>
      <c r="B50" s="387"/>
      <c r="C50" s="389">
        <f>VLOOKUP(A49,[27]進出口值表查詢結果!$A$3:$E$19,4,0)</f>
        <v>3212</v>
      </c>
      <c r="D50" s="389">
        <f>VLOOKUP(A49,[27]進出口值表查詢結果!$A$3:$E$19,3,0)</f>
        <v>181084</v>
      </c>
      <c r="E50" s="389"/>
      <c r="F50" s="389">
        <f>VLOOKUP(A49,[28]進出口值表查詢結果!$A$3:$E$19,4,0)</f>
        <v>122380</v>
      </c>
      <c r="G50" s="389">
        <f>VLOOKUP(A49,[28]進出口值表查詢結果!$A$3:$E$19,3,0)</f>
        <v>2042479</v>
      </c>
      <c r="H50" s="389"/>
      <c r="I50" s="389">
        <f>VLOOKUP(A49,[29]進出口值表查詢結果!$A$3:$E$19,4,0)</f>
        <v>1303</v>
      </c>
      <c r="J50" s="389">
        <f>VLOOKUP(A49,[29]進出口值表查詢結果!$A$3:$E$19,3,0)</f>
        <v>8390</v>
      </c>
      <c r="K50" s="389"/>
      <c r="L50" s="389">
        <f>VLOOKUP(A49,[30]進出口值表查詢結果!$A$3:$E$19,4,0)</f>
        <v>35615</v>
      </c>
      <c r="M50" s="389">
        <f>VLOOKUP(A49,[30]進出口值表查詢結果!$A$3:$E$19,3,0)</f>
        <v>217068</v>
      </c>
    </row>
    <row r="51" spans="1:13" ht="19.5">
      <c r="A51" s="403">
        <v>87149990148</v>
      </c>
      <c r="B51" s="404"/>
      <c r="C51" s="400"/>
      <c r="D51" s="405"/>
      <c r="E51" s="406"/>
      <c r="F51" s="400"/>
      <c r="G51" s="405"/>
      <c r="H51" s="406"/>
      <c r="I51" s="406"/>
      <c r="J51" s="405"/>
      <c r="K51" s="406"/>
      <c r="L51" s="406"/>
      <c r="M51" s="405"/>
    </row>
    <row r="52" spans="1:13" ht="19.5">
      <c r="A52" s="408" t="s">
        <v>231</v>
      </c>
      <c r="B52" s="409"/>
      <c r="C52" s="389">
        <f>VLOOKUP(A51,[27]進出口值表查詢結果!$A$3:$E$19,4,0)</f>
        <v>70949</v>
      </c>
      <c r="D52" s="389">
        <f>VLOOKUP(A51,[27]進出口值表查詢結果!$A$3:$E$19,3,0)</f>
        <v>2256172</v>
      </c>
      <c r="E52" s="389"/>
      <c r="F52" s="389">
        <f>VLOOKUP(A51,[28]進出口值表查詢結果!$A$3:$E$19,4,0)</f>
        <v>643178</v>
      </c>
      <c r="G52" s="389">
        <f>VLOOKUP(A51,[28]進出口值表查詢結果!$A$3:$E$19,3,0)</f>
        <v>21925131</v>
      </c>
      <c r="H52" s="389"/>
      <c r="I52" s="389">
        <f>VLOOKUP(A51,[29]進出口值表查詢結果!$A$3:$E$19,4,0)</f>
        <v>16959</v>
      </c>
      <c r="J52" s="389">
        <f>VLOOKUP(A51,[29]進出口值表查詢結果!$A$3:$E$19,3,0)</f>
        <v>442648</v>
      </c>
      <c r="K52" s="389"/>
      <c r="L52" s="389">
        <f>VLOOKUP(A51,[30]進出口值表查詢結果!$A$3:$E$19,4,0)</f>
        <v>123322</v>
      </c>
      <c r="M52" s="389">
        <f>VLOOKUP(A51,[30]進出口值表查詢結果!$A$3:$E$19,3,0)</f>
        <v>4832338</v>
      </c>
    </row>
    <row r="53" spans="1:13" ht="19.5">
      <c r="A53" s="396" t="s">
        <v>232</v>
      </c>
      <c r="B53" s="387"/>
      <c r="C53" s="389"/>
      <c r="D53" s="397"/>
      <c r="E53" s="389"/>
      <c r="F53" s="389"/>
      <c r="G53" s="397"/>
      <c r="H53" s="389"/>
      <c r="I53" s="389"/>
      <c r="J53" s="410"/>
      <c r="K53" s="389"/>
      <c r="L53" s="389"/>
      <c r="M53" s="397"/>
    </row>
    <row r="54" spans="1:13" ht="19.5">
      <c r="A54" s="403">
        <v>87149990157</v>
      </c>
      <c r="B54" s="404"/>
      <c r="C54" s="400"/>
      <c r="D54" s="405"/>
      <c r="E54" s="406"/>
      <c r="F54" s="400"/>
      <c r="G54" s="405"/>
      <c r="H54" s="406"/>
      <c r="I54" s="406"/>
      <c r="J54" s="405"/>
      <c r="K54" s="406"/>
      <c r="L54" s="406"/>
      <c r="M54" s="405"/>
    </row>
    <row r="55" spans="1:13" ht="19.5">
      <c r="A55" s="396" t="s">
        <v>233</v>
      </c>
      <c r="B55" s="387"/>
      <c r="C55" s="389">
        <f>VLOOKUP(A54,[27]進出口值表查詢結果!$A$3:$E$19,4,0)</f>
        <v>150727</v>
      </c>
      <c r="D55" s="389">
        <f>VLOOKUP(A54,[27]進出口值表查詢結果!$A$3:$E$19,3,0)</f>
        <v>4934647</v>
      </c>
      <c r="E55" s="389"/>
      <c r="F55" s="389">
        <f>VLOOKUP(A54,[28]進出口值表查詢結果!$A$3:$E$19,4,0)</f>
        <v>1296873</v>
      </c>
      <c r="G55" s="389">
        <f>VLOOKUP(A54,[28]進出口值表查詢結果!$A$3:$E$19,3,0)</f>
        <v>56028462</v>
      </c>
      <c r="H55" s="389"/>
      <c r="I55" s="389">
        <f>VLOOKUP(A54,[29]進出口值表查詢結果!$A$3:$E$19,4,0)</f>
        <v>24690</v>
      </c>
      <c r="J55" s="389">
        <f>VLOOKUP(A54,[29]進出口值表查詢結果!$A$3:$E$19,3,0)</f>
        <v>1036920</v>
      </c>
      <c r="K55" s="389"/>
      <c r="L55" s="389">
        <f>VLOOKUP(A54,[30]進出口值表查詢結果!$A$3:$E$19,4,0)</f>
        <v>302963</v>
      </c>
      <c r="M55" s="389">
        <f>VLOOKUP(A54,[30]進出口值表查詢結果!$A$3:$E$19,3,0)</f>
        <v>12606946</v>
      </c>
    </row>
    <row r="56" spans="1:13" ht="19.5">
      <c r="A56" s="396" t="s">
        <v>234</v>
      </c>
      <c r="B56" s="387"/>
      <c r="C56" s="389"/>
      <c r="D56" s="397"/>
      <c r="E56" s="389"/>
      <c r="F56" s="389"/>
      <c r="G56" s="397"/>
      <c r="H56" s="389"/>
      <c r="I56" s="389"/>
      <c r="J56" s="397"/>
      <c r="K56" s="389"/>
      <c r="L56" s="389"/>
      <c r="M56" s="397"/>
    </row>
    <row r="57" spans="1:13" ht="19.5">
      <c r="A57" s="403">
        <v>87149990166</v>
      </c>
      <c r="B57" s="404"/>
      <c r="C57" s="400"/>
      <c r="D57" s="405"/>
      <c r="E57" s="406"/>
      <c r="F57" s="400"/>
      <c r="G57" s="405"/>
      <c r="H57" s="406"/>
      <c r="I57" s="406"/>
      <c r="J57" s="405"/>
      <c r="K57" s="406"/>
      <c r="L57" s="406"/>
      <c r="M57" s="405"/>
    </row>
    <row r="58" spans="1:13" ht="19.5">
      <c r="A58" s="396" t="s">
        <v>231</v>
      </c>
      <c r="B58" s="387"/>
      <c r="C58" s="389">
        <f>VLOOKUP(A57,[27]進出口值表查詢結果!$A$3:$E$19,4,0)</f>
        <v>114620</v>
      </c>
      <c r="D58" s="389">
        <f>VLOOKUP(A57,[27]進出口值表查詢結果!$A$3:$E$19,3,0)</f>
        <v>4066192</v>
      </c>
      <c r="E58" s="389"/>
      <c r="F58" s="389">
        <f>VLOOKUP(A57,[28]進出口值表查詢結果!$A$3:$E$19,4,0)</f>
        <v>1155303</v>
      </c>
      <c r="G58" s="389">
        <f>VLOOKUP(A57,[28]進出口值表查詢結果!$A$3:$E$19,3,0)</f>
        <v>42840451</v>
      </c>
      <c r="H58" s="389"/>
      <c r="I58" s="389">
        <f>VLOOKUP(A57,[29]進出口值表查詢結果!$A$3:$E$19,4,0)</f>
        <v>42493</v>
      </c>
      <c r="J58" s="389">
        <f>VLOOKUP(A57,[29]進出口值表查詢結果!$A$3:$E$19,3,0)</f>
        <v>2689422</v>
      </c>
      <c r="K58" s="389"/>
      <c r="L58" s="389">
        <f>VLOOKUP(A57,[30]進出口值表查詢結果!$A$3:$E$19,4,0)</f>
        <v>355385</v>
      </c>
      <c r="M58" s="389">
        <f>VLOOKUP(A57,[30]進出口值表查詢結果!$A$3:$E$19,3,0)</f>
        <v>30423900</v>
      </c>
    </row>
    <row r="59" spans="1:13" ht="19.5">
      <c r="A59" s="403">
        <v>40115000008</v>
      </c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</row>
    <row r="60" spans="1:13" ht="19.5">
      <c r="A60" s="396" t="s">
        <v>235</v>
      </c>
      <c r="B60" s="387"/>
      <c r="C60" s="389">
        <v>416210</v>
      </c>
      <c r="D60" s="389">
        <v>6546770</v>
      </c>
      <c r="E60" s="389"/>
      <c r="F60" s="389">
        <v>4222112</v>
      </c>
      <c r="G60" s="389">
        <v>67958391</v>
      </c>
      <c r="H60" s="389"/>
      <c r="I60" s="389">
        <v>160417</v>
      </c>
      <c r="J60" s="389">
        <v>1665921</v>
      </c>
      <c r="K60" s="389"/>
      <c r="L60" s="389">
        <v>1559962</v>
      </c>
      <c r="M60" s="389">
        <v>18392282</v>
      </c>
    </row>
    <row r="61" spans="1:13" ht="19.5">
      <c r="A61" s="396" t="s">
        <v>236</v>
      </c>
      <c r="B61" s="387" t="s">
        <v>205</v>
      </c>
      <c r="C61" s="389">
        <v>496007</v>
      </c>
      <c r="D61" s="397" t="s">
        <v>237</v>
      </c>
      <c r="E61" s="3" t="s">
        <v>205</v>
      </c>
      <c r="F61" s="389">
        <v>5708487</v>
      </c>
      <c r="G61" s="397" t="s">
        <v>237</v>
      </c>
      <c r="H61" s="3" t="s">
        <v>205</v>
      </c>
      <c r="I61" s="389">
        <v>235975</v>
      </c>
      <c r="J61" s="397" t="s">
        <v>317</v>
      </c>
      <c r="K61" s="389" t="s">
        <v>205</v>
      </c>
      <c r="L61" s="389">
        <v>2328396</v>
      </c>
      <c r="M61" s="397" t="s">
        <v>213</v>
      </c>
    </row>
    <row r="62" spans="1:13" ht="19.5">
      <c r="A62" s="403">
        <v>40132000003</v>
      </c>
      <c r="B62" s="404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</row>
    <row r="63" spans="1:13" ht="19.5">
      <c r="A63" s="396" t="s">
        <v>238</v>
      </c>
      <c r="B63" s="387"/>
      <c r="C63" s="389">
        <v>59964</v>
      </c>
      <c r="D63" s="389">
        <v>633494</v>
      </c>
      <c r="E63" s="389"/>
      <c r="F63" s="389">
        <v>887556</v>
      </c>
      <c r="G63" s="389">
        <v>9092920</v>
      </c>
      <c r="H63" s="389"/>
      <c r="I63" s="389">
        <v>46512</v>
      </c>
      <c r="J63" s="389">
        <v>287540</v>
      </c>
      <c r="K63" s="389"/>
      <c r="L63" s="389">
        <v>370543</v>
      </c>
      <c r="M63" s="389">
        <v>2567862</v>
      </c>
    </row>
    <row r="64" spans="1:13" ht="19.5">
      <c r="A64" s="396" t="s">
        <v>239</v>
      </c>
      <c r="B64" s="387" t="s">
        <v>205</v>
      </c>
      <c r="C64" s="389">
        <v>307971</v>
      </c>
      <c r="D64" s="397" t="s">
        <v>213</v>
      </c>
      <c r="E64" s="3" t="s">
        <v>205</v>
      </c>
      <c r="F64" s="389">
        <v>5012695</v>
      </c>
      <c r="G64" s="397" t="s">
        <v>213</v>
      </c>
      <c r="H64" s="3" t="s">
        <v>205</v>
      </c>
      <c r="I64" s="389">
        <v>217616</v>
      </c>
      <c r="J64" s="397" t="s">
        <v>213</v>
      </c>
      <c r="K64" s="389" t="s">
        <v>205</v>
      </c>
      <c r="L64" s="389">
        <v>2060879</v>
      </c>
      <c r="M64" s="397" t="s">
        <v>213</v>
      </c>
    </row>
    <row r="65" spans="1:13" ht="19.5">
      <c r="A65" s="396"/>
      <c r="B65" s="387"/>
      <c r="C65" s="389"/>
      <c r="D65" s="397"/>
      <c r="E65" s="389"/>
      <c r="F65" s="389"/>
      <c r="G65" s="397"/>
      <c r="H65" s="389"/>
      <c r="I65" s="389"/>
      <c r="J65" s="397"/>
      <c r="K65" s="389"/>
      <c r="L65" s="389"/>
      <c r="M65" s="397"/>
    </row>
    <row r="66" spans="1:13" ht="19.5">
      <c r="A66" s="348" t="s">
        <v>240</v>
      </c>
      <c r="B66" s="411"/>
      <c r="C66" s="412">
        <f>SUM(C5:C65)-C64-C61-C19-C16-C10-C7-C13</f>
        <v>3150076</v>
      </c>
      <c r="D66" s="515">
        <f>SUM(D5:D65)</f>
        <v>127702276</v>
      </c>
      <c r="E66" s="412"/>
      <c r="F66" s="412">
        <f>SUM(F5:F65)-F64-F61-F19-F16-F10-F7-F13</f>
        <v>32583367</v>
      </c>
      <c r="G66" s="515">
        <f>SUM(G5:G65)</f>
        <v>1465537602</v>
      </c>
      <c r="H66" s="412"/>
      <c r="I66" s="412">
        <f>SUM(I5:I65)-I64-I61-I19-I16-I10-I7</f>
        <v>1500454</v>
      </c>
      <c r="J66" s="515">
        <f>SUM(J5:J65)</f>
        <v>52444225</v>
      </c>
      <c r="K66" s="412"/>
      <c r="L66" s="412">
        <f>SUM(L5:L65)-L64-L61-L19-L16-L10-L7</f>
        <v>13995025</v>
      </c>
      <c r="M66" s="413">
        <f>SUM(M5:M65)</f>
        <v>634518712</v>
      </c>
    </row>
    <row r="67" spans="1:13" ht="8.25" customHeight="1">
      <c r="A67" s="3"/>
      <c r="B67" s="3"/>
      <c r="C67" s="389"/>
      <c r="D67" s="389"/>
      <c r="E67" s="389"/>
      <c r="F67" s="389"/>
      <c r="G67" s="4"/>
      <c r="H67" s="389"/>
      <c r="I67" s="389"/>
      <c r="J67" s="389"/>
      <c r="K67" s="389"/>
      <c r="L67" s="389"/>
      <c r="M67" s="389"/>
    </row>
    <row r="68" spans="1:13">
      <c r="A68" s="57" t="s">
        <v>178</v>
      </c>
      <c r="B68" s="3"/>
      <c r="C68" s="58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8">
      <c r="A69" s="153" t="s">
        <v>186</v>
      </c>
      <c r="B69" s="61"/>
      <c r="C69" s="62"/>
      <c r="D69" s="64"/>
      <c r="E69" s="61"/>
      <c r="F69" s="62"/>
      <c r="G69" s="64"/>
      <c r="H69" s="60"/>
      <c r="I69" s="60"/>
      <c r="J69" s="60"/>
      <c r="K69" s="60"/>
      <c r="L69" s="60"/>
      <c r="M69" s="60"/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G19" sqref="G19"/>
    </sheetView>
  </sheetViews>
  <sheetFormatPr defaultRowHeight="16.5"/>
  <cols>
    <col min="1" max="1" width="21.875" customWidth="1"/>
    <col min="2" max="2" width="2.625" customWidth="1"/>
    <col min="3" max="3" width="17.5" customWidth="1"/>
    <col min="4" max="4" width="16.5" customWidth="1"/>
    <col min="5" max="5" width="1.875" customWidth="1"/>
    <col min="6" max="6" width="15.25" customWidth="1"/>
    <col min="7" max="7" width="17.625" customWidth="1"/>
    <col min="8" max="8" width="2.375" customWidth="1"/>
    <col min="9" max="9" width="15.875" customWidth="1"/>
    <col min="10" max="10" width="16.5" customWidth="1"/>
    <col min="11" max="11" width="2.875" customWidth="1"/>
    <col min="12" max="12" width="15.875" customWidth="1"/>
    <col min="13" max="13" width="18.875" customWidth="1"/>
  </cols>
  <sheetData>
    <row r="1" spans="1:13" ht="23.25">
      <c r="A1" s="765" t="s">
        <v>301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2" spans="1:13" ht="23.25">
      <c r="A2" s="66"/>
      <c r="B2" s="386"/>
      <c r="C2" s="386"/>
      <c r="D2" s="386"/>
      <c r="E2" s="414"/>
      <c r="F2" s="414"/>
      <c r="G2" s="414"/>
      <c r="H2" s="386"/>
      <c r="I2" s="386"/>
      <c r="J2" s="386"/>
      <c r="K2" s="414"/>
      <c r="L2" s="414"/>
      <c r="M2" s="414"/>
    </row>
    <row r="3" spans="1:13">
      <c r="A3" s="3"/>
      <c r="B3" s="389"/>
      <c r="C3" s="389"/>
      <c r="D3" s="389"/>
      <c r="E3" s="415"/>
      <c r="F3" s="415"/>
      <c r="G3" s="415"/>
      <c r="H3" s="389"/>
      <c r="I3" s="389"/>
      <c r="J3" s="4"/>
      <c r="K3" s="415"/>
      <c r="L3" s="415"/>
      <c r="M3" s="113"/>
    </row>
    <row r="4" spans="1:13">
      <c r="A4" s="3"/>
      <c r="B4" s="389"/>
      <c r="C4" s="389"/>
      <c r="D4" s="389"/>
      <c r="E4" s="415"/>
      <c r="F4" s="415"/>
      <c r="G4" s="415"/>
      <c r="H4" s="389"/>
      <c r="I4" s="389"/>
      <c r="J4" s="4"/>
      <c r="K4" s="415"/>
      <c r="L4" s="415"/>
      <c r="M4" s="113"/>
    </row>
    <row r="5" spans="1:13" ht="19.5">
      <c r="A5" s="348" t="s">
        <v>202</v>
      </c>
      <c r="B5" s="390"/>
      <c r="C5" s="494" t="s">
        <v>274</v>
      </c>
      <c r="D5" s="495" t="s">
        <v>275</v>
      </c>
      <c r="E5" s="416"/>
      <c r="F5" s="496" t="s">
        <v>302</v>
      </c>
      <c r="G5" s="497" t="s">
        <v>303</v>
      </c>
      <c r="H5" s="390"/>
      <c r="I5" s="494" t="s">
        <v>304</v>
      </c>
      <c r="J5" s="495" t="s">
        <v>305</v>
      </c>
      <c r="K5" s="416"/>
      <c r="L5" s="496" t="s">
        <v>306</v>
      </c>
      <c r="M5" s="497" t="s">
        <v>307</v>
      </c>
    </row>
    <row r="6" spans="1:13" ht="19.5">
      <c r="A6" s="392">
        <v>85121010001</v>
      </c>
      <c r="B6" s="394"/>
      <c r="C6" s="394"/>
      <c r="D6" s="395"/>
      <c r="E6" s="417"/>
      <c r="F6" s="417"/>
      <c r="G6" s="418"/>
      <c r="H6" s="394"/>
      <c r="I6" s="394"/>
      <c r="J6" s="395"/>
      <c r="K6" s="417"/>
      <c r="L6" s="417"/>
      <c r="M6" s="418"/>
    </row>
    <row r="7" spans="1:13" ht="19.5">
      <c r="A7" s="396" t="s">
        <v>203</v>
      </c>
      <c r="B7" s="389"/>
      <c r="C7" s="389">
        <v>75936</v>
      </c>
      <c r="D7" s="389">
        <v>7481617</v>
      </c>
      <c r="E7" s="415"/>
      <c r="F7" s="415">
        <f>C7+零件進出口!C6</f>
        <v>85804</v>
      </c>
      <c r="G7" s="419">
        <f>D7+零件進出口!D6</f>
        <v>8694219</v>
      </c>
      <c r="H7" s="389"/>
      <c r="I7" s="389">
        <v>22528</v>
      </c>
      <c r="J7" s="389">
        <v>1399369</v>
      </c>
      <c r="K7" s="415"/>
      <c r="L7" s="415">
        <f>I7+零件進出口!I6</f>
        <v>26948</v>
      </c>
      <c r="M7" s="419">
        <f>J7+零件進出口!J6</f>
        <v>1551543</v>
      </c>
    </row>
    <row r="8" spans="1:13" ht="19.5">
      <c r="A8" s="396" t="s">
        <v>204</v>
      </c>
      <c r="B8" s="3" t="s">
        <v>205</v>
      </c>
      <c r="C8" s="389">
        <v>687128</v>
      </c>
      <c r="D8" s="397" t="s">
        <v>207</v>
      </c>
      <c r="E8" s="152" t="s">
        <v>205</v>
      </c>
      <c r="F8" s="415">
        <f>C8+零件進出口!C7</f>
        <v>778159</v>
      </c>
      <c r="G8" s="419" t="s">
        <v>241</v>
      </c>
      <c r="H8" s="389" t="s">
        <v>205</v>
      </c>
      <c r="I8" s="389">
        <v>409980</v>
      </c>
      <c r="J8" s="397" t="s">
        <v>207</v>
      </c>
      <c r="K8" s="415" t="s">
        <v>205</v>
      </c>
      <c r="L8" s="415">
        <f>I8+零件進出口!I7</f>
        <v>467447</v>
      </c>
      <c r="M8" s="419" t="s">
        <v>241</v>
      </c>
    </row>
    <row r="9" spans="1:13" ht="19.5">
      <c r="A9" s="398">
        <v>85121020009</v>
      </c>
      <c r="B9" s="402"/>
      <c r="C9" s="400"/>
      <c r="D9" s="401"/>
      <c r="E9" s="420"/>
      <c r="F9" s="420"/>
      <c r="G9" s="421"/>
      <c r="H9" s="402"/>
      <c r="I9" s="400"/>
      <c r="J9" s="401"/>
      <c r="K9" s="420"/>
      <c r="L9" s="420"/>
      <c r="M9" s="421"/>
    </row>
    <row r="10" spans="1:13" ht="19.5">
      <c r="A10" s="396" t="s">
        <v>208</v>
      </c>
      <c r="B10" s="389"/>
      <c r="C10" s="389">
        <v>20016</v>
      </c>
      <c r="D10" s="389">
        <v>2580236</v>
      </c>
      <c r="E10" s="415"/>
      <c r="F10" s="415">
        <f>C10+零件進出口!C9</f>
        <v>23630</v>
      </c>
      <c r="G10" s="419">
        <f>D10+零件進出口!D9</f>
        <v>3228083</v>
      </c>
      <c r="H10" s="389"/>
      <c r="I10" s="389">
        <v>13388</v>
      </c>
      <c r="J10" s="389">
        <v>1066902</v>
      </c>
      <c r="K10" s="415"/>
      <c r="L10" s="415">
        <f>I10+零件進出口!I9</f>
        <v>14964</v>
      </c>
      <c r="M10" s="419">
        <f>J10+零件進出口!J9</f>
        <v>1170126</v>
      </c>
    </row>
    <row r="11" spans="1:13" ht="19.5">
      <c r="A11" s="396" t="s">
        <v>209</v>
      </c>
      <c r="B11" s="3" t="s">
        <v>205</v>
      </c>
      <c r="C11" s="389">
        <v>213783</v>
      </c>
      <c r="D11" s="397" t="s">
        <v>207</v>
      </c>
      <c r="E11" s="152" t="s">
        <v>205</v>
      </c>
      <c r="F11" s="415">
        <f>C11+零件進出口!C10</f>
        <v>244418</v>
      </c>
      <c r="G11" s="419" t="s">
        <v>213</v>
      </c>
      <c r="H11" s="389" t="s">
        <v>205</v>
      </c>
      <c r="I11" s="389">
        <v>236400</v>
      </c>
      <c r="J11" s="397" t="s">
        <v>207</v>
      </c>
      <c r="K11" s="415" t="s">
        <v>205</v>
      </c>
      <c r="L11" s="415">
        <f>I11+零件進出口!I10</f>
        <v>266493</v>
      </c>
      <c r="M11" s="419" t="s">
        <v>241</v>
      </c>
    </row>
    <row r="12" spans="1:13" ht="19.5">
      <c r="A12" s="403">
        <v>87149120007</v>
      </c>
      <c r="B12" s="406"/>
      <c r="C12" s="400"/>
      <c r="D12" s="405"/>
      <c r="E12" s="422"/>
      <c r="F12" s="422"/>
      <c r="G12" s="423"/>
      <c r="H12" s="406"/>
      <c r="I12" s="400"/>
      <c r="J12" s="405"/>
      <c r="K12" s="422"/>
      <c r="L12" s="422"/>
      <c r="M12" s="423"/>
    </row>
    <row r="13" spans="1:13" ht="19.5">
      <c r="A13" s="396" t="s">
        <v>210</v>
      </c>
      <c r="B13" s="389"/>
      <c r="C13" s="389">
        <v>4116671</v>
      </c>
      <c r="D13" s="389">
        <v>207238522</v>
      </c>
      <c r="E13" s="415"/>
      <c r="F13" s="415">
        <f>C13+零件進出口!C12</f>
        <v>4760127</v>
      </c>
      <c r="G13" s="419">
        <f>D13+零件進出口!D12</f>
        <v>242830446</v>
      </c>
      <c r="H13" s="389"/>
      <c r="I13" s="389">
        <v>2844110</v>
      </c>
      <c r="J13" s="389">
        <v>109183234</v>
      </c>
      <c r="K13" s="415"/>
      <c r="L13" s="415">
        <f>I13+零件進出口!I12</f>
        <v>3276648</v>
      </c>
      <c r="M13" s="419">
        <f>J13+零件進出口!J12</f>
        <v>128760954</v>
      </c>
    </row>
    <row r="14" spans="1:13" ht="19.5">
      <c r="A14" s="396" t="s">
        <v>211</v>
      </c>
      <c r="B14" s="3" t="s">
        <v>205</v>
      </c>
      <c r="C14" s="389"/>
      <c r="D14" s="397"/>
      <c r="E14" s="152" t="s">
        <v>205</v>
      </c>
      <c r="F14" s="415">
        <f>C14+[31]零件!C14</f>
        <v>0</v>
      </c>
      <c r="G14" s="419"/>
      <c r="H14" s="389"/>
      <c r="I14" s="389"/>
      <c r="J14" s="397"/>
      <c r="K14" s="415" t="s">
        <v>205</v>
      </c>
      <c r="L14" s="415"/>
      <c r="M14" s="419"/>
    </row>
    <row r="15" spans="1:13" ht="19.5">
      <c r="A15" s="403">
        <v>87149200108</v>
      </c>
      <c r="B15" s="406"/>
      <c r="C15" s="400"/>
      <c r="D15" s="405"/>
      <c r="E15" s="422"/>
      <c r="F15" s="422"/>
      <c r="G15" s="423"/>
      <c r="H15" s="406"/>
      <c r="I15" s="400"/>
      <c r="J15" s="405"/>
      <c r="K15" s="422"/>
      <c r="L15" s="422"/>
      <c r="M15" s="423"/>
    </row>
    <row r="16" spans="1:13" ht="19.5">
      <c r="A16" s="396" t="s">
        <v>212</v>
      </c>
      <c r="B16" s="389"/>
      <c r="C16" s="389">
        <v>764569</v>
      </c>
      <c r="D16" s="389">
        <v>12040240</v>
      </c>
      <c r="E16" s="415"/>
      <c r="F16" s="415">
        <f>C16+零件進出口!C15</f>
        <v>892176</v>
      </c>
      <c r="G16" s="419">
        <f>D16+零件進出口!D15</f>
        <v>15032682</v>
      </c>
      <c r="H16" s="389"/>
      <c r="I16" s="389">
        <v>456802</v>
      </c>
      <c r="J16" s="389">
        <v>18918321</v>
      </c>
      <c r="K16" s="415"/>
      <c r="L16" s="415">
        <f>I16+零件進出口!I15</f>
        <v>519621</v>
      </c>
      <c r="M16" s="419">
        <f>J16+零件進出口!J15</f>
        <v>25652962</v>
      </c>
    </row>
    <row r="17" spans="1:13" ht="19.5">
      <c r="A17" s="396"/>
      <c r="B17" s="3" t="s">
        <v>205</v>
      </c>
      <c r="C17" s="389">
        <v>1684358</v>
      </c>
      <c r="D17" s="397" t="s">
        <v>213</v>
      </c>
      <c r="E17" s="152" t="s">
        <v>205</v>
      </c>
      <c r="F17" s="415">
        <f>C17+零件進出口!C16</f>
        <v>1916622</v>
      </c>
      <c r="G17" s="419" t="s">
        <v>213</v>
      </c>
      <c r="H17" s="389" t="s">
        <v>205</v>
      </c>
      <c r="I17" s="389">
        <v>805758</v>
      </c>
      <c r="J17" s="397" t="s">
        <v>213</v>
      </c>
      <c r="K17" s="415" t="s">
        <v>205</v>
      </c>
      <c r="L17" s="415">
        <f>I17+零件進出口!I16</f>
        <v>949454</v>
      </c>
      <c r="M17" s="419" t="s">
        <v>213</v>
      </c>
    </row>
    <row r="18" spans="1:13" ht="19.5">
      <c r="A18" s="403">
        <v>87149200206</v>
      </c>
      <c r="B18" s="406"/>
      <c r="C18" s="400"/>
      <c r="D18" s="405"/>
      <c r="E18" s="422"/>
      <c r="F18" s="422"/>
      <c r="G18" s="423"/>
      <c r="H18" s="406"/>
      <c r="I18" s="406"/>
      <c r="J18" s="405"/>
      <c r="K18" s="422"/>
      <c r="L18" s="422"/>
      <c r="M18" s="423"/>
    </row>
    <row r="19" spans="1:13" ht="19.5">
      <c r="A19" s="396" t="s">
        <v>143</v>
      </c>
      <c r="B19" s="389"/>
      <c r="C19" s="389">
        <v>478779</v>
      </c>
      <c r="D19" s="389">
        <v>3283117</v>
      </c>
      <c r="E19" s="415"/>
      <c r="F19" s="415">
        <f>C19+零件進出口!C18</f>
        <v>571916</v>
      </c>
      <c r="G19" s="419">
        <f>D19+零件進出口!D18</f>
        <v>4460408</v>
      </c>
      <c r="H19" s="389"/>
      <c r="I19" s="389">
        <v>40078</v>
      </c>
      <c r="J19" s="389">
        <v>3933271</v>
      </c>
      <c r="K19" s="415"/>
      <c r="L19" s="415">
        <f>I19+零件進出口!I18</f>
        <v>50855</v>
      </c>
      <c r="M19" s="419">
        <f>J19+零件進出口!J18</f>
        <v>4456197</v>
      </c>
    </row>
    <row r="20" spans="1:13" ht="19.5">
      <c r="A20" s="396"/>
      <c r="B20" s="3" t="s">
        <v>205</v>
      </c>
      <c r="C20" s="389">
        <v>55545612</v>
      </c>
      <c r="D20" s="397" t="s">
        <v>213</v>
      </c>
      <c r="E20" s="152" t="s">
        <v>205</v>
      </c>
      <c r="F20" s="415">
        <f>C20+零件進出口!C19</f>
        <v>70025367</v>
      </c>
      <c r="G20" s="419" t="s">
        <v>213</v>
      </c>
      <c r="H20" s="389" t="s">
        <v>205</v>
      </c>
      <c r="I20" s="389">
        <v>10704417</v>
      </c>
      <c r="J20" s="397" t="s">
        <v>213</v>
      </c>
      <c r="K20" s="415" t="s">
        <v>205</v>
      </c>
      <c r="L20" s="415">
        <f>I20+零件進出口!I19</f>
        <v>12500680</v>
      </c>
      <c r="M20" s="419" t="s">
        <v>213</v>
      </c>
    </row>
    <row r="21" spans="1:13" ht="19.5">
      <c r="A21" s="403">
        <v>87149200304</v>
      </c>
      <c r="B21" s="406"/>
      <c r="C21" s="400"/>
      <c r="D21" s="405"/>
      <c r="E21" s="422"/>
      <c r="F21" s="422"/>
      <c r="G21" s="423"/>
      <c r="H21" s="406"/>
      <c r="I21" s="406"/>
      <c r="J21" s="405"/>
      <c r="K21" s="422"/>
      <c r="L21" s="422"/>
      <c r="M21" s="423"/>
    </row>
    <row r="22" spans="1:13" ht="19.5">
      <c r="A22" s="396" t="s">
        <v>145</v>
      </c>
      <c r="B22" s="389"/>
      <c r="C22" s="389">
        <v>219200</v>
      </c>
      <c r="D22" s="389">
        <v>14588219</v>
      </c>
      <c r="E22" s="415"/>
      <c r="F22" s="415">
        <f>C22+零件進出口!C21</f>
        <v>283480</v>
      </c>
      <c r="G22" s="419">
        <f>D22+零件進出口!D21</f>
        <v>24063025</v>
      </c>
      <c r="H22" s="389"/>
      <c r="I22" s="389">
        <v>233489</v>
      </c>
      <c r="J22" s="389">
        <v>3032786</v>
      </c>
      <c r="K22" s="415"/>
      <c r="L22" s="415">
        <f>I22+零件進出口!I21</f>
        <v>255328</v>
      </c>
      <c r="M22" s="419">
        <f>J22+零件進出口!J21</f>
        <v>3480467</v>
      </c>
    </row>
    <row r="23" spans="1:13" ht="19.5">
      <c r="A23" s="403">
        <v>87149310007</v>
      </c>
      <c r="B23" s="406"/>
      <c r="C23" s="400"/>
      <c r="D23" s="405"/>
      <c r="E23" s="422"/>
      <c r="F23" s="422"/>
      <c r="G23" s="423"/>
      <c r="H23" s="406"/>
      <c r="I23" s="406"/>
      <c r="J23" s="405"/>
      <c r="K23" s="422"/>
      <c r="L23" s="422"/>
      <c r="M23" s="423"/>
    </row>
    <row r="24" spans="1:13" ht="19.5">
      <c r="A24" s="396" t="s">
        <v>214</v>
      </c>
      <c r="B24" s="389"/>
      <c r="C24" s="389">
        <v>303499</v>
      </c>
      <c r="D24" s="389">
        <v>15581521</v>
      </c>
      <c r="E24" s="415"/>
      <c r="F24" s="415">
        <f>C24+零件進出口!C23</f>
        <v>365881</v>
      </c>
      <c r="G24" s="419">
        <f>D24+零件進出口!D23</f>
        <v>19615391</v>
      </c>
      <c r="H24" s="389"/>
      <c r="I24" s="389">
        <v>566371</v>
      </c>
      <c r="J24" s="389">
        <v>13225485</v>
      </c>
      <c r="K24" s="415"/>
      <c r="L24" s="415">
        <f>I24+零件進出口!I23</f>
        <v>615156</v>
      </c>
      <c r="M24" s="419">
        <f>J24+零件進出口!J23</f>
        <v>15207722</v>
      </c>
    </row>
    <row r="25" spans="1:13" ht="19.5">
      <c r="A25" s="396" t="s">
        <v>215</v>
      </c>
      <c r="B25" s="389"/>
      <c r="C25" s="389"/>
      <c r="D25" s="397"/>
      <c r="E25" s="415"/>
      <c r="F25" s="415"/>
      <c r="G25" s="419"/>
      <c r="H25" s="389"/>
      <c r="I25" s="389"/>
      <c r="J25" s="397"/>
      <c r="K25" s="415"/>
      <c r="L25" s="415"/>
      <c r="M25" s="419"/>
    </row>
    <row r="26" spans="1:13" ht="19.5">
      <c r="A26" s="396" t="s">
        <v>216</v>
      </c>
      <c r="B26" s="389"/>
      <c r="C26" s="389"/>
      <c r="D26" s="397"/>
      <c r="E26" s="415"/>
      <c r="F26" s="415"/>
      <c r="G26" s="419"/>
      <c r="H26" s="389"/>
      <c r="I26" s="389"/>
      <c r="J26" s="397"/>
      <c r="K26" s="415"/>
      <c r="L26" s="415"/>
      <c r="M26" s="419"/>
    </row>
    <row r="27" spans="1:13" ht="19.5">
      <c r="A27" s="403">
        <v>87149320005</v>
      </c>
      <c r="B27" s="406"/>
      <c r="C27" s="400"/>
      <c r="D27" s="405"/>
      <c r="E27" s="422"/>
      <c r="F27" s="422"/>
      <c r="G27" s="423"/>
      <c r="H27" s="406"/>
      <c r="I27" s="406"/>
      <c r="J27" s="405"/>
      <c r="K27" s="422"/>
      <c r="L27" s="422"/>
      <c r="M27" s="423"/>
    </row>
    <row r="28" spans="1:13" ht="19.5">
      <c r="A28" s="396" t="s">
        <v>217</v>
      </c>
      <c r="B28" s="389"/>
      <c r="C28" s="389">
        <v>530663</v>
      </c>
      <c r="D28" s="389">
        <v>20818790</v>
      </c>
      <c r="E28" s="415"/>
      <c r="F28" s="415">
        <f>C28+零件進出口!C27</f>
        <v>532110</v>
      </c>
      <c r="G28" s="419">
        <f>D28+零件進出口!D27</f>
        <v>20867114</v>
      </c>
      <c r="H28" s="389"/>
      <c r="I28" s="389">
        <v>204322</v>
      </c>
      <c r="J28" s="389">
        <v>6415566</v>
      </c>
      <c r="K28" s="415"/>
      <c r="L28" s="415">
        <f>I28+零件進出口!I27</f>
        <v>204796</v>
      </c>
      <c r="M28" s="419">
        <f>J28+零件進出口!J27</f>
        <v>6429474</v>
      </c>
    </row>
    <row r="29" spans="1:13" ht="19.5">
      <c r="A29" s="403">
        <v>87149410006</v>
      </c>
      <c r="B29" s="406"/>
      <c r="C29" s="400"/>
      <c r="D29" s="405"/>
      <c r="E29" s="422"/>
      <c r="F29" s="422"/>
      <c r="G29" s="423"/>
      <c r="H29" s="406"/>
      <c r="I29" s="406"/>
      <c r="J29" s="405"/>
      <c r="K29" s="422"/>
      <c r="L29" s="422"/>
      <c r="M29" s="423"/>
    </row>
    <row r="30" spans="1:13" ht="19.5">
      <c r="A30" s="396" t="s">
        <v>218</v>
      </c>
      <c r="B30" s="389"/>
      <c r="C30" s="389">
        <v>88720</v>
      </c>
      <c r="D30" s="389">
        <v>1463198</v>
      </c>
      <c r="E30" s="415"/>
      <c r="F30" s="415">
        <f>C30+零件進出口!C29</f>
        <v>96605</v>
      </c>
      <c r="G30" s="419">
        <f>D30+零件進出口!D29</f>
        <v>1627501</v>
      </c>
      <c r="H30" s="389"/>
      <c r="I30" s="389">
        <v>54798</v>
      </c>
      <c r="J30" s="389">
        <v>4934061</v>
      </c>
      <c r="K30" s="415"/>
      <c r="L30" s="415">
        <f>I30+零件進出口!I29</f>
        <v>59772</v>
      </c>
      <c r="M30" s="419">
        <f>J30+零件進出口!J29</f>
        <v>5622797</v>
      </c>
    </row>
    <row r="31" spans="1:13" ht="19.5">
      <c r="A31" s="396" t="s">
        <v>219</v>
      </c>
      <c r="B31" s="389"/>
      <c r="C31" s="389"/>
      <c r="D31" s="397"/>
      <c r="E31" s="415"/>
      <c r="F31" s="415"/>
      <c r="G31" s="419"/>
      <c r="H31" s="389"/>
      <c r="I31" s="389"/>
      <c r="J31" s="397"/>
      <c r="K31" s="415"/>
      <c r="L31" s="415"/>
      <c r="M31" s="419"/>
    </row>
    <row r="32" spans="1:13" ht="19.5">
      <c r="A32" s="403">
        <v>87149490009</v>
      </c>
      <c r="B32" s="406"/>
      <c r="C32" s="400"/>
      <c r="D32" s="405"/>
      <c r="E32" s="422"/>
      <c r="F32" s="422"/>
      <c r="G32" s="423"/>
      <c r="H32" s="406"/>
      <c r="I32" s="406"/>
      <c r="J32" s="405"/>
      <c r="K32" s="422"/>
      <c r="L32" s="422"/>
      <c r="M32" s="423"/>
    </row>
    <row r="33" spans="1:13" ht="19.5">
      <c r="A33" s="396" t="s">
        <v>220</v>
      </c>
      <c r="B33" s="389"/>
      <c r="C33" s="389">
        <v>2045021</v>
      </c>
      <c r="D33" s="389">
        <v>54909472</v>
      </c>
      <c r="E33" s="415"/>
      <c r="F33" s="415">
        <f>C33+零件進出口!C32</f>
        <v>2509892</v>
      </c>
      <c r="G33" s="419">
        <f>D33+零件進出口!D32</f>
        <v>73225896</v>
      </c>
      <c r="H33" s="389"/>
      <c r="I33" s="389">
        <v>921599</v>
      </c>
      <c r="J33" s="389">
        <v>46709171</v>
      </c>
      <c r="K33" s="415"/>
      <c r="L33" s="415">
        <f>I33+零件進出口!I32</f>
        <v>1151111</v>
      </c>
      <c r="M33" s="419">
        <f>J33+零件進出口!J32</f>
        <v>52796528</v>
      </c>
    </row>
    <row r="34" spans="1:13" ht="19.5">
      <c r="A34" s="396" t="s">
        <v>221</v>
      </c>
      <c r="B34" s="389"/>
      <c r="C34" s="389"/>
      <c r="D34" s="397"/>
      <c r="E34" s="415"/>
      <c r="F34" s="415"/>
      <c r="G34" s="419"/>
      <c r="H34" s="389"/>
      <c r="I34" s="389"/>
      <c r="J34" s="397"/>
      <c r="K34" s="415"/>
      <c r="L34" s="415"/>
      <c r="M34" s="419"/>
    </row>
    <row r="35" spans="1:13" ht="19.5">
      <c r="A35" s="403">
        <v>87149500007</v>
      </c>
      <c r="B35" s="406"/>
      <c r="C35" s="406"/>
      <c r="D35" s="405"/>
      <c r="E35" s="422"/>
      <c r="F35" s="422"/>
      <c r="G35" s="423"/>
      <c r="H35" s="406"/>
      <c r="I35" s="406"/>
      <c r="J35" s="405"/>
      <c r="K35" s="422"/>
      <c r="L35" s="422"/>
      <c r="M35" s="423"/>
    </row>
    <row r="36" spans="1:13" ht="19.5">
      <c r="A36" s="396" t="s">
        <v>222</v>
      </c>
      <c r="B36" s="389"/>
      <c r="C36" s="389">
        <v>884974</v>
      </c>
      <c r="D36" s="389">
        <v>17276648</v>
      </c>
      <c r="E36" s="415"/>
      <c r="F36" s="415">
        <f>C36+零件進出口!C35</f>
        <v>1025937</v>
      </c>
      <c r="G36" s="419">
        <f>D36+零件進出口!D35</f>
        <v>20308511</v>
      </c>
      <c r="H36" s="389"/>
      <c r="I36" s="389">
        <v>538901</v>
      </c>
      <c r="J36" s="389">
        <v>5669608</v>
      </c>
      <c r="K36" s="415"/>
      <c r="L36" s="415">
        <f>I36+零件進出口!I35</f>
        <v>622229</v>
      </c>
      <c r="M36" s="419">
        <f>J36+零件進出口!J35</f>
        <v>6721172</v>
      </c>
    </row>
    <row r="37" spans="1:13" ht="19.5">
      <c r="A37" s="403">
        <v>87149610004</v>
      </c>
      <c r="B37" s="406"/>
      <c r="C37" s="406"/>
      <c r="D37" s="405"/>
      <c r="E37" s="422"/>
      <c r="F37" s="422"/>
      <c r="G37" s="423"/>
      <c r="H37" s="406"/>
      <c r="I37" s="406"/>
      <c r="J37" s="405"/>
      <c r="K37" s="422"/>
      <c r="L37" s="422"/>
      <c r="M37" s="423"/>
    </row>
    <row r="38" spans="1:13" ht="19.5">
      <c r="A38" s="396" t="s">
        <v>223</v>
      </c>
      <c r="B38" s="389"/>
      <c r="C38" s="389">
        <v>1245872</v>
      </c>
      <c r="D38" s="389">
        <v>22883957</v>
      </c>
      <c r="E38" s="415"/>
      <c r="F38" s="415">
        <f>C38+零件進出口!C37</f>
        <v>1400444</v>
      </c>
      <c r="G38" s="419">
        <f>D38+零件進出口!D37</f>
        <v>26307306</v>
      </c>
      <c r="H38" s="389"/>
      <c r="I38" s="389">
        <v>237886</v>
      </c>
      <c r="J38" s="389">
        <v>1425309</v>
      </c>
      <c r="K38" s="415"/>
      <c r="L38" s="415">
        <f>I38+零件進出口!I37</f>
        <v>258729</v>
      </c>
      <c r="M38" s="419">
        <f>J38+零件進出口!J37</f>
        <v>1660381</v>
      </c>
    </row>
    <row r="39" spans="1:13" ht="19.5">
      <c r="A39" s="403">
        <v>87149620002</v>
      </c>
      <c r="B39" s="406"/>
      <c r="C39" s="400"/>
      <c r="D39" s="405"/>
      <c r="E39" s="422"/>
      <c r="F39" s="422"/>
      <c r="G39" s="423"/>
      <c r="H39" s="406"/>
      <c r="I39" s="406"/>
      <c r="J39" s="405"/>
      <c r="K39" s="422"/>
      <c r="L39" s="422"/>
      <c r="M39" s="423"/>
    </row>
    <row r="40" spans="1:13" ht="19.5">
      <c r="A40" s="396" t="s">
        <v>224</v>
      </c>
      <c r="B40" s="389"/>
      <c r="C40" s="389">
        <v>925442</v>
      </c>
      <c r="D40" s="389">
        <v>30910915</v>
      </c>
      <c r="E40" s="415"/>
      <c r="F40" s="415">
        <f>C40+零件進出口!C39</f>
        <v>1129708</v>
      </c>
      <c r="G40" s="419">
        <f>D40+零件進出口!D39</f>
        <v>42108423</v>
      </c>
      <c r="H40" s="389"/>
      <c r="I40" s="389">
        <v>842046</v>
      </c>
      <c r="J40" s="389">
        <v>15275875</v>
      </c>
      <c r="K40" s="415"/>
      <c r="L40" s="415">
        <f>I40+零件進出口!I39</f>
        <v>967014</v>
      </c>
      <c r="M40" s="419">
        <f>J40+零件進出口!J39</f>
        <v>18197850</v>
      </c>
    </row>
    <row r="41" spans="1:13" ht="19.5">
      <c r="A41" s="396" t="s">
        <v>219</v>
      </c>
      <c r="B41" s="389"/>
      <c r="C41" s="389"/>
      <c r="D41" s="397"/>
      <c r="E41" s="415"/>
      <c r="F41" s="415"/>
      <c r="G41" s="419"/>
      <c r="H41" s="389"/>
      <c r="I41" s="389"/>
      <c r="J41" s="397"/>
      <c r="K41" s="415"/>
      <c r="L41" s="415"/>
      <c r="M41" s="419"/>
    </row>
    <row r="42" spans="1:13" ht="19.5">
      <c r="A42" s="403">
        <v>73151100209</v>
      </c>
      <c r="B42" s="406"/>
      <c r="C42" s="400"/>
      <c r="D42" s="405"/>
      <c r="E42" s="422"/>
      <c r="F42" s="422"/>
      <c r="G42" s="423"/>
      <c r="H42" s="406"/>
      <c r="I42" s="406"/>
      <c r="J42" s="405"/>
      <c r="K42" s="422"/>
      <c r="L42" s="422"/>
      <c r="M42" s="423"/>
    </row>
    <row r="43" spans="1:13" ht="19.5">
      <c r="A43" s="396" t="s">
        <v>225</v>
      </c>
      <c r="B43" s="389"/>
      <c r="C43" s="389">
        <v>864681</v>
      </c>
      <c r="D43" s="389">
        <v>13712385</v>
      </c>
      <c r="E43" s="415"/>
      <c r="F43" s="415">
        <f>C43+零件進出口!F42</f>
        <v>2020857</v>
      </c>
      <c r="G43" s="419">
        <f>D43+零件進出口!G42</f>
        <v>38824320</v>
      </c>
      <c r="H43" s="389"/>
      <c r="I43" s="389">
        <v>718655</v>
      </c>
      <c r="J43" s="389">
        <v>5078197</v>
      </c>
      <c r="K43" s="415"/>
      <c r="L43" s="415">
        <f>I43+零件進出口!I42</f>
        <v>781070</v>
      </c>
      <c r="M43" s="419">
        <f>J43+零件進出口!J42</f>
        <v>5868318</v>
      </c>
    </row>
    <row r="44" spans="1:13" ht="19.5">
      <c r="A44" s="396" t="s">
        <v>226</v>
      </c>
      <c r="B44" s="389"/>
      <c r="C44" s="389"/>
      <c r="D44" s="397"/>
      <c r="E44" s="415"/>
      <c r="F44" s="415"/>
      <c r="G44" s="419"/>
      <c r="H44" s="389"/>
      <c r="I44" s="389"/>
      <c r="J44" s="397"/>
      <c r="K44" s="415"/>
      <c r="L44" s="415"/>
      <c r="M44" s="419"/>
    </row>
    <row r="45" spans="1:13" ht="19.5">
      <c r="A45" s="403">
        <v>87149990111</v>
      </c>
      <c r="B45" s="406"/>
      <c r="C45" s="400"/>
      <c r="D45" s="405"/>
      <c r="E45" s="422"/>
      <c r="F45" s="422"/>
      <c r="G45" s="423"/>
      <c r="H45" s="406"/>
      <c r="I45" s="406"/>
      <c r="J45" s="405"/>
      <c r="K45" s="422"/>
      <c r="L45" s="422"/>
      <c r="M45" s="423"/>
    </row>
    <row r="46" spans="1:13" ht="19.5">
      <c r="A46" s="407" t="s">
        <v>227</v>
      </c>
      <c r="B46" s="389"/>
      <c r="C46" s="389">
        <v>328880</v>
      </c>
      <c r="D46" s="389">
        <v>23051456</v>
      </c>
      <c r="E46" s="415"/>
      <c r="F46" s="415">
        <f>C46+零件進出口!C45</f>
        <v>391440</v>
      </c>
      <c r="G46" s="419">
        <f>D46+零件進出口!D45</f>
        <v>31645999</v>
      </c>
      <c r="H46" s="389"/>
      <c r="I46" s="389">
        <v>320454</v>
      </c>
      <c r="J46" s="389">
        <v>21576546</v>
      </c>
      <c r="K46" s="415"/>
      <c r="L46" s="415">
        <f>I46+零件進出口!I45</f>
        <v>376755</v>
      </c>
      <c r="M46" s="419">
        <f>J46+零件進出口!J45</f>
        <v>25055109</v>
      </c>
    </row>
    <row r="47" spans="1:13" ht="19.5">
      <c r="A47" s="396" t="s">
        <v>228</v>
      </c>
      <c r="B47" s="389"/>
      <c r="C47" s="389"/>
      <c r="D47" s="397"/>
      <c r="E47" s="415"/>
      <c r="F47" s="415"/>
      <c r="G47" s="419"/>
      <c r="H47" s="389"/>
      <c r="I47" s="389"/>
      <c r="J47" s="397"/>
      <c r="K47" s="415"/>
      <c r="L47" s="415"/>
      <c r="M47" s="419"/>
    </row>
    <row r="48" spans="1:13" ht="19.5">
      <c r="A48" s="403">
        <v>87149990120</v>
      </c>
      <c r="B48" s="406"/>
      <c r="C48" s="400"/>
      <c r="D48" s="405"/>
      <c r="E48" s="422"/>
      <c r="F48" s="422"/>
      <c r="G48" s="423"/>
      <c r="H48" s="406"/>
      <c r="I48" s="406"/>
      <c r="J48" s="405"/>
      <c r="K48" s="422"/>
      <c r="L48" s="422"/>
      <c r="M48" s="423"/>
    </row>
    <row r="49" spans="1:13" ht="19.5">
      <c r="A49" s="396" t="s">
        <v>229</v>
      </c>
      <c r="B49" s="389"/>
      <c r="C49" s="389">
        <v>220604</v>
      </c>
      <c r="D49" s="389">
        <v>5918418</v>
      </c>
      <c r="E49" s="415"/>
      <c r="F49" s="415">
        <f>C49+零件進出口!C48</f>
        <v>415067</v>
      </c>
      <c r="G49" s="419">
        <f>D49+零件進出口!D48</f>
        <v>13125187</v>
      </c>
      <c r="H49" s="389"/>
      <c r="I49" s="389">
        <v>84711</v>
      </c>
      <c r="J49" s="389">
        <v>1026648</v>
      </c>
      <c r="K49" s="415"/>
      <c r="L49" s="415">
        <f>I49+零件進出口!I48</f>
        <v>127222</v>
      </c>
      <c r="M49" s="419">
        <f>J49+零件進出口!J48</f>
        <v>2552133</v>
      </c>
    </row>
    <row r="50" spans="1:13" ht="19.5">
      <c r="A50" s="403">
        <v>87149990139</v>
      </c>
      <c r="B50" s="406"/>
      <c r="C50" s="400"/>
      <c r="D50" s="405"/>
      <c r="E50" s="422"/>
      <c r="F50" s="422"/>
      <c r="G50" s="423"/>
      <c r="H50" s="406"/>
      <c r="I50" s="406"/>
      <c r="J50" s="405"/>
      <c r="K50" s="422"/>
      <c r="L50" s="422"/>
      <c r="M50" s="423"/>
    </row>
    <row r="51" spans="1:13" ht="19.5">
      <c r="A51" s="396" t="s">
        <v>230</v>
      </c>
      <c r="B51" s="389"/>
      <c r="C51" s="389">
        <v>130869</v>
      </c>
      <c r="D51" s="389">
        <v>1213180</v>
      </c>
      <c r="E51" s="415"/>
      <c r="F51" s="415">
        <f>C51+零件進出口!C50</f>
        <v>134081</v>
      </c>
      <c r="G51" s="419">
        <f>D51+零件進出口!D50</f>
        <v>1394264</v>
      </c>
      <c r="H51" s="389"/>
      <c r="I51" s="389">
        <v>55243</v>
      </c>
      <c r="J51" s="389">
        <v>200393</v>
      </c>
      <c r="K51" s="415"/>
      <c r="L51" s="415">
        <f>I51+零件進出口!I50</f>
        <v>56546</v>
      </c>
      <c r="M51" s="419">
        <f>J51+零件進出口!J50</f>
        <v>208783</v>
      </c>
    </row>
    <row r="52" spans="1:13" ht="19.5">
      <c r="A52" s="403">
        <v>87149990148</v>
      </c>
      <c r="B52" s="406"/>
      <c r="C52" s="400"/>
      <c r="D52" s="405"/>
      <c r="E52" s="422"/>
      <c r="F52" s="422"/>
      <c r="G52" s="423"/>
      <c r="H52" s="406"/>
      <c r="I52" s="406"/>
      <c r="J52" s="405"/>
      <c r="K52" s="422"/>
      <c r="L52" s="422"/>
      <c r="M52" s="422"/>
    </row>
    <row r="53" spans="1:13" ht="19.5">
      <c r="A53" s="408" t="s">
        <v>231</v>
      </c>
      <c r="B53" s="389"/>
      <c r="C53" s="389">
        <v>308816</v>
      </c>
      <c r="D53" s="389">
        <v>8651866</v>
      </c>
      <c r="E53" s="415"/>
      <c r="F53" s="415">
        <f>C53+零件進出口!C52</f>
        <v>379765</v>
      </c>
      <c r="G53" s="419">
        <f>D53+零件進出口!D52</f>
        <v>10908038</v>
      </c>
      <c r="H53" s="389"/>
      <c r="I53" s="389">
        <v>164995</v>
      </c>
      <c r="J53" s="389">
        <v>1692801</v>
      </c>
      <c r="K53" s="415"/>
      <c r="L53" s="415">
        <f>I53+零件進出口!I52</f>
        <v>181954</v>
      </c>
      <c r="M53" s="419">
        <f>J53+零件進出口!J52</f>
        <v>2135449</v>
      </c>
    </row>
    <row r="54" spans="1:13" ht="19.5">
      <c r="A54" s="396" t="s">
        <v>232</v>
      </c>
      <c r="B54" s="389"/>
      <c r="C54" s="389"/>
      <c r="D54" s="397"/>
      <c r="E54" s="415"/>
      <c r="F54" s="415"/>
      <c r="G54" s="419"/>
      <c r="H54" s="389"/>
      <c r="I54" s="389"/>
      <c r="J54" s="397"/>
      <c r="K54" s="415"/>
      <c r="L54" s="415"/>
      <c r="M54" s="419"/>
    </row>
    <row r="55" spans="1:13" ht="19.5">
      <c r="A55" s="403">
        <v>87149990157</v>
      </c>
      <c r="B55" s="406"/>
      <c r="C55" s="400"/>
      <c r="D55" s="405"/>
      <c r="E55" s="422"/>
      <c r="F55" s="422"/>
      <c r="G55" s="423"/>
      <c r="H55" s="406"/>
      <c r="I55" s="406"/>
      <c r="J55" s="405"/>
      <c r="K55" s="422"/>
      <c r="L55" s="422"/>
      <c r="M55" s="422"/>
    </row>
    <row r="56" spans="1:13" ht="19.5">
      <c r="A56" s="396" t="s">
        <v>233</v>
      </c>
      <c r="B56" s="389"/>
      <c r="C56" s="389">
        <v>634353</v>
      </c>
      <c r="D56" s="389">
        <v>20560130</v>
      </c>
      <c r="E56" s="415"/>
      <c r="F56" s="415">
        <f>C56+零件進出口!C55</f>
        <v>785080</v>
      </c>
      <c r="G56" s="419">
        <f>D56+零件進出口!D55</f>
        <v>25494777</v>
      </c>
      <c r="H56" s="389"/>
      <c r="I56" s="389">
        <v>327993</v>
      </c>
      <c r="J56" s="389">
        <v>4790193</v>
      </c>
      <c r="K56" s="415"/>
      <c r="L56" s="415">
        <f>I56+零件進出口!I55</f>
        <v>352683</v>
      </c>
      <c r="M56" s="419">
        <f>J56+零件進出口!J55</f>
        <v>5827113</v>
      </c>
    </row>
    <row r="57" spans="1:13" ht="19.5">
      <c r="A57" s="396" t="s">
        <v>234</v>
      </c>
      <c r="B57" s="389"/>
      <c r="C57" s="389"/>
      <c r="D57" s="397"/>
      <c r="E57" s="415"/>
      <c r="F57" s="415"/>
      <c r="G57" s="419"/>
      <c r="H57" s="389"/>
      <c r="I57" s="389"/>
      <c r="J57" s="397"/>
      <c r="K57" s="415"/>
      <c r="L57" s="415"/>
      <c r="M57" s="419"/>
    </row>
    <row r="58" spans="1:13" ht="19.5">
      <c r="A58" s="403">
        <v>87149990166</v>
      </c>
      <c r="B58" s="406"/>
      <c r="C58" s="400"/>
      <c r="D58" s="405"/>
      <c r="E58" s="422"/>
      <c r="F58" s="422"/>
      <c r="G58" s="423"/>
      <c r="H58" s="406"/>
      <c r="I58" s="406"/>
      <c r="J58" s="405"/>
      <c r="K58" s="422"/>
      <c r="L58" s="422"/>
      <c r="M58" s="422"/>
    </row>
    <row r="59" spans="1:13" ht="19.5">
      <c r="A59" s="396" t="s">
        <v>231</v>
      </c>
      <c r="B59" s="389"/>
      <c r="C59" s="389">
        <v>707464</v>
      </c>
      <c r="D59" s="389">
        <v>15326533</v>
      </c>
      <c r="E59" s="415"/>
      <c r="F59" s="415">
        <f>C59+零件進出口!C58</f>
        <v>822084</v>
      </c>
      <c r="G59" s="419">
        <f>D59+零件進出口!D58</f>
        <v>19392725</v>
      </c>
      <c r="H59" s="389"/>
      <c r="I59" s="389">
        <v>237007</v>
      </c>
      <c r="J59" s="389">
        <v>5480869</v>
      </c>
      <c r="K59" s="415"/>
      <c r="L59" s="415">
        <f>I59+零件進出口!I58</f>
        <v>279500</v>
      </c>
      <c r="M59" s="419">
        <f>J59+零件進出口!J58</f>
        <v>8170291</v>
      </c>
    </row>
    <row r="60" spans="1:13" ht="19.5">
      <c r="A60" s="403">
        <v>40115000008</v>
      </c>
      <c r="B60" s="406"/>
      <c r="C60" s="406"/>
      <c r="D60" s="405"/>
      <c r="E60" s="422"/>
      <c r="F60" s="422"/>
      <c r="G60" s="423"/>
      <c r="H60" s="406"/>
      <c r="I60" s="406"/>
      <c r="J60" s="405"/>
      <c r="K60" s="422"/>
      <c r="L60" s="422"/>
      <c r="M60" s="422"/>
    </row>
    <row r="61" spans="1:13" ht="19.5">
      <c r="A61" s="396" t="s">
        <v>235</v>
      </c>
      <c r="B61" s="389"/>
      <c r="C61" s="389">
        <v>2114401</v>
      </c>
      <c r="D61" s="389">
        <v>28100234</v>
      </c>
      <c r="E61" s="415"/>
      <c r="F61" s="415">
        <f>C61+零件進出口!C60</f>
        <v>2530611</v>
      </c>
      <c r="G61" s="419">
        <f>D61+零件進出口!D60</f>
        <v>34647004</v>
      </c>
      <c r="H61" s="389"/>
      <c r="I61" s="389">
        <v>1001637</v>
      </c>
      <c r="J61" s="389">
        <v>8168165</v>
      </c>
      <c r="K61" s="415"/>
      <c r="L61" s="415">
        <f>I61+零件進出口!I60</f>
        <v>1162054</v>
      </c>
      <c r="M61" s="419">
        <f>J61+零件進出口!J60</f>
        <v>9834086</v>
      </c>
    </row>
    <row r="62" spans="1:13" ht="19.5">
      <c r="A62" s="396" t="s">
        <v>236</v>
      </c>
      <c r="B62" s="3" t="s">
        <v>205</v>
      </c>
      <c r="C62" s="389">
        <v>3127467</v>
      </c>
      <c r="D62" s="397" t="s">
        <v>213</v>
      </c>
      <c r="E62" s="152" t="s">
        <v>205</v>
      </c>
      <c r="F62" s="415">
        <f>C62+零件進出口!C61</f>
        <v>3623474</v>
      </c>
      <c r="G62" s="419" t="s">
        <v>213</v>
      </c>
      <c r="H62" s="389" t="s">
        <v>205</v>
      </c>
      <c r="I62" s="389">
        <v>1583305</v>
      </c>
      <c r="J62" s="397" t="s">
        <v>213</v>
      </c>
      <c r="K62" s="415" t="s">
        <v>205</v>
      </c>
      <c r="L62" s="415">
        <f>I62+零件進出口!I61</f>
        <v>1819280</v>
      </c>
      <c r="M62" s="419"/>
    </row>
    <row r="63" spans="1:13" ht="19.5">
      <c r="A63" s="403">
        <v>40132000003</v>
      </c>
      <c r="B63" s="406"/>
      <c r="C63" s="406"/>
      <c r="D63" s="405"/>
      <c r="E63" s="422"/>
      <c r="F63" s="422"/>
      <c r="G63" s="423"/>
      <c r="H63" s="406"/>
      <c r="I63" s="406"/>
      <c r="J63" s="405"/>
      <c r="K63" s="422"/>
      <c r="L63" s="422"/>
      <c r="M63" s="423"/>
    </row>
    <row r="64" spans="1:13" ht="19.5">
      <c r="A64" s="396" t="s">
        <v>238</v>
      </c>
      <c r="B64" s="389"/>
      <c r="C64" s="389">
        <v>955102</v>
      </c>
      <c r="D64" s="389">
        <v>8273393</v>
      </c>
      <c r="E64" s="415"/>
      <c r="F64" s="415">
        <f>C64+零件進出口!C63</f>
        <v>1015066</v>
      </c>
      <c r="G64" s="419">
        <f>D64+零件進出口!D63</f>
        <v>8906887</v>
      </c>
      <c r="H64" s="389"/>
      <c r="I64" s="389">
        <v>193723</v>
      </c>
      <c r="J64" s="389">
        <v>875791</v>
      </c>
      <c r="K64" s="415"/>
      <c r="L64" s="415">
        <f>I64+零件進出口!I63</f>
        <v>240235</v>
      </c>
      <c r="M64" s="419">
        <f>J64+零件進出口!J63</f>
        <v>1163331</v>
      </c>
    </row>
    <row r="65" spans="1:13" ht="19.5">
      <c r="A65" s="396" t="s">
        <v>239</v>
      </c>
      <c r="B65" s="3" t="s">
        <v>205</v>
      </c>
      <c r="C65" s="389">
        <v>5680379</v>
      </c>
      <c r="D65" s="397" t="s">
        <v>213</v>
      </c>
      <c r="E65" s="152" t="s">
        <v>205</v>
      </c>
      <c r="F65" s="415">
        <f>C65+零件進出口!C64</f>
        <v>5988350</v>
      </c>
      <c r="G65" s="419" t="s">
        <v>213</v>
      </c>
      <c r="H65" s="389" t="s">
        <v>205</v>
      </c>
      <c r="I65" s="389">
        <v>1032754</v>
      </c>
      <c r="J65" s="397" t="s">
        <v>213</v>
      </c>
      <c r="K65" s="415" t="s">
        <v>205</v>
      </c>
      <c r="L65" s="415">
        <f>I65+零件進出口!I64</f>
        <v>1250370</v>
      </c>
      <c r="M65" s="419" t="s">
        <v>213</v>
      </c>
    </row>
    <row r="66" spans="1:13" ht="19.5">
      <c r="A66" s="396"/>
      <c r="B66" s="389"/>
      <c r="C66" s="389"/>
      <c r="D66" s="397"/>
      <c r="E66" s="415"/>
      <c r="F66" s="415"/>
      <c r="G66" s="419"/>
      <c r="H66" s="389"/>
      <c r="I66" s="389"/>
      <c r="J66" s="397"/>
      <c r="K66" s="415"/>
      <c r="L66" s="415"/>
      <c r="M66" s="419"/>
    </row>
    <row r="67" spans="1:13" ht="19.5">
      <c r="A67" s="348" t="s">
        <v>240</v>
      </c>
      <c r="B67" s="412"/>
      <c r="C67" s="412">
        <f>SUM(C6:C66)-C65-C62-C20-C17-C11-C8-C14</f>
        <v>17964532</v>
      </c>
      <c r="D67" s="413">
        <f>SUM(D7:D66)</f>
        <v>535864047</v>
      </c>
      <c r="E67" s="424"/>
      <c r="F67" s="424">
        <f>C67+零件進出口!C66</f>
        <v>21114608</v>
      </c>
      <c r="G67" s="425">
        <f>SUM(G7:G66)</f>
        <v>686708206</v>
      </c>
      <c r="H67" s="412"/>
      <c r="I67" s="412">
        <f>SUM(I6:I66)-I65-I62-I20-I17-I11-I8</f>
        <v>10080736</v>
      </c>
      <c r="J67" s="413">
        <f>SUM(J6:J66)</f>
        <v>280078561</v>
      </c>
      <c r="K67" s="424"/>
      <c r="L67" s="424">
        <f>SUM(L6:L66)-L65-L62-L20-L17-L11-L8</f>
        <v>11581190</v>
      </c>
      <c r="M67" s="425">
        <f>SUM(M6:M66)</f>
        <v>332522786</v>
      </c>
    </row>
    <row r="68" spans="1:13">
      <c r="A68" s="3"/>
      <c r="B68" s="389"/>
      <c r="C68" s="389"/>
      <c r="D68" s="4"/>
      <c r="E68" s="415"/>
      <c r="F68" s="415"/>
      <c r="G68" s="113"/>
      <c r="H68" s="389"/>
      <c r="I68" s="389"/>
      <c r="J68" s="389"/>
      <c r="K68" s="415"/>
      <c r="L68" s="415"/>
      <c r="M68" s="415"/>
    </row>
    <row r="69" spans="1:13">
      <c r="A69" s="57" t="s">
        <v>88</v>
      </c>
      <c r="B69" s="3"/>
      <c r="C69" s="3"/>
      <c r="D69" s="3"/>
      <c r="E69" s="152"/>
      <c r="F69" s="152"/>
      <c r="G69" s="152"/>
      <c r="H69" s="3"/>
      <c r="I69" s="3"/>
      <c r="J69" s="3"/>
      <c r="K69" s="152"/>
      <c r="L69" s="152"/>
      <c r="M69" s="152"/>
    </row>
    <row r="70" spans="1:13" ht="18">
      <c r="A70" s="153" t="s">
        <v>89</v>
      </c>
      <c r="B70" s="61"/>
      <c r="C70" s="62"/>
      <c r="D70" s="64"/>
      <c r="E70" s="62"/>
      <c r="F70" s="62"/>
      <c r="G70" s="62"/>
      <c r="H70" s="60"/>
      <c r="I70" s="60"/>
      <c r="J70" s="60"/>
      <c r="K70" s="426"/>
      <c r="L70" s="426"/>
      <c r="M70" s="42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__o�_1"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2.375" customWidth="1"/>
    <col min="3" max="3" width="13.5" customWidth="1"/>
    <col min="4" max="4" width="12.5" customWidth="1"/>
    <col min="5" max="5" width="14" customWidth="1"/>
    <col min="6" max="6" width="14.25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18.75" customHeight="1">
      <c r="A1" s="1" t="s">
        <v>511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7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2" t="s">
        <v>0</v>
      </c>
      <c r="B3" s="763"/>
      <c r="C3" s="763"/>
      <c r="D3" s="763"/>
      <c r="E3" s="763"/>
      <c r="F3" s="763"/>
      <c r="G3" s="763"/>
      <c r="H3" s="763"/>
      <c r="I3" s="763"/>
      <c r="J3" s="764"/>
    </row>
    <row r="4" spans="1:10">
      <c r="A4" s="75" t="s">
        <v>512</v>
      </c>
      <c r="B4" s="6" t="s">
        <v>497</v>
      </c>
      <c r="C4" s="76" t="s">
        <v>500</v>
      </c>
      <c r="D4" s="77" t="s">
        <v>61</v>
      </c>
      <c r="E4" s="6" t="s">
        <v>497</v>
      </c>
      <c r="F4" s="76" t="s">
        <v>500</v>
      </c>
      <c r="G4" s="78" t="s">
        <v>411</v>
      </c>
      <c r="H4" s="6" t="s">
        <v>497</v>
      </c>
      <c r="I4" s="76" t="s">
        <v>500</v>
      </c>
      <c r="J4" s="78" t="s">
        <v>411</v>
      </c>
    </row>
    <row r="5" spans="1:10">
      <c r="A5" s="12"/>
      <c r="B5" s="6" t="s">
        <v>62</v>
      </c>
      <c r="C5" s="79" t="s">
        <v>62</v>
      </c>
      <c r="D5" s="80" t="s">
        <v>2</v>
      </c>
      <c r="E5" s="81" t="s">
        <v>63</v>
      </c>
      <c r="F5" s="79" t="s">
        <v>63</v>
      </c>
      <c r="G5" s="80" t="s">
        <v>2</v>
      </c>
      <c r="H5" s="82" t="s">
        <v>64</v>
      </c>
      <c r="I5" s="83" t="s">
        <v>65</v>
      </c>
      <c r="J5" s="80" t="s">
        <v>2</v>
      </c>
    </row>
    <row r="6" spans="1:10">
      <c r="A6" s="84" t="s">
        <v>6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7</v>
      </c>
      <c r="B7" s="21">
        <f>SUM(B8:B10)</f>
        <v>282964</v>
      </c>
      <c r="C7" s="89">
        <f>SUM(C8:C10)</f>
        <v>337875</v>
      </c>
      <c r="D7" s="613">
        <f>IF(C7,(B7-C7)/C7,0)</f>
        <v>-0.16251868294487606</v>
      </c>
      <c r="E7" s="21">
        <f>SUM(E8:E10)</f>
        <v>238981356</v>
      </c>
      <c r="F7" s="89">
        <f>SUM(F8:F10)</f>
        <v>353904885</v>
      </c>
      <c r="G7" s="614">
        <f>IF(F7,(E7-F7)/F7,0)</f>
        <v>-0.32472998783274776</v>
      </c>
      <c r="H7" s="91">
        <f>IF(B7,E7/B7,0)</f>
        <v>844.564524109074</v>
      </c>
      <c r="I7" s="92">
        <f>IF(C7,F7/C7,0)</f>
        <v>1047.4432408435073</v>
      </c>
      <c r="J7" s="614">
        <f>IF(I7,(H7-I7)/I7,0)</f>
        <v>-0.19368946098793363</v>
      </c>
    </row>
    <row r="8" spans="1:10">
      <c r="A8" s="24" t="s">
        <v>340</v>
      </c>
      <c r="B8" s="26">
        <f>整車出口!E8</f>
        <v>259594</v>
      </c>
      <c r="C8" s="93">
        <f>VLOOKUP(A8,[6]進出口值表查詢結果!$A$10:$C$103,3,0)</f>
        <v>306799</v>
      </c>
      <c r="D8" s="613">
        <f t="shared" ref="D8:D10" si="0">IF(C8,(B8-C8)/C8,0)</f>
        <v>-0.15386295261718586</v>
      </c>
      <c r="E8" s="26">
        <f>整車出口!G8</f>
        <v>206535833</v>
      </c>
      <c r="F8" s="93">
        <f>VLOOKUP(A8,[6]進出口值表查詢結果!$A$10:$C$103,2,0)</f>
        <v>308326671</v>
      </c>
      <c r="G8" s="614">
        <f t="shared" ref="G8:G67" si="1">IF(F8,(E8-F8)/F8,0)</f>
        <v>-0.33013958108087249</v>
      </c>
      <c r="H8" s="91">
        <f t="shared" ref="H8:H10" si="2">IF(B8,E8/B8,0)</f>
        <v>795.6109655847207</v>
      </c>
      <c r="I8" s="92">
        <f t="shared" ref="I8:I10" si="3">IF(C8,F8/C8,0)</f>
        <v>1004.9793871557599</v>
      </c>
      <c r="J8" s="614">
        <f t="shared" ref="J8:J67" si="4">IF(I8,(H8-I8)/I8,0)</f>
        <v>-0.20833106056392139</v>
      </c>
    </row>
    <row r="9" spans="1:10">
      <c r="A9" s="29" t="s">
        <v>8</v>
      </c>
      <c r="B9" s="26">
        <f>整車出口!E9</f>
        <v>18083</v>
      </c>
      <c r="C9" s="93">
        <f>VLOOKUP(A9,[6]進出口值表查詢結果!$A$10:$C$103,3,0)</f>
        <v>26417</v>
      </c>
      <c r="D9" s="613">
        <f t="shared" si="0"/>
        <v>-0.3154786690388765</v>
      </c>
      <c r="E9" s="26">
        <f>整車出口!G9</f>
        <v>25207244</v>
      </c>
      <c r="F9" s="93">
        <f>VLOOKUP(A9,[6]進出口值表查詢結果!$A$10:$C$103,2,0)</f>
        <v>39000764</v>
      </c>
      <c r="G9" s="614">
        <f t="shared" si="1"/>
        <v>-0.35367307163521206</v>
      </c>
      <c r="H9" s="91">
        <f t="shared" si="2"/>
        <v>1393.9746723441906</v>
      </c>
      <c r="I9" s="92">
        <f t="shared" si="3"/>
        <v>1476.3509861074308</v>
      </c>
      <c r="J9" s="614">
        <f t="shared" si="4"/>
        <v>-5.5797242348470825E-2</v>
      </c>
    </row>
    <row r="10" spans="1:10">
      <c r="A10" s="29" t="s">
        <v>9</v>
      </c>
      <c r="B10" s="26">
        <f>整車出口!E10</f>
        <v>5287</v>
      </c>
      <c r="C10" s="93">
        <f>VLOOKUP(A10,[6]進出口值表查詢結果!$A$10:$C$103,3,0)</f>
        <v>4659</v>
      </c>
      <c r="D10" s="613">
        <f t="shared" si="0"/>
        <v>0.1347928740072977</v>
      </c>
      <c r="E10" s="26">
        <f>整車出口!G10</f>
        <v>7238279</v>
      </c>
      <c r="F10" s="93">
        <f>VLOOKUP(A10,[6]進出口值表查詢結果!$A$10:$C$103,2,0)</f>
        <v>6577450</v>
      </c>
      <c r="G10" s="614">
        <f t="shared" si="1"/>
        <v>0.10046887471588534</v>
      </c>
      <c r="H10" s="91">
        <f t="shared" si="2"/>
        <v>1369.0711178362019</v>
      </c>
      <c r="I10" s="92">
        <f t="shared" si="3"/>
        <v>1411.772912642198</v>
      </c>
      <c r="J10" s="614">
        <f t="shared" si="4"/>
        <v>-3.0246928825173245E-2</v>
      </c>
    </row>
    <row r="11" spans="1:10">
      <c r="A11" s="29"/>
      <c r="B11" s="26"/>
      <c r="C11" s="95"/>
      <c r="D11" s="90"/>
      <c r="E11" s="25"/>
      <c r="F11" s="95"/>
      <c r="G11" s="614"/>
      <c r="H11" s="91"/>
      <c r="I11" s="92"/>
      <c r="J11" s="614"/>
    </row>
    <row r="12" spans="1:10">
      <c r="A12" s="30" t="s">
        <v>10</v>
      </c>
      <c r="B12" s="31">
        <f>SUM(B13:B39)</f>
        <v>194480</v>
      </c>
      <c r="C12" s="98">
        <f>SUM(C13:C39)</f>
        <v>256380</v>
      </c>
      <c r="D12" s="613">
        <f t="shared" ref="D12:D67" si="5">IF(C12,(B12-C12)/C12,0)</f>
        <v>-0.24143848974178952</v>
      </c>
      <c r="E12" s="31">
        <f>SUM(E13:E39)</f>
        <v>245029220</v>
      </c>
      <c r="F12" s="98">
        <f>SUM(F13:F39)</f>
        <v>291159983</v>
      </c>
      <c r="G12" s="614">
        <f t="shared" si="1"/>
        <v>-0.15843785442177333</v>
      </c>
      <c r="H12" s="91">
        <f t="shared" ref="H12:H66" si="6">IF(B12,E12/B12,0)</f>
        <v>1259.9198889345948</v>
      </c>
      <c r="I12" s="92">
        <f t="shared" ref="I12:I66" si="7">IF(C12,F12/C12,0)</f>
        <v>1135.6579413370778</v>
      </c>
      <c r="J12" s="614">
        <f t="shared" si="4"/>
        <v>0.10941846402378524</v>
      </c>
    </row>
    <row r="13" spans="1:10">
      <c r="A13" s="24" t="s">
        <v>320</v>
      </c>
      <c r="B13" s="26">
        <f>整車出口!E13</f>
        <v>78308</v>
      </c>
      <c r="C13" s="93">
        <f>VLOOKUP(A13,[6]進出口值表查詢結果!$A$10:$C$103,3,0)</f>
        <v>85477</v>
      </c>
      <c r="D13" s="613">
        <f t="shared" si="5"/>
        <v>-8.387051487534658E-2</v>
      </c>
      <c r="E13" s="26">
        <f>整車出口!G13</f>
        <v>120065221</v>
      </c>
      <c r="F13" s="93">
        <f>VLOOKUP(A13,[6]進出口值表查詢結果!$A$10:$C$103,2,0)</f>
        <v>142313509</v>
      </c>
      <c r="G13" s="614">
        <f t="shared" si="1"/>
        <v>-0.15633293112040403</v>
      </c>
      <c r="H13" s="91">
        <f t="shared" si="6"/>
        <v>1533.2433595545795</v>
      </c>
      <c r="I13" s="92">
        <f t="shared" si="7"/>
        <v>1664.9333621909987</v>
      </c>
      <c r="J13" s="614">
        <f t="shared" si="4"/>
        <v>-7.9096260323067463E-2</v>
      </c>
    </row>
    <row r="14" spans="1:10">
      <c r="A14" s="24" t="s">
        <v>321</v>
      </c>
      <c r="B14" s="26">
        <f>整車出口!E14</f>
        <v>26917</v>
      </c>
      <c r="C14" s="93">
        <f>VLOOKUP(A14,[6]進出口值表查詢結果!$A$10:$C$103,3,0)</f>
        <v>49886</v>
      </c>
      <c r="D14" s="613">
        <f t="shared" si="5"/>
        <v>-0.4604297798981678</v>
      </c>
      <c r="E14" s="26">
        <f>整車出口!G14</f>
        <v>22454790</v>
      </c>
      <c r="F14" s="93">
        <f>VLOOKUP(A14,[6]進出口值表查詢結果!$A$10:$C$103,2,0)</f>
        <v>38609261</v>
      </c>
      <c r="G14" s="614">
        <f t="shared" si="1"/>
        <v>-0.41840922570364658</v>
      </c>
      <c r="H14" s="91">
        <f t="shared" si="6"/>
        <v>834.22335327116696</v>
      </c>
      <c r="I14" s="92">
        <f t="shared" si="7"/>
        <v>773.94982560237338</v>
      </c>
      <c r="J14" s="614">
        <f t="shared" si="4"/>
        <v>7.787782318043944E-2</v>
      </c>
    </row>
    <row r="15" spans="1:10">
      <c r="A15" s="29" t="s">
        <v>13</v>
      </c>
      <c r="B15" s="26">
        <f>整車出口!E15</f>
        <v>13143</v>
      </c>
      <c r="C15" s="93">
        <f>VLOOKUP(A15,[6]進出口值表查詢結果!$A$10:$C$103,3,0)</f>
        <v>14080</v>
      </c>
      <c r="D15" s="613">
        <f t="shared" si="5"/>
        <v>-6.654829545454545E-2</v>
      </c>
      <c r="E15" s="26">
        <f>整車出口!G15</f>
        <v>20078628</v>
      </c>
      <c r="F15" s="93">
        <f>VLOOKUP(A15,[6]進出口值表查詢結果!$A$10:$C$103,2,0)</f>
        <v>23259284</v>
      </c>
      <c r="G15" s="614">
        <f t="shared" si="1"/>
        <v>-0.13674780358673122</v>
      </c>
      <c r="H15" s="91">
        <f t="shared" si="6"/>
        <v>1527.7050901620635</v>
      </c>
      <c r="I15" s="92">
        <f t="shared" si="7"/>
        <v>1651.9377840909092</v>
      </c>
      <c r="J15" s="614">
        <f t="shared" si="4"/>
        <v>-7.5204220840080355E-2</v>
      </c>
    </row>
    <row r="16" spans="1:10">
      <c r="A16" s="24" t="s">
        <v>323</v>
      </c>
      <c r="B16" s="26">
        <f>整車出口!E16</f>
        <v>14035</v>
      </c>
      <c r="C16" s="93">
        <f>VLOOKUP(A16,[6]進出口值表查詢結果!$A$10:$C$103,3,0)</f>
        <v>10306</v>
      </c>
      <c r="D16" s="613">
        <f t="shared" si="5"/>
        <v>0.36182806132350087</v>
      </c>
      <c r="E16" s="26">
        <f>整車出口!G16</f>
        <v>25776524</v>
      </c>
      <c r="F16" s="93">
        <f>VLOOKUP(A16,[6]進出口值表查詢結果!$A$10:$C$103,2,0)</f>
        <v>17420407</v>
      </c>
      <c r="G16" s="614">
        <f t="shared" si="1"/>
        <v>0.47967403976267603</v>
      </c>
      <c r="H16" s="91">
        <f t="shared" si="6"/>
        <v>1836.5888136800854</v>
      </c>
      <c r="I16" s="92">
        <f t="shared" si="7"/>
        <v>1690.3169998059384</v>
      </c>
      <c r="J16" s="614">
        <f t="shared" si="4"/>
        <v>8.6535137427441233E-2</v>
      </c>
    </row>
    <row r="17" spans="1:10">
      <c r="A17" s="29" t="s">
        <v>16</v>
      </c>
      <c r="B17" s="26">
        <f>整車出口!E17</f>
        <v>9452</v>
      </c>
      <c r="C17" s="93">
        <f>VLOOKUP(A17,[6]進出口值表查詢結果!$A$10:$C$103,3,0)</f>
        <v>12889</v>
      </c>
      <c r="D17" s="613">
        <f t="shared" si="5"/>
        <v>-0.26666149429746294</v>
      </c>
      <c r="E17" s="26">
        <f>整車出口!G17</f>
        <v>12950402</v>
      </c>
      <c r="F17" s="93">
        <f>VLOOKUP(A17,[6]進出口值表查詢結果!$A$10:$C$103,2,0)</f>
        <v>19183597</v>
      </c>
      <c r="G17" s="614">
        <f t="shared" si="1"/>
        <v>-0.32492316222030726</v>
      </c>
      <c r="H17" s="91">
        <f t="shared" si="6"/>
        <v>1370.1229369445621</v>
      </c>
      <c r="I17" s="92">
        <f t="shared" si="7"/>
        <v>1488.3696950888354</v>
      </c>
      <c r="J17" s="614">
        <f t="shared" si="4"/>
        <v>-7.9447168626485404E-2</v>
      </c>
    </row>
    <row r="18" spans="1:10">
      <c r="A18" s="29" t="s">
        <v>17</v>
      </c>
      <c r="B18" s="26">
        <f>整車出口!E18</f>
        <v>19842</v>
      </c>
      <c r="C18" s="93">
        <f>VLOOKUP(A18,[6]進出口值表查詢結果!$A$10:$C$103,3,0)</f>
        <v>24375</v>
      </c>
      <c r="D18" s="613">
        <f t="shared" si="5"/>
        <v>-0.18596923076923078</v>
      </c>
      <c r="E18" s="26">
        <f>整車出口!G18</f>
        <v>29633864</v>
      </c>
      <c r="F18" s="93">
        <f>VLOOKUP(A18,[6]進出口值表查詢結果!$A$10:$C$103,2,0)</f>
        <v>24330657</v>
      </c>
      <c r="G18" s="614">
        <f t="shared" si="1"/>
        <v>0.21796398675136475</v>
      </c>
      <c r="H18" s="91">
        <f t="shared" si="6"/>
        <v>1493.4917851023083</v>
      </c>
      <c r="I18" s="92">
        <f t="shared" si="7"/>
        <v>998.18079999999998</v>
      </c>
      <c r="J18" s="614">
        <f t="shared" si="4"/>
        <v>0.4962136970599999</v>
      </c>
    </row>
    <row r="19" spans="1:10">
      <c r="A19" s="24" t="s">
        <v>324</v>
      </c>
      <c r="B19" s="26">
        <f>整車出口!E19</f>
        <v>9570</v>
      </c>
      <c r="C19" s="93">
        <f>VLOOKUP(A19,[6]進出口值表查詢結果!$A$10:$C$103,3,0)</f>
        <v>15429</v>
      </c>
      <c r="D19" s="613">
        <f t="shared" si="5"/>
        <v>-0.37973945168189771</v>
      </c>
      <c r="E19" s="26">
        <f>整車出口!G19</f>
        <v>1284522</v>
      </c>
      <c r="F19" s="93">
        <f>VLOOKUP(A19,[6]進出口值表查詢結果!$A$10:$C$103,2,0)</f>
        <v>3227272</v>
      </c>
      <c r="G19" s="614">
        <f t="shared" si="1"/>
        <v>-0.6019790088966781</v>
      </c>
      <c r="H19" s="91">
        <f t="shared" si="6"/>
        <v>134.22382445141065</v>
      </c>
      <c r="I19" s="92">
        <f t="shared" si="7"/>
        <v>209.16922678073757</v>
      </c>
      <c r="J19" s="614">
        <f t="shared" si="4"/>
        <v>-0.35830032688263808</v>
      </c>
    </row>
    <row r="20" spans="1:10">
      <c r="A20" s="29" t="s">
        <v>67</v>
      </c>
      <c r="B20" s="26">
        <f>整車出口!E20</f>
        <v>0</v>
      </c>
      <c r="C20" s="93">
        <f>VLOOKUP(A20,[6]進出口值表查詢結果!$A$10:$C$103,3,0)</f>
        <v>24</v>
      </c>
      <c r="D20" s="613">
        <f t="shared" si="5"/>
        <v>-1</v>
      </c>
      <c r="E20" s="26">
        <f>整車出口!G20</f>
        <v>0</v>
      </c>
      <c r="F20" s="93">
        <f>VLOOKUP(A20,[6]進出口值表查詢結果!$A$10:$C$103,2,0)</f>
        <v>55265</v>
      </c>
      <c r="G20" s="614">
        <f t="shared" si="1"/>
        <v>-1</v>
      </c>
      <c r="H20" s="91">
        <f t="shared" si="6"/>
        <v>0</v>
      </c>
      <c r="I20" s="92">
        <f t="shared" si="7"/>
        <v>2302.7083333333335</v>
      </c>
      <c r="J20" s="614">
        <f t="shared" si="4"/>
        <v>-1</v>
      </c>
    </row>
    <row r="21" spans="1:10">
      <c r="A21" s="24" t="s">
        <v>325</v>
      </c>
      <c r="B21" s="26">
        <f>整車出口!E21</f>
        <v>9</v>
      </c>
      <c r="C21" s="93">
        <f>VLOOKUP(A21,[6]進出口值表查詢結果!$A$10:$C$103,3,0)</f>
        <v>34</v>
      </c>
      <c r="D21" s="613">
        <f t="shared" si="5"/>
        <v>-0.73529411764705888</v>
      </c>
      <c r="E21" s="26">
        <f>整車出口!G21</f>
        <v>30708</v>
      </c>
      <c r="F21" s="93">
        <f>VLOOKUP(A21,[6]進出口值表查詢結果!$A$10:$C$103,2,0)</f>
        <v>5233</v>
      </c>
      <c r="G21" s="614">
        <f t="shared" si="1"/>
        <v>4.868144467800497</v>
      </c>
      <c r="H21" s="91">
        <f t="shared" si="6"/>
        <v>3412</v>
      </c>
      <c r="I21" s="92">
        <f t="shared" si="7"/>
        <v>153.91176470588235</v>
      </c>
      <c r="J21" s="614">
        <f t="shared" si="4"/>
        <v>21.168545767246322</v>
      </c>
    </row>
    <row r="22" spans="1:10">
      <c r="A22" s="29" t="s">
        <v>21</v>
      </c>
      <c r="B22" s="26">
        <f>整車出口!E22</f>
        <v>1302</v>
      </c>
      <c r="C22" s="93">
        <f>VLOOKUP(A22,[6]進出口值表查詢結果!$A$10:$C$103,3,0)</f>
        <v>1959</v>
      </c>
      <c r="D22" s="613">
        <f t="shared" si="5"/>
        <v>-0.33537519142419603</v>
      </c>
      <c r="E22" s="26">
        <f>整車出口!G22</f>
        <v>707764</v>
      </c>
      <c r="F22" s="93">
        <f>VLOOKUP(A22,[6]進出口值表查詢結果!$A$10:$C$103,2,0)</f>
        <v>961724</v>
      </c>
      <c r="G22" s="614">
        <f t="shared" si="1"/>
        <v>-0.26406744554570749</v>
      </c>
      <c r="H22" s="91">
        <f t="shared" si="6"/>
        <v>543.59754224270353</v>
      </c>
      <c r="I22" s="92">
        <f t="shared" si="7"/>
        <v>490.92598264420621</v>
      </c>
      <c r="J22" s="614">
        <f t="shared" si="4"/>
        <v>0.10729022594159679</v>
      </c>
    </row>
    <row r="23" spans="1:10">
      <c r="A23" s="29" t="s">
        <v>22</v>
      </c>
      <c r="B23" s="26">
        <f>整車出口!E23</f>
        <v>244</v>
      </c>
      <c r="C23" s="93">
        <f>VLOOKUP(A23,[6]進出口值表查詢結果!$A$10:$C$103,3,0)</f>
        <v>151</v>
      </c>
      <c r="D23" s="613">
        <f t="shared" si="5"/>
        <v>0.61589403973509937</v>
      </c>
      <c r="E23" s="26">
        <f>整車出口!G23</f>
        <v>629231</v>
      </c>
      <c r="F23" s="93">
        <f>VLOOKUP(A23,[6]進出口值表查詢結果!$A$10:$C$103,2,0)</f>
        <v>426812</v>
      </c>
      <c r="G23" s="614">
        <f t="shared" si="1"/>
        <v>0.47425798712313616</v>
      </c>
      <c r="H23" s="91">
        <f t="shared" si="6"/>
        <v>2578.8155737704919</v>
      </c>
      <c r="I23" s="92">
        <f t="shared" si="7"/>
        <v>2826.5695364238409</v>
      </c>
      <c r="J23" s="614">
        <f t="shared" si="4"/>
        <v>-8.765181944428857E-2</v>
      </c>
    </row>
    <row r="24" spans="1:10">
      <c r="A24" s="29" t="s">
        <v>23</v>
      </c>
      <c r="B24" s="26">
        <f>整車出口!E24</f>
        <v>45</v>
      </c>
      <c r="C24" s="93">
        <f>VLOOKUP(A24,[6]進出口值表查詢結果!$A$10:$C$103,3,0)</f>
        <v>65</v>
      </c>
      <c r="D24" s="613">
        <f t="shared" si="5"/>
        <v>-0.30769230769230771</v>
      </c>
      <c r="E24" s="26">
        <f>整車出口!G24</f>
        <v>139164</v>
      </c>
      <c r="F24" s="93">
        <f>VLOOKUP(A24,[6]進出口值表查詢結果!$A$10:$C$103,2,0)</f>
        <v>149544</v>
      </c>
      <c r="G24" s="614">
        <f t="shared" si="1"/>
        <v>-6.9411009468785104E-2</v>
      </c>
      <c r="H24" s="91">
        <f t="shared" si="6"/>
        <v>3092.5333333333333</v>
      </c>
      <c r="I24" s="92">
        <f t="shared" si="7"/>
        <v>2300.6769230769232</v>
      </c>
      <c r="J24" s="614">
        <f t="shared" si="4"/>
        <v>0.34418409743397699</v>
      </c>
    </row>
    <row r="25" spans="1:10">
      <c r="A25" s="24" t="s">
        <v>326</v>
      </c>
      <c r="B25" s="26">
        <f>整車出口!E25</f>
        <v>2534</v>
      </c>
      <c r="C25" s="93">
        <f>VLOOKUP(A25,[6]進出口值表查詢結果!$A$10:$C$103,3,0)</f>
        <v>8913</v>
      </c>
      <c r="D25" s="613">
        <f t="shared" si="5"/>
        <v>-0.71569617412767872</v>
      </c>
      <c r="E25" s="26">
        <f>整車出口!G25</f>
        <v>709177</v>
      </c>
      <c r="F25" s="93">
        <f>VLOOKUP(A25,[6]進出口值表查詢結果!$A$10:$C$103,2,0)</f>
        <v>3049795</v>
      </c>
      <c r="G25" s="614">
        <f t="shared" si="1"/>
        <v>-0.76746732157407305</v>
      </c>
      <c r="H25" s="91">
        <f t="shared" si="6"/>
        <v>279.86464088397793</v>
      </c>
      <c r="I25" s="92">
        <f t="shared" si="7"/>
        <v>342.17379109166387</v>
      </c>
      <c r="J25" s="614">
        <f t="shared" si="4"/>
        <v>-0.18209796258473268</v>
      </c>
    </row>
    <row r="26" spans="1:10">
      <c r="A26" s="24" t="s">
        <v>327</v>
      </c>
      <c r="B26" s="26">
        <f>整車出口!E26</f>
        <v>47</v>
      </c>
      <c r="C26" s="93">
        <f>VLOOKUP(A26,[6]進出口值表查詢結果!$A$10:$C$103,3,0)</f>
        <v>177</v>
      </c>
      <c r="D26" s="613">
        <f t="shared" si="5"/>
        <v>-0.7344632768361582</v>
      </c>
      <c r="E26" s="26">
        <f>整車出口!G26</f>
        <v>34288</v>
      </c>
      <c r="F26" s="93">
        <f>VLOOKUP(A26,[6]進出口值表查詢結果!$A$10:$C$103,2,0)</f>
        <v>113125</v>
      </c>
      <c r="G26" s="614">
        <f t="shared" si="1"/>
        <v>-0.69690165745856358</v>
      </c>
      <c r="H26" s="91">
        <f t="shared" si="6"/>
        <v>729.531914893617</v>
      </c>
      <c r="I26" s="92">
        <f t="shared" si="7"/>
        <v>639.12429378531078</v>
      </c>
      <c r="J26" s="614">
        <f t="shared" si="4"/>
        <v>0.14145546020923933</v>
      </c>
    </row>
    <row r="27" spans="1:10">
      <c r="A27" s="523" t="s">
        <v>342</v>
      </c>
      <c r="B27" s="26">
        <f>整車出口!E27</f>
        <v>7037</v>
      </c>
      <c r="C27" s="93">
        <f>VLOOKUP(A27,[6]進出口值表查詢結果!$A$10:$C$103,3,0)</f>
        <v>17771</v>
      </c>
      <c r="D27" s="613">
        <f t="shared" si="5"/>
        <v>-0.60401778177930332</v>
      </c>
      <c r="E27" s="26">
        <f>整車出口!G27</f>
        <v>4655636</v>
      </c>
      <c r="F27" s="93">
        <f>VLOOKUP(A27,[6]進出口值表查詢結果!$A$10:$C$103,2,0)</f>
        <v>8933148</v>
      </c>
      <c r="G27" s="614">
        <f t="shared" si="1"/>
        <v>-0.47883590420756489</v>
      </c>
      <c r="H27" s="91">
        <f t="shared" si="6"/>
        <v>661.59386102032113</v>
      </c>
      <c r="I27" s="92">
        <f t="shared" si="7"/>
        <v>502.68122221596985</v>
      </c>
      <c r="J27" s="614">
        <f t="shared" si="4"/>
        <v>0.31613004779414006</v>
      </c>
    </row>
    <row r="28" spans="1:10">
      <c r="A28" s="523" t="s">
        <v>341</v>
      </c>
      <c r="B28" s="26">
        <f>整車出口!E28</f>
        <v>7769</v>
      </c>
      <c r="C28" s="93">
        <f>VLOOKUP(A28,[6]進出口值表查詢結果!$A$10:$C$103,3,0)</f>
        <v>9589</v>
      </c>
      <c r="D28" s="613">
        <f t="shared" si="5"/>
        <v>-0.18980081343205757</v>
      </c>
      <c r="E28" s="26">
        <f>整車出口!G28</f>
        <v>3509729</v>
      </c>
      <c r="F28" s="93">
        <f>VLOOKUP(A28,[6]進出口值表查詢結果!$A$10:$C$103,2,0)</f>
        <v>5466456</v>
      </c>
      <c r="G28" s="614">
        <f t="shared" si="1"/>
        <v>-0.35795166008836438</v>
      </c>
      <c r="H28" s="91">
        <f t="shared" si="6"/>
        <v>451.7607156648217</v>
      </c>
      <c r="I28" s="92">
        <f t="shared" si="7"/>
        <v>570.07571175305031</v>
      </c>
      <c r="J28" s="614">
        <f t="shared" si="4"/>
        <v>-0.20754260118256221</v>
      </c>
    </row>
    <row r="29" spans="1:10">
      <c r="A29" s="99" t="s">
        <v>68</v>
      </c>
      <c r="B29" s="26">
        <f>整車出口!E29</f>
        <v>2059</v>
      </c>
      <c r="C29" s="93">
        <f>VLOOKUP(A29,[6]進出口值表查詢結果!$A$10:$C$103,3,0)</f>
        <v>1021</v>
      </c>
      <c r="D29" s="613">
        <f t="shared" si="5"/>
        <v>1.0166503428011753</v>
      </c>
      <c r="E29" s="26">
        <f>整車出口!G29</f>
        <v>1331806</v>
      </c>
      <c r="F29" s="93">
        <f>VLOOKUP(A29,[6]進出口值表查詢結果!$A$10:$C$103,2,0)</f>
        <v>820157</v>
      </c>
      <c r="G29" s="614">
        <f t="shared" si="1"/>
        <v>0.6238427520584473</v>
      </c>
      <c r="H29" s="91">
        <f t="shared" si="6"/>
        <v>646.82175813501703</v>
      </c>
      <c r="I29" s="92">
        <f t="shared" si="7"/>
        <v>803.28795298726743</v>
      </c>
      <c r="J29" s="614">
        <f t="shared" si="4"/>
        <v>-0.19478220016917205</v>
      </c>
    </row>
    <row r="30" spans="1:10">
      <c r="A30" s="99" t="s">
        <v>69</v>
      </c>
      <c r="B30" s="26">
        <f>整車出口!E30</f>
        <v>3</v>
      </c>
      <c r="C30" s="93">
        <v>0</v>
      </c>
      <c r="D30" s="613">
        <f t="shared" si="5"/>
        <v>0</v>
      </c>
      <c r="E30" s="26">
        <f>整車出口!G30</f>
        <v>10302</v>
      </c>
      <c r="F30" s="93">
        <f>_xlfn.IFNA(VLOOKUP(A30,[5]出!$C$11:$J$116,3,0),-[4]整車!$B$22)</f>
        <v>0</v>
      </c>
      <c r="G30" s="614">
        <f t="shared" si="1"/>
        <v>0</v>
      </c>
      <c r="H30" s="91">
        <f t="shared" si="6"/>
        <v>3434</v>
      </c>
      <c r="I30" s="92">
        <f t="shared" si="7"/>
        <v>0</v>
      </c>
      <c r="J30" s="614">
        <f t="shared" si="4"/>
        <v>0</v>
      </c>
    </row>
    <row r="31" spans="1:10">
      <c r="A31" s="99" t="s">
        <v>70</v>
      </c>
      <c r="B31" s="26">
        <f>整車出口!E31</f>
        <v>124</v>
      </c>
      <c r="C31" s="93">
        <f>VLOOKUP(A31,[6]進出口值表查詢結果!$A$10:$C$103,3,0)</f>
        <v>1375</v>
      </c>
      <c r="D31" s="613">
        <f t="shared" si="5"/>
        <v>-0.90981818181818186</v>
      </c>
      <c r="E31" s="26">
        <f>整車出口!G31</f>
        <v>229059</v>
      </c>
      <c r="F31" s="93">
        <f>VLOOKUP(A31,[6]進出口值表查詢結果!$A$10:$C$103,2,0)</f>
        <v>1647256</v>
      </c>
      <c r="G31" s="614">
        <f t="shared" si="1"/>
        <v>-0.8609451111424089</v>
      </c>
      <c r="H31" s="91">
        <f t="shared" si="6"/>
        <v>1847.25</v>
      </c>
      <c r="I31" s="92">
        <f t="shared" si="7"/>
        <v>1198.0043636363637</v>
      </c>
      <c r="J31" s="614">
        <f t="shared" si="4"/>
        <v>0.54193929176764266</v>
      </c>
    </row>
    <row r="32" spans="1:10">
      <c r="A32" s="29" t="s">
        <v>29</v>
      </c>
      <c r="B32" s="26">
        <f>整車出口!E32</f>
        <v>245</v>
      </c>
      <c r="C32" s="93">
        <v>0</v>
      </c>
      <c r="D32" s="613">
        <f t="shared" si="5"/>
        <v>0</v>
      </c>
      <c r="E32" s="26">
        <f>整車出口!G32</f>
        <v>57583</v>
      </c>
      <c r="F32" s="93">
        <f>_xlfn.IFNA(VLOOKUP(A32,[5]出!$C$11:$J$116,3,0),-[4]整車!$B$22)</f>
        <v>0</v>
      </c>
      <c r="G32" s="614">
        <f t="shared" si="1"/>
        <v>0</v>
      </c>
      <c r="H32" s="91">
        <f t="shared" si="6"/>
        <v>235.03265306122449</v>
      </c>
      <c r="I32" s="92">
        <f t="shared" si="7"/>
        <v>0</v>
      </c>
      <c r="J32" s="614">
        <f t="shared" si="4"/>
        <v>0</v>
      </c>
    </row>
    <row r="33" spans="1:10">
      <c r="A33" s="99" t="s">
        <v>71</v>
      </c>
      <c r="B33" s="26">
        <f>整車出口!E33</f>
        <v>471</v>
      </c>
      <c r="C33" s="93">
        <f>VLOOKUP(A33,[6]進出口值表查詢結果!$A$10:$C$103,3,0)</f>
        <v>918</v>
      </c>
      <c r="D33" s="613">
        <f t="shared" si="5"/>
        <v>-0.48692810457516339</v>
      </c>
      <c r="E33" s="26">
        <f>整車出口!G33</f>
        <v>261655</v>
      </c>
      <c r="F33" s="93">
        <f>VLOOKUP(A33,[6]進出口值表查詢結果!$A$10:$C$103,2,0)</f>
        <v>310511</v>
      </c>
      <c r="G33" s="614">
        <f t="shared" si="1"/>
        <v>-0.15734064171639653</v>
      </c>
      <c r="H33" s="91">
        <f t="shared" si="6"/>
        <v>555.53078556263267</v>
      </c>
      <c r="I33" s="92">
        <f t="shared" si="7"/>
        <v>338.24727668845316</v>
      </c>
      <c r="J33" s="614">
        <f t="shared" si="4"/>
        <v>0.64238066009415706</v>
      </c>
    </row>
    <row r="34" spans="1:10">
      <c r="A34" s="100" t="s">
        <v>72</v>
      </c>
      <c r="B34" s="26">
        <f>整車出口!E34</f>
        <v>660</v>
      </c>
      <c r="C34" s="93">
        <f>VLOOKUP(A34,[6]進出口值表查詢結果!$A$10:$C$103,3,0)</f>
        <v>332</v>
      </c>
      <c r="D34" s="613">
        <f t="shared" si="5"/>
        <v>0.98795180722891562</v>
      </c>
      <c r="E34" s="26">
        <f>整車出口!G34</f>
        <v>238821</v>
      </c>
      <c r="F34" s="93">
        <f>VLOOKUP(A34,[6]進出口值表查詢結果!$A$10:$C$103,2,0)</f>
        <v>180060</v>
      </c>
      <c r="G34" s="614">
        <f t="shared" si="1"/>
        <v>0.32634121959346885</v>
      </c>
      <c r="H34" s="91">
        <f t="shared" si="6"/>
        <v>361.85</v>
      </c>
      <c r="I34" s="92">
        <f t="shared" si="7"/>
        <v>542.34939759036149</v>
      </c>
      <c r="J34" s="614">
        <f t="shared" si="4"/>
        <v>-0.33281017438631566</v>
      </c>
    </row>
    <row r="35" spans="1:10">
      <c r="A35" s="99" t="s">
        <v>73</v>
      </c>
      <c r="B35" s="26">
        <f>整車出口!E35</f>
        <v>365</v>
      </c>
      <c r="C35" s="93">
        <f>VLOOKUP(A35,[6]進出口值表查詢結果!$A$10:$C$103,3,0)</f>
        <v>562</v>
      </c>
      <c r="D35" s="613">
        <f t="shared" si="5"/>
        <v>-0.35053380782918148</v>
      </c>
      <c r="E35" s="26">
        <f>整車出口!G35</f>
        <v>167494</v>
      </c>
      <c r="F35" s="93">
        <f>VLOOKUP(A35,[6]進出口值表查詢結果!$A$10:$C$103,2,0)</f>
        <v>357262</v>
      </c>
      <c r="G35" s="614">
        <f t="shared" si="1"/>
        <v>-0.53117320062027307</v>
      </c>
      <c r="H35" s="91">
        <f t="shared" si="6"/>
        <v>458.8876712328767</v>
      </c>
      <c r="I35" s="92">
        <f t="shared" si="7"/>
        <v>635.6975088967971</v>
      </c>
      <c r="J35" s="614">
        <f t="shared" si="4"/>
        <v>-0.27813517465368071</v>
      </c>
    </row>
    <row r="36" spans="1:10">
      <c r="A36" s="99" t="s">
        <v>312</v>
      </c>
      <c r="B36" s="26">
        <f>整車出口!E36</f>
        <v>0</v>
      </c>
      <c r="C36" s="93">
        <v>0</v>
      </c>
      <c r="D36" s="613">
        <f t="shared" si="5"/>
        <v>0</v>
      </c>
      <c r="E36" s="26">
        <f>整車出口!G36</f>
        <v>0</v>
      </c>
      <c r="F36" s="93">
        <v>0</v>
      </c>
      <c r="G36" s="614">
        <f t="shared" si="1"/>
        <v>0</v>
      </c>
      <c r="H36" s="91">
        <f t="shared" si="6"/>
        <v>0</v>
      </c>
      <c r="I36" s="92">
        <f t="shared" si="7"/>
        <v>0</v>
      </c>
      <c r="J36" s="614">
        <f t="shared" si="4"/>
        <v>0</v>
      </c>
    </row>
    <row r="37" spans="1:10">
      <c r="A37" s="99" t="s">
        <v>34</v>
      </c>
      <c r="B37" s="26">
        <f>整車出口!E37</f>
        <v>3</v>
      </c>
      <c r="C37" s="93">
        <v>0</v>
      </c>
      <c r="D37" s="613">
        <f t="shared" si="5"/>
        <v>0</v>
      </c>
      <c r="E37" s="26">
        <f>整車出口!G37</f>
        <v>581</v>
      </c>
      <c r="F37" s="93">
        <f>_xlfn.IFNA(VLOOKUP(A37,[5]出!$C$11:$J$116,3,0),-[4]整車!$B$22)</f>
        <v>0</v>
      </c>
      <c r="G37" s="614">
        <f t="shared" si="1"/>
        <v>0</v>
      </c>
      <c r="H37" s="91">
        <f t="shared" si="6"/>
        <v>193.66666666666666</v>
      </c>
      <c r="I37" s="92">
        <f t="shared" si="7"/>
        <v>0</v>
      </c>
      <c r="J37" s="614">
        <f t="shared" si="4"/>
        <v>0</v>
      </c>
    </row>
    <row r="38" spans="1:10">
      <c r="A38" s="99" t="s">
        <v>35</v>
      </c>
      <c r="B38" s="26">
        <f>整車出口!E38</f>
        <v>40</v>
      </c>
      <c r="C38" s="93">
        <f>VLOOKUP(A38,[6]進出口值表查詢結果!$A$10:$C$103,3,0)</f>
        <v>110</v>
      </c>
      <c r="D38" s="613">
        <f t="shared" si="5"/>
        <v>-0.63636363636363635</v>
      </c>
      <c r="E38" s="26">
        <f>整車出口!G38</f>
        <v>4556</v>
      </c>
      <c r="F38" s="93">
        <f>VLOOKUP(A38,[6]進出口值表查詢結果!$A$10:$C$103,2,0)</f>
        <v>19564</v>
      </c>
      <c r="G38" s="614">
        <f t="shared" si="1"/>
        <v>-0.76712328767123283</v>
      </c>
      <c r="H38" s="91">
        <f t="shared" si="6"/>
        <v>113.9</v>
      </c>
      <c r="I38" s="92">
        <f t="shared" si="7"/>
        <v>177.85454545454544</v>
      </c>
      <c r="J38" s="614">
        <f t="shared" si="4"/>
        <v>-0.35958904109589035</v>
      </c>
    </row>
    <row r="39" spans="1:10">
      <c r="A39" s="29" t="s">
        <v>36</v>
      </c>
      <c r="B39" s="26">
        <f>整車出口!E39</f>
        <v>256</v>
      </c>
      <c r="C39" s="93">
        <f>VLOOKUP(A39,[6]進出口值表查詢結果!$A$10:$C$103,3,0)</f>
        <v>937</v>
      </c>
      <c r="D39" s="613">
        <f t="shared" si="5"/>
        <v>-0.72678762006403419</v>
      </c>
      <c r="E39" s="26">
        <f>整車出口!G39</f>
        <v>67715</v>
      </c>
      <c r="F39" s="93">
        <f>VLOOKUP(A39,[6]進出口值表查詢結果!$A$10:$C$103,2,0)</f>
        <v>320084</v>
      </c>
      <c r="G39" s="614">
        <f t="shared" si="1"/>
        <v>-0.78844615788355554</v>
      </c>
      <c r="H39" s="91">
        <f t="shared" si="6"/>
        <v>264.51171875</v>
      </c>
      <c r="I39" s="92">
        <f t="shared" si="7"/>
        <v>341.60512273212379</v>
      </c>
      <c r="J39" s="614">
        <f t="shared" si="4"/>
        <v>-0.22567988256598265</v>
      </c>
    </row>
    <row r="40" spans="1:10">
      <c r="A40" s="29"/>
      <c r="B40" s="26"/>
      <c r="C40" s="95"/>
      <c r="D40" s="90"/>
      <c r="E40" s="25"/>
      <c r="F40" s="95"/>
      <c r="G40" s="614"/>
      <c r="H40" s="91"/>
      <c r="I40" s="92"/>
      <c r="J40" s="614"/>
    </row>
    <row r="41" spans="1:10">
      <c r="A41" s="32" t="s">
        <v>37</v>
      </c>
      <c r="B41" s="31">
        <f>SUM(B42:B45)</f>
        <v>13822</v>
      </c>
      <c r="C41" s="98">
        <f>SUM(C42:C45)</f>
        <v>24104</v>
      </c>
      <c r="D41" s="613">
        <f t="shared" si="5"/>
        <v>-0.42656820444739463</v>
      </c>
      <c r="E41" s="25">
        <f>SUM(E42:E45)</f>
        <v>12379631</v>
      </c>
      <c r="F41" s="98">
        <f>SUM(F42:F45)</f>
        <v>27421612</v>
      </c>
      <c r="G41" s="614">
        <f t="shared" si="1"/>
        <v>-0.54854473909119561</v>
      </c>
      <c r="H41" s="91">
        <f t="shared" si="6"/>
        <v>895.64686731297934</v>
      </c>
      <c r="I41" s="92">
        <f t="shared" si="7"/>
        <v>1137.6374045801526</v>
      </c>
      <c r="J41" s="614">
        <f t="shared" si="4"/>
        <v>-0.21271323911548107</v>
      </c>
    </row>
    <row r="42" spans="1:10">
      <c r="A42" s="24" t="s">
        <v>330</v>
      </c>
      <c r="B42" s="26">
        <f>整車出口!E42</f>
        <v>4792</v>
      </c>
      <c r="C42" s="93">
        <f>VLOOKUP(A42,[6]進出口值表查詢結果!$A$10:$C$103,3,0)</f>
        <v>13783</v>
      </c>
      <c r="D42" s="613">
        <f t="shared" si="5"/>
        <v>-0.65232532830298195</v>
      </c>
      <c r="E42" s="26">
        <f>整車出口!G42</f>
        <v>4903845</v>
      </c>
      <c r="F42" s="93">
        <f>VLOOKUP(A42,[6]進出口值表查詢結果!$A$10:$C$103,2,0)</f>
        <v>19682146</v>
      </c>
      <c r="G42" s="614">
        <f t="shared" si="1"/>
        <v>-0.75084805284952161</v>
      </c>
      <c r="H42" s="91">
        <f t="shared" si="6"/>
        <v>1023.3399415692821</v>
      </c>
      <c r="I42" s="92">
        <f t="shared" si="7"/>
        <v>1428.001596169194</v>
      </c>
      <c r="J42" s="614">
        <f t="shared" si="4"/>
        <v>-0.28337619207532477</v>
      </c>
    </row>
    <row r="43" spans="1:10">
      <c r="A43" s="24" t="s">
        <v>331</v>
      </c>
      <c r="B43" s="26">
        <f>整車出口!E43</f>
        <v>8383</v>
      </c>
      <c r="C43" s="93">
        <f>VLOOKUP(A43,[6]進出口值表查詢結果!$A$10:$C$103,3,0)</f>
        <v>10317</v>
      </c>
      <c r="D43" s="613">
        <f t="shared" si="5"/>
        <v>-0.18745759426189784</v>
      </c>
      <c r="E43" s="26">
        <f>整車出口!G43</f>
        <v>7367842</v>
      </c>
      <c r="F43" s="93">
        <f>VLOOKUP(A43,[6]進出口值表查詢結果!$A$10:$C$103,2,0)</f>
        <v>7732931</v>
      </c>
      <c r="G43" s="614">
        <f t="shared" si="1"/>
        <v>-4.7212240740283344E-2</v>
      </c>
      <c r="H43" s="91">
        <f t="shared" si="6"/>
        <v>878.90277943456999</v>
      </c>
      <c r="I43" s="92">
        <f t="shared" si="7"/>
        <v>749.53290685276727</v>
      </c>
      <c r="J43" s="614">
        <f t="shared" si="4"/>
        <v>0.17260065755487264</v>
      </c>
    </row>
    <row r="44" spans="1:10">
      <c r="A44" s="24" t="s">
        <v>332</v>
      </c>
      <c r="B44" s="26">
        <f>整車出口!E44</f>
        <v>647</v>
      </c>
      <c r="C44" s="93">
        <f>VLOOKUP(A44,[6]進出口值表查詢結果!$A$10:$C$103,3,0)</f>
        <v>4</v>
      </c>
      <c r="D44" s="613">
        <f t="shared" si="5"/>
        <v>160.75</v>
      </c>
      <c r="E44" s="26">
        <f>整車出口!G44</f>
        <v>107944</v>
      </c>
      <c r="F44" s="93">
        <f>VLOOKUP(A44,[6]進出口值表查詢結果!$A$10:$C$103,2,0)</f>
        <v>6535</v>
      </c>
      <c r="G44" s="614">
        <f t="shared" si="1"/>
        <v>15.517827084927314</v>
      </c>
      <c r="H44" s="91">
        <f t="shared" si="6"/>
        <v>166.83771251931995</v>
      </c>
      <c r="I44" s="92">
        <f t="shared" si="7"/>
        <v>1633.75</v>
      </c>
      <c r="J44" s="614">
        <f t="shared" si="4"/>
        <v>-0.89788051261250501</v>
      </c>
    </row>
    <row r="45" spans="1:10">
      <c r="A45" s="29" t="s">
        <v>41</v>
      </c>
      <c r="B45" s="26">
        <f>整車出口!E45</f>
        <v>0</v>
      </c>
      <c r="C45" s="93">
        <v>0</v>
      </c>
      <c r="D45" s="613">
        <f t="shared" si="5"/>
        <v>0</v>
      </c>
      <c r="E45" s="26">
        <f>整車出口!G45</f>
        <v>0</v>
      </c>
      <c r="F45" s="93">
        <f>_xlfn.IFNA(VLOOKUP(A45,[5]出!$C$11:$J$116,3,0),-[4]整車!$B$22)</f>
        <v>0</v>
      </c>
      <c r="G45" s="614">
        <f t="shared" si="1"/>
        <v>0</v>
      </c>
      <c r="H45" s="91">
        <f t="shared" si="6"/>
        <v>0</v>
      </c>
      <c r="I45" s="92">
        <f t="shared" si="7"/>
        <v>0</v>
      </c>
      <c r="J45" s="614">
        <f t="shared" si="4"/>
        <v>0</v>
      </c>
    </row>
    <row r="46" spans="1:10">
      <c r="A46" s="29"/>
      <c r="B46" s="25"/>
      <c r="C46" s="95"/>
      <c r="D46" s="90"/>
      <c r="E46" s="25"/>
      <c r="F46" s="95"/>
      <c r="G46" s="614"/>
      <c r="H46" s="91"/>
      <c r="I46" s="92"/>
      <c r="J46" s="614"/>
    </row>
    <row r="47" spans="1:10">
      <c r="A47" s="32" t="s">
        <v>42</v>
      </c>
      <c r="B47" s="31">
        <f>SUM(B48:B65)</f>
        <v>184046</v>
      </c>
      <c r="C47" s="98">
        <f>SUM(C48:C65)</f>
        <v>270081</v>
      </c>
      <c r="D47" s="613">
        <f t="shared" si="5"/>
        <v>-0.31855258237343614</v>
      </c>
      <c r="E47" s="31">
        <f>SUM(E48:E65)</f>
        <v>222708706</v>
      </c>
      <c r="F47" s="95">
        <f>SUM(F48:F65)</f>
        <v>329515282</v>
      </c>
      <c r="G47" s="614">
        <f t="shared" si="1"/>
        <v>-0.32413239031505675</v>
      </c>
      <c r="H47" s="91">
        <f t="shared" si="6"/>
        <v>1210.0708844527999</v>
      </c>
      <c r="I47" s="92">
        <f t="shared" si="7"/>
        <v>1220.0609520847449</v>
      </c>
      <c r="J47" s="614">
        <f t="shared" si="4"/>
        <v>-8.1881709392262886E-3</v>
      </c>
    </row>
    <row r="48" spans="1:10">
      <c r="A48" s="24" t="s">
        <v>322</v>
      </c>
      <c r="B48" s="26">
        <f>整車出口!E48</f>
        <v>52823</v>
      </c>
      <c r="C48" s="93">
        <f>VLOOKUP(A48,[6]進出口值表查詢結果!$A$10:$C$103,3,0)</f>
        <v>54359</v>
      </c>
      <c r="D48" s="613">
        <f t="shared" si="5"/>
        <v>-2.8256590445004507E-2</v>
      </c>
      <c r="E48" s="26">
        <f>整車出口!G48</f>
        <v>52383059</v>
      </c>
      <c r="F48" s="93">
        <f>VLOOKUP(A48,[6]進出口值表查詢結果!$A$10:$C$103,2,0)</f>
        <v>55361517</v>
      </c>
      <c r="G48" s="614">
        <f t="shared" si="1"/>
        <v>-5.3800151466225174E-2</v>
      </c>
      <c r="H48" s="91">
        <f t="shared" si="6"/>
        <v>991.67141207428585</v>
      </c>
      <c r="I48" s="92">
        <f t="shared" si="7"/>
        <v>1018.4425210176788</v>
      </c>
      <c r="J48" s="614">
        <f t="shared" si="4"/>
        <v>-2.6286322881179318E-2</v>
      </c>
    </row>
    <row r="49" spans="1:10">
      <c r="A49" s="24" t="s">
        <v>333</v>
      </c>
      <c r="B49" s="26">
        <f>整車出口!E49</f>
        <v>16539</v>
      </c>
      <c r="C49" s="93">
        <f>VLOOKUP(A49,[6]進出口值表查詢結果!$A$10:$C$103,3,0)</f>
        <v>33321</v>
      </c>
      <c r="D49" s="613">
        <f t="shared" si="5"/>
        <v>-0.50364634914918516</v>
      </c>
      <c r="E49" s="26">
        <f>整車出口!G49</f>
        <v>17244852</v>
      </c>
      <c r="F49" s="93">
        <f>VLOOKUP(A49,[6]進出口值表查詢結果!$A$10:$C$103,2,0)</f>
        <v>26586572</v>
      </c>
      <c r="G49" s="614">
        <f t="shared" si="1"/>
        <v>-0.35136985693379352</v>
      </c>
      <c r="H49" s="91">
        <f t="shared" si="6"/>
        <v>1042.6780337384364</v>
      </c>
      <c r="I49" s="92">
        <f t="shared" si="7"/>
        <v>797.89238018066681</v>
      </c>
      <c r="J49" s="614">
        <f t="shared" si="4"/>
        <v>0.30679031362894177</v>
      </c>
    </row>
    <row r="50" spans="1:10">
      <c r="A50" s="24" t="s">
        <v>339</v>
      </c>
      <c r="B50" s="26">
        <f>整車出口!E50</f>
        <v>2422</v>
      </c>
      <c r="C50" s="93">
        <f>VLOOKUP(A50,[6]進出口值表查詢結果!$A$10:$C$103,3,0)</f>
        <v>1945</v>
      </c>
      <c r="D50" s="613">
        <f t="shared" si="5"/>
        <v>0.24524421593830334</v>
      </c>
      <c r="E50" s="26">
        <f>整車出口!G50</f>
        <v>3118828</v>
      </c>
      <c r="F50" s="93">
        <f>VLOOKUP(A50,[6]進出口值表查詢結果!$A$10:$C$103,2,0)</f>
        <v>2040518</v>
      </c>
      <c r="G50" s="614">
        <f t="shared" si="1"/>
        <v>0.52844914869655646</v>
      </c>
      <c r="H50" s="91">
        <f t="shared" si="6"/>
        <v>1287.7076796036333</v>
      </c>
      <c r="I50" s="92">
        <f t="shared" si="7"/>
        <v>1049.1095115681235</v>
      </c>
      <c r="J50" s="614">
        <f t="shared" si="4"/>
        <v>0.22742922965103302</v>
      </c>
    </row>
    <row r="51" spans="1:10">
      <c r="A51" s="24" t="s">
        <v>334</v>
      </c>
      <c r="B51" s="26">
        <f>整車出口!E51</f>
        <v>3230</v>
      </c>
      <c r="C51" s="93">
        <f>VLOOKUP(A51,[6]進出口值表查詢結果!$A$10:$C$103,3,0)</f>
        <v>1972</v>
      </c>
      <c r="D51" s="613">
        <f t="shared" si="5"/>
        <v>0.63793103448275867</v>
      </c>
      <c r="E51" s="26">
        <f>整車出口!G51</f>
        <v>6401258</v>
      </c>
      <c r="F51" s="93">
        <f>VLOOKUP(A51,[6]進出口值表查詢結果!$A$10:$C$103,2,0)</f>
        <v>3754515</v>
      </c>
      <c r="G51" s="614">
        <f t="shared" si="1"/>
        <v>0.70494937428669213</v>
      </c>
      <c r="H51" s="91">
        <f t="shared" si="6"/>
        <v>1981.8136222910216</v>
      </c>
      <c r="I51" s="92">
        <f t="shared" si="7"/>
        <v>1903.9122718052738</v>
      </c>
      <c r="J51" s="614">
        <f t="shared" si="4"/>
        <v>4.091646009082256E-2</v>
      </c>
    </row>
    <row r="52" spans="1:10">
      <c r="A52" s="29" t="s">
        <v>46</v>
      </c>
      <c r="B52" s="26">
        <f>整車出口!E52</f>
        <v>3209</v>
      </c>
      <c r="C52" s="93">
        <f>VLOOKUP(A52,[6]進出口值表查詢結果!$A$10:$C$103,3,0)</f>
        <v>3599</v>
      </c>
      <c r="D52" s="613">
        <f t="shared" si="5"/>
        <v>-0.10836343428730202</v>
      </c>
      <c r="E52" s="26">
        <f>整車出口!G52</f>
        <v>5761360</v>
      </c>
      <c r="F52" s="93">
        <f>VLOOKUP(A52,[6]進出口值表查詢結果!$A$10:$C$103,2,0)</f>
        <v>2463225</v>
      </c>
      <c r="G52" s="614">
        <f t="shared" si="1"/>
        <v>1.3389499538207026</v>
      </c>
      <c r="H52" s="91">
        <f t="shared" si="6"/>
        <v>1795.3755063882829</v>
      </c>
      <c r="I52" s="92">
        <f t="shared" si="7"/>
        <v>684.41928313420397</v>
      </c>
      <c r="J52" s="614">
        <f t="shared" si="4"/>
        <v>1.6232099980681545</v>
      </c>
    </row>
    <row r="53" spans="1:10">
      <c r="A53" s="24" t="s">
        <v>335</v>
      </c>
      <c r="B53" s="26">
        <f>整車出口!E53</f>
        <v>2778</v>
      </c>
      <c r="C53" s="93">
        <f>VLOOKUP(A53,[6]進出口值表查詢結果!$A$10:$C$103,3,0)</f>
        <v>2136</v>
      </c>
      <c r="D53" s="613">
        <f t="shared" si="5"/>
        <v>0.300561797752809</v>
      </c>
      <c r="E53" s="26">
        <f>整車出口!G53</f>
        <v>4226470</v>
      </c>
      <c r="F53" s="93">
        <f>VLOOKUP(A53,[6]進出口值表查詢結果!$A$10:$C$103,2,0)</f>
        <v>3114181</v>
      </c>
      <c r="G53" s="614">
        <f t="shared" si="1"/>
        <v>0.35716902774758436</v>
      </c>
      <c r="H53" s="91">
        <f t="shared" si="6"/>
        <v>1521.407487401008</v>
      </c>
      <c r="I53" s="92">
        <f t="shared" si="7"/>
        <v>1457.9499063670412</v>
      </c>
      <c r="J53" s="614">
        <f t="shared" si="4"/>
        <v>4.352521355969774E-2</v>
      </c>
    </row>
    <row r="54" spans="1:10">
      <c r="A54" s="29" t="s">
        <v>48</v>
      </c>
      <c r="B54" s="26">
        <f>整車出口!E54</f>
        <v>45944</v>
      </c>
      <c r="C54" s="93">
        <f>VLOOKUP(A54,[6]進出口值表查詢結果!$A$10:$C$103,3,0)</f>
        <v>32813</v>
      </c>
      <c r="D54" s="613">
        <f t="shared" si="5"/>
        <v>0.4001767592112882</v>
      </c>
      <c r="E54" s="26">
        <f>整車出口!G54</f>
        <v>47256258</v>
      </c>
      <c r="F54" s="93">
        <f>VLOOKUP(A54,[6]進出口值表查詢結果!$A$10:$C$103,2,0)</f>
        <v>39360698</v>
      </c>
      <c r="G54" s="614">
        <f t="shared" si="1"/>
        <v>0.20059501993587614</v>
      </c>
      <c r="H54" s="91">
        <f t="shared" si="6"/>
        <v>1028.5621191015148</v>
      </c>
      <c r="I54" s="92">
        <f t="shared" si="7"/>
        <v>1199.5458507298936</v>
      </c>
      <c r="J54" s="614">
        <f t="shared" si="4"/>
        <v>-0.14254038853482714</v>
      </c>
    </row>
    <row r="55" spans="1:10">
      <c r="A55" s="29" t="s">
        <v>49</v>
      </c>
      <c r="B55" s="26">
        <f>整車出口!E55</f>
        <v>2583</v>
      </c>
      <c r="C55" s="93">
        <f>VLOOKUP(A55,[6]進出口值表查詢結果!$A$10:$C$103,3,0)</f>
        <v>578</v>
      </c>
      <c r="D55" s="613">
        <f t="shared" si="5"/>
        <v>3.4688581314878895</v>
      </c>
      <c r="E55" s="26">
        <f>整車出口!G55</f>
        <v>2760383</v>
      </c>
      <c r="F55" s="93">
        <f>VLOOKUP(A55,[6]進出口值表查詢結果!$A$10:$C$103,2,0)</f>
        <v>843374</v>
      </c>
      <c r="G55" s="614">
        <f t="shared" si="1"/>
        <v>2.2730235933287011</v>
      </c>
      <c r="H55" s="91">
        <f t="shared" si="6"/>
        <v>1068.6732481610532</v>
      </c>
      <c r="I55" s="92">
        <f t="shared" si="7"/>
        <v>1459.1245674740485</v>
      </c>
      <c r="J55" s="614">
        <f t="shared" si="4"/>
        <v>-0.26759286219744893</v>
      </c>
    </row>
    <row r="56" spans="1:10">
      <c r="A56" s="29" t="s">
        <v>50</v>
      </c>
      <c r="B56" s="26">
        <f>整車出口!E56</f>
        <v>25525</v>
      </c>
      <c r="C56" s="93">
        <f>VLOOKUP(A56,[6]進出口值表查詢結果!$A$10:$C$103,3,0)</f>
        <v>109288</v>
      </c>
      <c r="D56" s="613">
        <f t="shared" si="5"/>
        <v>-0.76644279335334164</v>
      </c>
      <c r="E56" s="26">
        <f>整車出口!G56</f>
        <v>38843549</v>
      </c>
      <c r="F56" s="93">
        <f>VLOOKUP(A56,[6]進出口值表查詢結果!$A$10:$C$103,2,0)</f>
        <v>149703683</v>
      </c>
      <c r="G56" s="614">
        <f t="shared" si="1"/>
        <v>-0.74053043838607502</v>
      </c>
      <c r="H56" s="91">
        <f t="shared" si="6"/>
        <v>1521.784485798237</v>
      </c>
      <c r="I56" s="92">
        <f t="shared" si="7"/>
        <v>1369.8089726227947</v>
      </c>
      <c r="J56" s="614">
        <f t="shared" si="4"/>
        <v>0.11094650145593105</v>
      </c>
    </row>
    <row r="57" spans="1:10">
      <c r="A57" s="520" t="s">
        <v>338</v>
      </c>
      <c r="B57" s="26">
        <f>整車出口!E57</f>
        <v>8908</v>
      </c>
      <c r="C57" s="93">
        <f>VLOOKUP(A57,[6]進出口值表查詢結果!$A$10:$C$103,3,0)</f>
        <v>10839</v>
      </c>
      <c r="D57" s="613">
        <f t="shared" si="5"/>
        <v>-0.17815296614078791</v>
      </c>
      <c r="E57" s="26">
        <f>整車出口!G57</f>
        <v>14965490</v>
      </c>
      <c r="F57" s="93">
        <f>VLOOKUP(A57,[6]進出口值表查詢結果!$A$10:$C$103,2,0)</f>
        <v>18367386</v>
      </c>
      <c r="G57" s="614">
        <f t="shared" si="1"/>
        <v>-0.18521394388945711</v>
      </c>
      <c r="H57" s="91">
        <f t="shared" si="6"/>
        <v>1680.0056129321958</v>
      </c>
      <c r="I57" s="92">
        <f t="shared" si="7"/>
        <v>1694.5646277331857</v>
      </c>
      <c r="J57" s="614">
        <f t="shared" si="4"/>
        <v>-8.5915960729484979E-3</v>
      </c>
    </row>
    <row r="58" spans="1:10">
      <c r="A58" s="29" t="s">
        <v>51</v>
      </c>
      <c r="B58" s="26">
        <f>整車出口!E58</f>
        <v>1423</v>
      </c>
      <c r="C58" s="93">
        <f>VLOOKUP(A58,[6]進出口值表查詢結果!$A$10:$C$103,3,0)</f>
        <v>4711</v>
      </c>
      <c r="D58" s="613">
        <f t="shared" si="5"/>
        <v>-0.69794098917427294</v>
      </c>
      <c r="E58" s="26">
        <f>整車出口!G58</f>
        <v>628941</v>
      </c>
      <c r="F58" s="93">
        <f>VLOOKUP(A58,[6]進出口值表查詢結果!$A$10:$C$103,2,0)</f>
        <v>4782213</v>
      </c>
      <c r="G58" s="614">
        <f t="shared" si="1"/>
        <v>-0.86848327332973252</v>
      </c>
      <c r="H58" s="91">
        <f t="shared" si="6"/>
        <v>441.98243148278283</v>
      </c>
      <c r="I58" s="92">
        <f t="shared" si="7"/>
        <v>1015.1163234981957</v>
      </c>
      <c r="J58" s="614">
        <f t="shared" si="4"/>
        <v>-0.56459922744650015</v>
      </c>
    </row>
    <row r="59" spans="1:10">
      <c r="A59" s="29" t="s">
        <v>52</v>
      </c>
      <c r="B59" s="26">
        <f>整車出口!E59</f>
        <v>0</v>
      </c>
      <c r="C59" s="93">
        <f>VLOOKUP(A59,[6]進出口值表查詢結果!$A$10:$C$103,3,0)</f>
        <v>151</v>
      </c>
      <c r="D59" s="613">
        <f t="shared" si="5"/>
        <v>-1</v>
      </c>
      <c r="E59" s="26">
        <f>整車出口!G59</f>
        <v>0</v>
      </c>
      <c r="F59" s="93">
        <f>VLOOKUP(A59,[6]進出口值表查詢結果!$A$10:$C$103,2,0)</f>
        <v>63160</v>
      </c>
      <c r="G59" s="614">
        <f t="shared" si="1"/>
        <v>-1</v>
      </c>
      <c r="H59" s="91">
        <f t="shared" si="6"/>
        <v>0</v>
      </c>
      <c r="I59" s="92">
        <f t="shared" si="7"/>
        <v>418.27814569536423</v>
      </c>
      <c r="J59" s="614">
        <f t="shared" si="4"/>
        <v>-1</v>
      </c>
    </row>
    <row r="60" spans="1:10">
      <c r="A60" s="29" t="s">
        <v>53</v>
      </c>
      <c r="B60" s="26">
        <f>整車出口!E60</f>
        <v>6910</v>
      </c>
      <c r="C60" s="93">
        <f>VLOOKUP(A60,[6]進出口值表查詢結果!$A$10:$C$103,3,0)</f>
        <v>4575</v>
      </c>
      <c r="D60" s="613">
        <f t="shared" si="5"/>
        <v>0.51038251366120213</v>
      </c>
      <c r="E60" s="26">
        <f>整車出口!G60</f>
        <v>7683762</v>
      </c>
      <c r="F60" s="93">
        <f>VLOOKUP(A60,[6]進出口值表查詢結果!$A$10:$C$103,2,0)</f>
        <v>5745938</v>
      </c>
      <c r="G60" s="614">
        <f t="shared" si="1"/>
        <v>0.33725111548366865</v>
      </c>
      <c r="H60" s="91">
        <f t="shared" si="6"/>
        <v>1111.9771345875542</v>
      </c>
      <c r="I60" s="92">
        <f t="shared" si="7"/>
        <v>1255.9427322404372</v>
      </c>
      <c r="J60" s="614">
        <f t="shared" si="4"/>
        <v>-0.11462751760668831</v>
      </c>
    </row>
    <row r="61" spans="1:10">
      <c r="A61" s="520" t="s">
        <v>336</v>
      </c>
      <c r="B61" s="26">
        <f>整車出口!E61</f>
        <v>4185</v>
      </c>
      <c r="C61" s="93">
        <f>VLOOKUP(A61,[6]進出口值表查詢結果!$A$10:$C$103,3,0)</f>
        <v>3249</v>
      </c>
      <c r="D61" s="613">
        <f t="shared" si="5"/>
        <v>0.2880886426592798</v>
      </c>
      <c r="E61" s="26">
        <f>整車出口!G61</f>
        <v>8550717</v>
      </c>
      <c r="F61" s="93">
        <f>VLOOKUP(A61,[6]進出口值表查詢結果!$A$10:$C$103,2,0)</f>
        <v>6631872</v>
      </c>
      <c r="G61" s="614">
        <f t="shared" si="1"/>
        <v>0.28933685692365596</v>
      </c>
      <c r="H61" s="91">
        <f t="shared" si="6"/>
        <v>2043.1820788530465</v>
      </c>
      <c r="I61" s="92">
        <f t="shared" si="7"/>
        <v>2041.2040627885503</v>
      </c>
      <c r="J61" s="614">
        <f t="shared" si="4"/>
        <v>9.6904376223606588E-4</v>
      </c>
    </row>
    <row r="62" spans="1:10">
      <c r="A62" s="29" t="s">
        <v>54</v>
      </c>
      <c r="B62" s="26">
        <f>整車出口!E62</f>
        <v>4983</v>
      </c>
      <c r="C62" s="93">
        <f>VLOOKUP(A62,[6]進出口值表查詢結果!$A$10:$C$103,3,0)</f>
        <v>3220</v>
      </c>
      <c r="D62" s="613">
        <f t="shared" si="5"/>
        <v>0.54751552795031055</v>
      </c>
      <c r="E62" s="26">
        <f>整車出口!G62</f>
        <v>9580287</v>
      </c>
      <c r="F62" s="93">
        <f>VLOOKUP(A62,[6]進出口值表查詢結果!$A$10:$C$103,2,0)</f>
        <v>5285719</v>
      </c>
      <c r="G62" s="614">
        <f t="shared" si="1"/>
        <v>0.81248511318895311</v>
      </c>
      <c r="H62" s="91">
        <f t="shared" si="6"/>
        <v>1922.5942203491873</v>
      </c>
      <c r="I62" s="92">
        <f t="shared" si="7"/>
        <v>1641.5276397515529</v>
      </c>
      <c r="J62" s="614">
        <f t="shared" si="4"/>
        <v>0.1712225696304292</v>
      </c>
    </row>
    <row r="63" spans="1:10">
      <c r="A63" s="520" t="s">
        <v>102</v>
      </c>
      <c r="B63" s="26">
        <f>整車出口!E63</f>
        <v>124</v>
      </c>
      <c r="C63" s="93">
        <f>VLOOKUP(A63,[6]進出口值表查詢結果!$A$10:$C$103,3,0)</f>
        <v>181</v>
      </c>
      <c r="D63" s="613">
        <f t="shared" si="5"/>
        <v>-0.31491712707182318</v>
      </c>
      <c r="E63" s="26">
        <f>整車出口!G63</f>
        <v>110817</v>
      </c>
      <c r="F63" s="93">
        <f>VLOOKUP(A63,[6]進出口值表查詢結果!$A$10:$C$103,2,0)</f>
        <v>314519</v>
      </c>
      <c r="G63" s="614">
        <f t="shared" si="1"/>
        <v>-0.64766198544444054</v>
      </c>
      <c r="H63" s="91">
        <f t="shared" si="6"/>
        <v>893.68548387096769</v>
      </c>
      <c r="I63" s="92">
        <f t="shared" si="7"/>
        <v>1737.6740331491712</v>
      </c>
      <c r="J63" s="614">
        <f t="shared" si="4"/>
        <v>-0.48570015617293344</v>
      </c>
    </row>
    <row r="64" spans="1:10">
      <c r="A64" s="29" t="s">
        <v>55</v>
      </c>
      <c r="B64" s="26">
        <f>整車出口!E64</f>
        <v>547</v>
      </c>
      <c r="C64" s="93">
        <f>VLOOKUP(A64,[6]進出口值表查詢結果!$A$10:$C$103,3,0)</f>
        <v>1316</v>
      </c>
      <c r="D64" s="613">
        <f t="shared" si="5"/>
        <v>-0.58434650455927051</v>
      </c>
      <c r="E64" s="26">
        <f>整車出口!G64</f>
        <v>1099466</v>
      </c>
      <c r="F64" s="93">
        <f>VLOOKUP(A64,[6]進出口值表查詢結果!$A$10:$C$103,2,0)</f>
        <v>2762246</v>
      </c>
      <c r="G64" s="614">
        <f t="shared" si="1"/>
        <v>-0.60196666046398473</v>
      </c>
      <c r="H64" s="91">
        <f t="shared" si="6"/>
        <v>2009.9926873857405</v>
      </c>
      <c r="I64" s="92">
        <f t="shared" si="7"/>
        <v>2098.9711246200609</v>
      </c>
      <c r="J64" s="614">
        <f t="shared" si="4"/>
        <v>-4.2391453693974256E-2</v>
      </c>
    </row>
    <row r="65" spans="1:10">
      <c r="A65" s="520" t="s">
        <v>337</v>
      </c>
      <c r="B65" s="26">
        <f>整車出口!E65</f>
        <v>1913</v>
      </c>
      <c r="C65" s="93">
        <f>VLOOKUP(A65,[6]進出口值表查詢結果!$A$10:$C$103,3,0)</f>
        <v>1828</v>
      </c>
      <c r="D65" s="613">
        <f t="shared" si="5"/>
        <v>4.6498905908096279E-2</v>
      </c>
      <c r="E65" s="26">
        <f>整車出口!G65</f>
        <v>2093209</v>
      </c>
      <c r="F65" s="93">
        <f>VLOOKUP(A65,[6]進出口值表查詢結果!$A$10:$C$103,2,0)</f>
        <v>2333946</v>
      </c>
      <c r="G65" s="614">
        <f t="shared" si="1"/>
        <v>-0.10314591682926683</v>
      </c>
      <c r="H65" s="91">
        <f t="shared" si="6"/>
        <v>1094.2023000522738</v>
      </c>
      <c r="I65" s="92">
        <f t="shared" si="7"/>
        <v>1276.7757111597375</v>
      </c>
      <c r="J65" s="614">
        <f t="shared" si="4"/>
        <v>-0.1429956800647674</v>
      </c>
    </row>
    <row r="66" spans="1:10">
      <c r="A66" s="29" t="s">
        <v>56</v>
      </c>
      <c r="B66" s="25">
        <f>B67-B7-B12-B41-B47</f>
        <v>15907</v>
      </c>
      <c r="C66" s="95">
        <f>C67-C47-C41-C12-C7</f>
        <v>19885</v>
      </c>
      <c r="D66" s="613">
        <f t="shared" si="5"/>
        <v>-0.20005028916268544</v>
      </c>
      <c r="E66" s="25">
        <f>E67-E47-E41-E12-E7</f>
        <v>23766092</v>
      </c>
      <c r="F66" s="95">
        <f>F67-F47-F41-F12-F7</f>
        <v>26521070</v>
      </c>
      <c r="G66" s="614">
        <f t="shared" si="1"/>
        <v>-0.10387884048418861</v>
      </c>
      <c r="H66" s="91">
        <f t="shared" si="6"/>
        <v>1494.0650028289433</v>
      </c>
      <c r="I66" s="92">
        <f t="shared" si="7"/>
        <v>1333.7224038219763</v>
      </c>
      <c r="J66" s="614">
        <f t="shared" si="4"/>
        <v>0.12022186816947956</v>
      </c>
    </row>
    <row r="67" spans="1:10">
      <c r="A67" s="30" t="s">
        <v>397</v>
      </c>
      <c r="B67" s="26">
        <f>整車出口!E67</f>
        <v>691219</v>
      </c>
      <c r="C67" s="93">
        <f>VLOOKUP(A67,[6]進出口值表查詢結果!$A$10:$C$103,3,0)</f>
        <v>908325</v>
      </c>
      <c r="D67" s="613">
        <f t="shared" si="5"/>
        <v>-0.23901797264195085</v>
      </c>
      <c r="E67" s="26">
        <f>整車出口!G67</f>
        <v>742865005</v>
      </c>
      <c r="F67" s="93">
        <f>VLOOKUP(A67,[6]進出口值表查詢結果!$A$10:$C$103,2,0)</f>
        <v>1028522832</v>
      </c>
      <c r="G67" s="614">
        <f t="shared" si="1"/>
        <v>-0.27773600946177146</v>
      </c>
      <c r="H67" s="91">
        <f t="shared" ref="H67:I67" si="8">E67/B67</f>
        <v>1074.7172820770263</v>
      </c>
      <c r="I67" s="92">
        <f t="shared" si="8"/>
        <v>1132.3291024688299</v>
      </c>
      <c r="J67" s="614">
        <f t="shared" si="4"/>
        <v>-5.0879042379279905E-2</v>
      </c>
    </row>
    <row r="68" spans="1:10">
      <c r="A68" s="34"/>
      <c r="B68" s="35"/>
      <c r="C68" s="101"/>
      <c r="D68" s="72"/>
      <c r="E68" s="35"/>
      <c r="F68" s="101"/>
      <c r="G68" s="614"/>
      <c r="H68" s="103"/>
      <c r="I68" s="104"/>
      <c r="J68" s="102"/>
    </row>
    <row r="69" spans="1:10">
      <c r="A69" s="38" t="s">
        <v>308</v>
      </c>
      <c r="B69" s="39"/>
      <c r="C69" s="105"/>
      <c r="D69" s="106"/>
      <c r="E69" s="39"/>
      <c r="F69" s="105"/>
      <c r="G69" s="614"/>
      <c r="H69" s="590"/>
      <c r="I69" s="108"/>
      <c r="J69" s="107"/>
    </row>
    <row r="70" spans="1:10">
      <c r="A70" s="75" t="s">
        <v>512</v>
      </c>
      <c r="B70" s="6" t="s">
        <v>497</v>
      </c>
      <c r="C70" s="76" t="s">
        <v>500</v>
      </c>
      <c r="D70" s="77" t="s">
        <v>61</v>
      </c>
      <c r="E70" s="6" t="s">
        <v>497</v>
      </c>
      <c r="F70" s="76" t="s">
        <v>500</v>
      </c>
      <c r="G70" s="77" t="s">
        <v>61</v>
      </c>
      <c r="H70" s="6" t="s">
        <v>497</v>
      </c>
      <c r="I70" s="76" t="s">
        <v>500</v>
      </c>
      <c r="J70" s="78" t="s">
        <v>412</v>
      </c>
    </row>
    <row r="71" spans="1:10">
      <c r="A71" s="48"/>
      <c r="B71" s="50" t="s">
        <v>62</v>
      </c>
      <c r="C71" s="109" t="s">
        <v>62</v>
      </c>
      <c r="D71" s="80" t="s">
        <v>2</v>
      </c>
      <c r="E71" s="50" t="s">
        <v>63</v>
      </c>
      <c r="F71" s="109" t="s">
        <v>63</v>
      </c>
      <c r="G71" s="80" t="s">
        <v>2</v>
      </c>
      <c r="H71" s="82" t="s">
        <v>64</v>
      </c>
      <c r="I71" s="83" t="s">
        <v>65</v>
      </c>
      <c r="J71" s="110" t="s">
        <v>2</v>
      </c>
    </row>
    <row r="72" spans="1:10">
      <c r="A72" s="30" t="s">
        <v>57</v>
      </c>
      <c r="B72" s="26">
        <v>23255</v>
      </c>
      <c r="C72" s="93">
        <v>21596</v>
      </c>
      <c r="D72" s="94">
        <f>IF(C72,(B72-C72)/C72,0)</f>
        <v>7.6819781441007595E-2</v>
      </c>
      <c r="E72" s="25">
        <v>7482076</v>
      </c>
      <c r="F72" s="93">
        <v>5811562</v>
      </c>
      <c r="G72" s="614">
        <f t="shared" ref="G72" si="9">IF(F72,(E72-F72)/F72,0)</f>
        <v>0.28744664515323076</v>
      </c>
      <c r="H72" s="91">
        <f>E72/B72</f>
        <v>321.74052891851215</v>
      </c>
      <c r="I72" s="92">
        <f>F72/C72</f>
        <v>269.10363030190774</v>
      </c>
      <c r="J72" s="94">
        <f>IF(I72,(H72-I72)/I72,0)</f>
        <v>0.19560084922507734</v>
      </c>
    </row>
    <row r="73" spans="1:10">
      <c r="A73" s="57" t="s">
        <v>75</v>
      </c>
      <c r="B73" s="3"/>
      <c r="C73" s="58"/>
      <c r="D73" s="3"/>
      <c r="E73" s="3"/>
      <c r="F73" s="3"/>
      <c r="G73" s="3"/>
      <c r="H73" s="3"/>
      <c r="I73" s="3"/>
      <c r="J73" s="3"/>
    </row>
    <row r="74" spans="1:10">
      <c r="A74" s="60" t="s">
        <v>60</v>
      </c>
      <c r="B74" s="61"/>
      <c r="C74" s="62"/>
      <c r="D74" s="64"/>
      <c r="E74" s="61"/>
      <c r="F74" s="62"/>
      <c r="G74" s="741"/>
      <c r="H74" s="60"/>
      <c r="I74" s="60"/>
      <c r="J74" s="60"/>
    </row>
  </sheetData>
  <mergeCells count="1">
    <mergeCell ref="A3:J3"/>
  </mergeCells>
  <phoneticPr fontId="3" type="noConversion"/>
  <conditionalFormatting sqref="D1:D1048576">
    <cfRule type="cellIs" dxfId="51" priority="2" operator="lessThan">
      <formula>0</formula>
    </cfRule>
  </conditionalFormatting>
  <conditionalFormatting sqref="D7:D67">
    <cfRule type="cellIs" dxfId="50" priority="11" operator="greaterThanOrEqual">
      <formula>0</formula>
    </cfRule>
  </conditionalFormatting>
  <conditionalFormatting sqref="G1:G73 G75:G1048576">
    <cfRule type="cellIs" dxfId="49" priority="1" operator="lessThan">
      <formula>0</formula>
    </cfRule>
  </conditionalFormatting>
  <conditionalFormatting sqref="J1:J1048576">
    <cfRule type="cellIs" dxfId="48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68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3" width="16.375" customWidth="1"/>
    <col min="4" max="4" width="12.375" customWidth="1"/>
    <col min="5" max="6" width="17.625" customWidth="1"/>
    <col min="7" max="7" width="12.5" customWidth="1"/>
  </cols>
  <sheetData>
    <row r="1" spans="1:7" ht="25.5">
      <c r="A1" s="427" t="s">
        <v>546</v>
      </c>
      <c r="B1" s="428"/>
      <c r="C1" s="429"/>
      <c r="D1" s="430"/>
      <c r="E1" s="428"/>
      <c r="F1" s="429"/>
      <c r="G1" s="430"/>
    </row>
    <row r="2" spans="1:7" ht="12" customHeight="1">
      <c r="A2" s="431"/>
      <c r="B2" s="432"/>
      <c r="C2" s="433"/>
      <c r="D2" s="434"/>
      <c r="E2" s="388"/>
      <c r="F2" s="433"/>
      <c r="G2" s="434"/>
    </row>
    <row r="3" spans="1:7" ht="12" customHeight="1">
      <c r="A3" s="354"/>
      <c r="B3" s="388"/>
      <c r="C3" s="433"/>
      <c r="D3" s="434"/>
      <c r="E3" s="388"/>
      <c r="F3" s="433"/>
      <c r="G3" s="434"/>
    </row>
    <row r="4" spans="1:7">
      <c r="A4" s="29" t="s">
        <v>242</v>
      </c>
      <c r="B4" s="24" t="s">
        <v>497</v>
      </c>
      <c r="C4" s="592" t="s">
        <v>498</v>
      </c>
      <c r="D4" s="593" t="s">
        <v>61</v>
      </c>
      <c r="E4" s="24" t="s">
        <v>499</v>
      </c>
      <c r="F4" s="592" t="s">
        <v>498</v>
      </c>
      <c r="G4" s="593" t="s">
        <v>61</v>
      </c>
    </row>
    <row r="5" spans="1:7">
      <c r="A5" s="48"/>
      <c r="B5" s="81" t="s">
        <v>243</v>
      </c>
      <c r="C5" s="79" t="s">
        <v>243</v>
      </c>
      <c r="D5" s="516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35">
        <v>85121010001</v>
      </c>
      <c r="B6" s="436"/>
      <c r="C6" s="437"/>
      <c r="D6" s="438"/>
      <c r="E6" s="436"/>
      <c r="F6" s="437"/>
      <c r="G6" s="439"/>
    </row>
    <row r="7" spans="1:7" ht="19.5">
      <c r="A7" s="396" t="s">
        <v>203</v>
      </c>
      <c r="B7" s="440">
        <f>零件進出口!F6</f>
        <v>117417</v>
      </c>
      <c r="C7" s="441">
        <v>106966</v>
      </c>
      <c r="D7" s="628">
        <f>(B7-C7)/C7</f>
        <v>9.7703943309088867E-2</v>
      </c>
      <c r="E7" s="440">
        <f>零件進出口!G6</f>
        <v>13389471</v>
      </c>
      <c r="F7" s="441">
        <v>11086673</v>
      </c>
      <c r="G7" s="628">
        <f>(E7-F7)/F7</f>
        <v>0.20770866065951435</v>
      </c>
    </row>
    <row r="8" spans="1:7" ht="19.5">
      <c r="A8" s="396" t="s">
        <v>204</v>
      </c>
      <c r="B8" s="440"/>
      <c r="C8" s="443"/>
      <c r="D8" s="444"/>
      <c r="E8" s="440"/>
      <c r="F8" s="441"/>
      <c r="G8" s="628"/>
    </row>
    <row r="9" spans="1:7" ht="19.5">
      <c r="A9" s="398">
        <v>85121020009</v>
      </c>
      <c r="B9" s="446"/>
      <c r="C9" s="447"/>
      <c r="D9" s="448"/>
      <c r="E9" s="446"/>
      <c r="F9" s="449"/>
      <c r="G9" s="630"/>
    </row>
    <row r="10" spans="1:7" ht="19.5">
      <c r="A10" s="396" t="s">
        <v>208</v>
      </c>
      <c r="B10" s="440">
        <f>零件進出口!F9</f>
        <v>42068</v>
      </c>
      <c r="C10" s="441">
        <v>46726</v>
      </c>
      <c r="D10" s="628">
        <f>(B10-C10)/C10</f>
        <v>-9.9687540127552113E-2</v>
      </c>
      <c r="E10" s="440">
        <f>零件進出口!G9</f>
        <v>7252161</v>
      </c>
      <c r="F10" s="441">
        <v>7500513</v>
      </c>
      <c r="G10" s="628">
        <f>(E10-F10)/F10</f>
        <v>-3.3111335184673366E-2</v>
      </c>
    </row>
    <row r="11" spans="1:7" ht="19.5">
      <c r="A11" s="396" t="s">
        <v>209</v>
      </c>
      <c r="B11" s="440"/>
      <c r="C11" s="443"/>
      <c r="D11" s="451"/>
      <c r="E11" s="445"/>
      <c r="F11" s="441"/>
      <c r="G11" s="628"/>
    </row>
    <row r="12" spans="1:7" ht="19.5">
      <c r="A12" s="403">
        <v>87149120007</v>
      </c>
      <c r="B12" s="446"/>
      <c r="C12" s="452"/>
      <c r="D12" s="453"/>
      <c r="E12" s="454"/>
      <c r="F12" s="455"/>
      <c r="G12" s="630"/>
    </row>
    <row r="13" spans="1:7" ht="19.5">
      <c r="A13" s="396" t="s">
        <v>210</v>
      </c>
      <c r="B13" s="440">
        <f>零件進出口!F12</f>
        <v>7436681</v>
      </c>
      <c r="C13" s="441">
        <f>VLOOKUP(A12,[32]進出口值表查詢結果!$A$3:$D$19,4,0)</f>
        <v>8036410</v>
      </c>
      <c r="D13" s="628">
        <f>(B13-C13)/C13</f>
        <v>-7.462648122731419E-2</v>
      </c>
      <c r="E13" s="440">
        <f>零件進出口!G12</f>
        <v>481614220</v>
      </c>
      <c r="F13" s="441">
        <f>VLOOKUP(A12,[32]進出口值表查詢結果!$A$3:$D$19,3,0)</f>
        <v>517352099</v>
      </c>
      <c r="G13" s="628">
        <f>(E13-F13)/F13</f>
        <v>-6.9078445934748198E-2</v>
      </c>
    </row>
    <row r="14" spans="1:7" ht="19.5">
      <c r="A14" s="396" t="s">
        <v>211</v>
      </c>
      <c r="B14" s="456"/>
      <c r="C14" s="443"/>
      <c r="D14" s="628"/>
      <c r="E14" s="445"/>
      <c r="F14" s="441"/>
      <c r="G14" s="628"/>
    </row>
    <row r="15" spans="1:7" ht="19.5">
      <c r="A15" s="403">
        <v>87149200108</v>
      </c>
      <c r="B15" s="446"/>
      <c r="C15" s="631"/>
      <c r="D15" s="630"/>
      <c r="E15" s="454"/>
      <c r="F15" s="455"/>
      <c r="G15" s="630"/>
    </row>
    <row r="16" spans="1:7" ht="19.5">
      <c r="A16" s="396" t="s">
        <v>212</v>
      </c>
      <c r="B16" s="440">
        <f>零件進出口!F15</f>
        <v>1184861</v>
      </c>
      <c r="C16" s="441">
        <f>VLOOKUP(A15,[32]進出口值表查詢結果!$A$3:$D$19,4,0)</f>
        <v>1230779</v>
      </c>
      <c r="D16" s="628">
        <f>(B16-C16)/C16</f>
        <v>-3.7308078867123992E-2</v>
      </c>
      <c r="E16" s="440">
        <f>零件進出口!G15</f>
        <v>39192736</v>
      </c>
      <c r="F16" s="441">
        <f>VLOOKUP(A15,[32]進出口值表查詢結果!$A$3:$D$19,3,0)</f>
        <v>42038241</v>
      </c>
      <c r="G16" s="628">
        <f>(E16-F16)/F16</f>
        <v>-6.7688488678677106E-2</v>
      </c>
    </row>
    <row r="17" spans="1:7" ht="19.5">
      <c r="A17" s="396"/>
      <c r="B17" s="440"/>
      <c r="C17" s="443"/>
      <c r="D17" s="628"/>
      <c r="E17" s="445"/>
      <c r="F17" s="441"/>
      <c r="G17" s="628"/>
    </row>
    <row r="18" spans="1:7" ht="19.5">
      <c r="A18" s="403">
        <v>87149200206</v>
      </c>
      <c r="B18" s="446"/>
      <c r="C18" s="452"/>
      <c r="D18" s="630"/>
      <c r="E18" s="454"/>
      <c r="F18" s="455"/>
      <c r="G18" s="630"/>
    </row>
    <row r="19" spans="1:7" ht="19.5">
      <c r="A19" s="396" t="s">
        <v>143</v>
      </c>
      <c r="B19" s="440">
        <f>零件進出口!F18</f>
        <v>888790</v>
      </c>
      <c r="C19" s="441">
        <f>VLOOKUP(A18,[32]進出口值表查詢結果!$A$3:$D$19,4,0)</f>
        <v>981577</v>
      </c>
      <c r="D19" s="628">
        <f>(B19-C19)/C19</f>
        <v>-9.4528498528388502E-2</v>
      </c>
      <c r="E19" s="440">
        <f>零件進出口!G18</f>
        <v>11323900</v>
      </c>
      <c r="F19" s="441">
        <f>VLOOKUP(A18,[32]進出口值表查詢結果!$A$3:$D$19,3,0)</f>
        <v>15094257</v>
      </c>
      <c r="G19" s="628">
        <f>(E19-F19)/F19</f>
        <v>-0.24978751852442951</v>
      </c>
    </row>
    <row r="20" spans="1:7" ht="19.5">
      <c r="A20" s="396"/>
      <c r="B20" s="440"/>
      <c r="C20" s="443"/>
      <c r="D20" s="628"/>
      <c r="E20" s="445"/>
      <c r="F20" s="441"/>
      <c r="G20" s="628"/>
    </row>
    <row r="21" spans="1:7" ht="19.5">
      <c r="A21" s="403">
        <v>87149200304</v>
      </c>
      <c r="B21" s="446"/>
      <c r="C21" s="452"/>
      <c r="D21" s="630"/>
      <c r="E21" s="454"/>
      <c r="F21" s="455"/>
      <c r="G21" s="630"/>
    </row>
    <row r="22" spans="1:7" ht="19.5">
      <c r="A22" s="396" t="s">
        <v>145</v>
      </c>
      <c r="B22" s="440">
        <f>零件進出口!F21</f>
        <v>767328</v>
      </c>
      <c r="C22" s="441">
        <f>VLOOKUP(A21,[32]進出口值表查詢結果!$A$3:$D$19,4,0)</f>
        <v>620078</v>
      </c>
      <c r="D22" s="628">
        <f>(B22-C22)/C22</f>
        <v>0.23747012472624413</v>
      </c>
      <c r="E22" s="440">
        <f>零件進出口!G21</f>
        <v>109572709</v>
      </c>
      <c r="F22" s="441">
        <f>VLOOKUP(A21,[32]進出口值表查詢結果!$A$3:$D$19,3,0)</f>
        <v>77139068</v>
      </c>
      <c r="G22" s="628">
        <f>(E22-F22)/F22</f>
        <v>0.4204567392491701</v>
      </c>
    </row>
    <row r="23" spans="1:7" ht="19.5">
      <c r="A23" s="403">
        <v>87149310007</v>
      </c>
      <c r="B23" s="446"/>
      <c r="C23" s="452"/>
      <c r="D23" s="630"/>
      <c r="E23" s="454"/>
      <c r="F23" s="455"/>
      <c r="G23" s="630"/>
    </row>
    <row r="24" spans="1:7" ht="19.5">
      <c r="A24" s="396" t="s">
        <v>214</v>
      </c>
      <c r="B24" s="440">
        <f>零件進出口!F23</f>
        <v>627640</v>
      </c>
      <c r="C24" s="441">
        <f>VLOOKUP(A23,[32]進出口值表查詢結果!$A$3:$D$19,4,0)</f>
        <v>722063</v>
      </c>
      <c r="D24" s="628">
        <f>(B24-C24)/C24</f>
        <v>-0.13076836785709833</v>
      </c>
      <c r="E24" s="440">
        <f>零件進出口!G23</f>
        <v>46718056</v>
      </c>
      <c r="F24" s="441">
        <f>VLOOKUP(A23,[32]進出口值表查詢結果!$A$3:$D$19,3,0)</f>
        <v>45526081</v>
      </c>
      <c r="G24" s="628">
        <f>(E24-F24)/F24</f>
        <v>2.6182244854328664E-2</v>
      </c>
    </row>
    <row r="25" spans="1:7" ht="19.5">
      <c r="A25" s="396" t="s">
        <v>244</v>
      </c>
      <c r="B25" s="440"/>
      <c r="C25" s="443"/>
      <c r="D25" s="628"/>
      <c r="E25" s="445"/>
      <c r="F25" s="441"/>
      <c r="G25" s="628"/>
    </row>
    <row r="26" spans="1:7" ht="19.5">
      <c r="A26" s="403">
        <v>87149320103</v>
      </c>
      <c r="B26" s="446"/>
      <c r="C26" s="631"/>
      <c r="D26" s="630"/>
      <c r="E26" s="632"/>
      <c r="F26" s="455"/>
      <c r="G26" s="630"/>
    </row>
    <row r="27" spans="1:7" ht="39">
      <c r="A27" s="726" t="s">
        <v>405</v>
      </c>
      <c r="B27" s="440">
        <f>零件進出口!F27</f>
        <v>23588</v>
      </c>
      <c r="C27" s="441">
        <f>VLOOKUP(A26,[32]進出口值表查詢結果!$A$3:$D$19,4,0)</f>
        <v>19501</v>
      </c>
      <c r="D27" s="628">
        <f t="shared" ref="D27" si="0">(B27-C27)/C27</f>
        <v>0.20957899594892571</v>
      </c>
      <c r="E27" s="440">
        <f>零件進出口!G27</f>
        <v>907610</v>
      </c>
      <c r="F27" s="441">
        <f>VLOOKUP(A26,[32]進出口值表查詢結果!$A$3:$D$19,3,0)</f>
        <v>647110</v>
      </c>
      <c r="G27" s="629">
        <f t="shared" ref="G27" si="1">(E27-F27)/F27</f>
        <v>0.40255907032807403</v>
      </c>
    </row>
    <row r="28" spans="1:7" ht="19.5">
      <c r="A28" s="403">
        <v>87149410006</v>
      </c>
      <c r="B28" s="446"/>
      <c r="C28" s="452"/>
      <c r="D28" s="630"/>
      <c r="E28" s="454"/>
      <c r="F28" s="455"/>
      <c r="G28" s="630"/>
    </row>
    <row r="29" spans="1:7" ht="19.5">
      <c r="A29" s="396" t="s">
        <v>218</v>
      </c>
      <c r="B29" s="440">
        <f>零件進出口!F29</f>
        <v>92060</v>
      </c>
      <c r="C29" s="441">
        <f>VLOOKUP(A28,[32]進出口值表查詢結果!$A$3:$D$19,4,0)</f>
        <v>76887</v>
      </c>
      <c r="D29" s="628">
        <f>(B29-C29)/C29</f>
        <v>0.19734155318844537</v>
      </c>
      <c r="E29" s="440">
        <f>零件進出口!G29</f>
        <v>2082500</v>
      </c>
      <c r="F29" s="441">
        <f>VLOOKUP(A28,[32]進出口值表查詢結果!$A$3:$D$19,3,0)</f>
        <v>1880938</v>
      </c>
      <c r="G29" s="629">
        <f>(E29-F29)/F29</f>
        <v>0.10716036360581795</v>
      </c>
    </row>
    <row r="30" spans="1:7" ht="19.5">
      <c r="A30" s="396" t="s">
        <v>219</v>
      </c>
      <c r="B30" s="440"/>
      <c r="C30" s="443"/>
      <c r="D30" s="628"/>
      <c r="E30" s="445"/>
      <c r="F30" s="441"/>
      <c r="G30" s="628"/>
    </row>
    <row r="31" spans="1:7" ht="19.5">
      <c r="A31" s="403">
        <v>87149490009</v>
      </c>
      <c r="B31" s="446"/>
      <c r="C31" s="452"/>
      <c r="D31" s="630"/>
      <c r="E31" s="454"/>
      <c r="F31" s="455"/>
      <c r="G31" s="630"/>
    </row>
    <row r="32" spans="1:7" ht="19.5">
      <c r="A32" s="396" t="s">
        <v>220</v>
      </c>
      <c r="B32" s="440">
        <f>零件進出口!F32</f>
        <v>4286645</v>
      </c>
      <c r="C32" s="441">
        <f>VLOOKUP(A31,[32]進出口值表查詢結果!$A$3:$D$19,4,0)</f>
        <v>3850133</v>
      </c>
      <c r="D32" s="628">
        <f>(B32-C32)/C32</f>
        <v>0.11337582364037814</v>
      </c>
      <c r="E32" s="440">
        <f>零件進出口!G32</f>
        <v>184148540</v>
      </c>
      <c r="F32" s="441">
        <f>VLOOKUP(A31,[32]進出口值表查詢結果!$A$3:$D$19,3,0)</f>
        <v>168179873</v>
      </c>
      <c r="G32" s="628">
        <f>(E32-F32)/F32</f>
        <v>9.4949928996557159E-2</v>
      </c>
    </row>
    <row r="33" spans="1:7" ht="19.5">
      <c r="A33" s="396" t="s">
        <v>221</v>
      </c>
      <c r="B33" s="440"/>
      <c r="C33" s="443"/>
      <c r="D33" s="628"/>
      <c r="E33" s="445"/>
      <c r="F33" s="441"/>
      <c r="G33" s="628"/>
    </row>
    <row r="34" spans="1:7" ht="19.5">
      <c r="A34" s="403">
        <v>87149500007</v>
      </c>
      <c r="B34" s="458"/>
      <c r="C34" s="631"/>
      <c r="D34" s="630"/>
      <c r="E34" s="632"/>
      <c r="F34" s="633"/>
      <c r="G34" s="630"/>
    </row>
    <row r="35" spans="1:7" ht="19.5">
      <c r="A35" s="396" t="s">
        <v>222</v>
      </c>
      <c r="B35" s="440">
        <f>零件進出口!F35</f>
        <v>1374818</v>
      </c>
      <c r="C35" s="441">
        <f>VLOOKUP(A34,[32]進出口值表查詢結果!$A$3:$D$19,4,0)</f>
        <v>1235816</v>
      </c>
      <c r="D35" s="628">
        <f>(B35-C35)/C35</f>
        <v>0.11247790933278093</v>
      </c>
      <c r="E35" s="440">
        <f>零件進出口!G35</f>
        <v>30294289</v>
      </c>
      <c r="F35" s="441">
        <f>VLOOKUP(A34,[32]進出口值表查詢結果!$A$3:$D$19,3,0)</f>
        <v>27516630</v>
      </c>
      <c r="G35" s="628">
        <f>(E35-F35)/F35</f>
        <v>0.10094473778220661</v>
      </c>
    </row>
    <row r="36" spans="1:7" ht="19.5">
      <c r="A36" s="403">
        <v>87149610004</v>
      </c>
      <c r="B36" s="458"/>
      <c r="C36" s="631"/>
      <c r="D36" s="630"/>
      <c r="E36" s="454"/>
      <c r="F36" s="455"/>
      <c r="G36" s="630"/>
    </row>
    <row r="37" spans="1:7" ht="19.5">
      <c r="A37" s="396" t="s">
        <v>223</v>
      </c>
      <c r="B37" s="440">
        <f>零件進出口!F37</f>
        <v>1689296</v>
      </c>
      <c r="C37" s="441">
        <f>VLOOKUP(A36,[32]進出口值表查詢結果!$A$3:$D$19,4,0)</f>
        <v>1531039</v>
      </c>
      <c r="D37" s="628">
        <f>(B37-C37)/C37</f>
        <v>0.10336575358302434</v>
      </c>
      <c r="E37" s="440">
        <f>零件進出口!G37</f>
        <v>39879476</v>
      </c>
      <c r="F37" s="441">
        <f>VLOOKUP(A36,[32]進出口值表查詢結果!$A$3:$D$19,3,0)</f>
        <v>37471931</v>
      </c>
      <c r="G37" s="628">
        <f>(E37-F37)/F37</f>
        <v>6.4249291022659069E-2</v>
      </c>
    </row>
    <row r="38" spans="1:7" ht="19.5">
      <c r="A38" s="403">
        <v>87149620002</v>
      </c>
      <c r="B38" s="446"/>
      <c r="C38" s="452"/>
      <c r="D38" s="630"/>
      <c r="E38" s="454"/>
      <c r="F38" s="455"/>
      <c r="G38" s="630"/>
    </row>
    <row r="39" spans="1:7" ht="19.5">
      <c r="A39" s="396" t="s">
        <v>224</v>
      </c>
      <c r="B39" s="440">
        <f>零件進出口!F39</f>
        <v>1829478</v>
      </c>
      <c r="C39" s="441">
        <f>VLOOKUP(A38,[32]進出口值表查詢結果!$A$3:$D$19,4,0)</f>
        <v>1677031</v>
      </c>
      <c r="D39" s="628">
        <f>(B39-C39)/C39</f>
        <v>9.090291115668106E-2</v>
      </c>
      <c r="E39" s="440">
        <f>零件進出口!G39</f>
        <v>102955693</v>
      </c>
      <c r="F39" s="441">
        <f>VLOOKUP(A38,[32]進出口值表查詢結果!$A$3:$D$19,3,0)</f>
        <v>84331251</v>
      </c>
      <c r="G39" s="628">
        <f>(E39-F39)/F39</f>
        <v>0.2208486388990008</v>
      </c>
    </row>
    <row r="40" spans="1:7" ht="19.5">
      <c r="A40" s="396" t="s">
        <v>219</v>
      </c>
      <c r="B40" s="440"/>
      <c r="C40" s="441"/>
      <c r="D40" s="628"/>
      <c r="E40" s="445"/>
      <c r="F40" s="441"/>
      <c r="G40" s="628"/>
    </row>
    <row r="41" spans="1:7" ht="19.5">
      <c r="A41" s="403">
        <v>73151100209</v>
      </c>
      <c r="B41" s="446"/>
      <c r="C41" s="446"/>
      <c r="D41" s="630"/>
      <c r="E41" s="454"/>
      <c r="F41" s="454"/>
      <c r="G41" s="630"/>
    </row>
    <row r="42" spans="1:7" ht="19.5">
      <c r="A42" s="396" t="s">
        <v>225</v>
      </c>
      <c r="B42" s="440">
        <f>零件進出口!F42</f>
        <v>1156176</v>
      </c>
      <c r="C42" s="441">
        <v>1042934</v>
      </c>
      <c r="D42" s="628">
        <f>(B42-C42)/C42</f>
        <v>0.1085802169648319</v>
      </c>
      <c r="E42" s="440">
        <f>零件進出口!G42</f>
        <v>25111935</v>
      </c>
      <c r="F42" s="441">
        <v>24707621</v>
      </c>
      <c r="G42" s="628">
        <f>(E42-F42)/F42</f>
        <v>1.6363938883472432E-2</v>
      </c>
    </row>
    <row r="43" spans="1:7" ht="19.5">
      <c r="A43" s="396" t="s">
        <v>226</v>
      </c>
      <c r="B43" s="440"/>
      <c r="C43" s="443"/>
      <c r="D43" s="628"/>
      <c r="E43" s="445"/>
      <c r="F43" s="441"/>
      <c r="G43" s="628"/>
    </row>
    <row r="44" spans="1:7" ht="19.5">
      <c r="A44" s="403">
        <v>87149990111</v>
      </c>
      <c r="B44" s="446"/>
      <c r="C44" s="452"/>
      <c r="D44" s="630"/>
      <c r="E44" s="454"/>
      <c r="F44" s="455"/>
      <c r="G44" s="630"/>
    </row>
    <row r="45" spans="1:7" ht="19.5">
      <c r="A45" s="407" t="s">
        <v>227</v>
      </c>
      <c r="B45" s="440">
        <f>零件進出口!F45</f>
        <v>800765</v>
      </c>
      <c r="C45" s="441">
        <f>VLOOKUP(A44,[32]進出口值表查詢結果!$A$3:$D$19,4,0)</f>
        <v>676288</v>
      </c>
      <c r="D45" s="628">
        <f>(B45-C45)/C45</f>
        <v>0.18405915822844704</v>
      </c>
      <c r="E45" s="440">
        <f>零件進出口!G45</f>
        <v>92926599</v>
      </c>
      <c r="F45" s="441">
        <f>VLOOKUP(A44,[32]進出口值表查詢結果!$A$3:$D$19,3,0)</f>
        <v>81681293</v>
      </c>
      <c r="G45" s="629">
        <f>(E45-F45)/F45</f>
        <v>0.13767296754227434</v>
      </c>
    </row>
    <row r="46" spans="1:7" ht="19.5">
      <c r="A46" s="396" t="s">
        <v>228</v>
      </c>
      <c r="B46" s="440"/>
      <c r="C46" s="443"/>
      <c r="D46" s="628"/>
      <c r="E46" s="445"/>
      <c r="F46" s="441"/>
      <c r="G46" s="628"/>
    </row>
    <row r="47" spans="1:7" ht="19.5">
      <c r="A47" s="403">
        <v>87149320906</v>
      </c>
      <c r="B47" s="446"/>
      <c r="C47" s="452"/>
      <c r="D47" s="630"/>
      <c r="E47" s="454"/>
      <c r="F47" s="455"/>
      <c r="G47" s="630"/>
    </row>
    <row r="48" spans="1:7" ht="19.5">
      <c r="A48" s="396" t="s">
        <v>406</v>
      </c>
      <c r="B48" s="440">
        <f>零件進出口!F48</f>
        <v>1938354</v>
      </c>
      <c r="C48" s="441">
        <f>VLOOKUP(A47,[32]進出口值表查詢結果!$A$3:$D$19,4,0)</f>
        <v>1547101</v>
      </c>
      <c r="D48" s="628">
        <f t="shared" ref="D48" si="2">(B48-C48)/C48</f>
        <v>0.25289428421286003</v>
      </c>
      <c r="E48" s="440">
        <f>零件進出口!G48</f>
        <v>78279873</v>
      </c>
      <c r="F48" s="441">
        <f>VLOOKUP(A47,[32]進出口值表查詢結果!$A$3:$D$19,3,0)</f>
        <v>61317101</v>
      </c>
      <c r="G48" s="628">
        <f t="shared" ref="G48" si="3">(E48-F48)/F48</f>
        <v>0.2766401497030983</v>
      </c>
    </row>
    <row r="49" spans="1:7" ht="19.5">
      <c r="A49" s="403">
        <v>87149990139</v>
      </c>
      <c r="B49" s="446"/>
      <c r="C49" s="452"/>
      <c r="D49" s="630"/>
      <c r="E49" s="632"/>
      <c r="F49" s="633"/>
      <c r="G49" s="630"/>
    </row>
    <row r="50" spans="1:7" ht="19.5">
      <c r="A50" s="396" t="s">
        <v>230</v>
      </c>
      <c r="B50" s="440">
        <f>零件進出口!F50</f>
        <v>122380</v>
      </c>
      <c r="C50" s="441">
        <f>VLOOKUP(A49,[32]進出口值表查詢結果!$A$3:$D$19,4,0)</f>
        <v>130635</v>
      </c>
      <c r="D50" s="628">
        <f>(B50-C50)/C50</f>
        <v>-6.3191334634669111E-2</v>
      </c>
      <c r="E50" s="440">
        <f>零件進出口!G50</f>
        <v>2042479</v>
      </c>
      <c r="F50" s="441">
        <f>VLOOKUP(A49,[32]進出口值表查詢結果!$A$3:$D$19,3,0)</f>
        <v>2370794</v>
      </c>
      <c r="G50" s="628">
        <f>(E50-F50)/F50</f>
        <v>-0.13848314109112811</v>
      </c>
    </row>
    <row r="51" spans="1:7" ht="19.5">
      <c r="A51" s="403">
        <v>87149990148</v>
      </c>
      <c r="B51" s="446"/>
      <c r="C51" s="452"/>
      <c r="D51" s="630"/>
      <c r="E51" s="454"/>
      <c r="F51" s="455"/>
      <c r="G51" s="630"/>
    </row>
    <row r="52" spans="1:7" ht="19.5">
      <c r="A52" s="408" t="s">
        <v>231</v>
      </c>
      <c r="B52" s="440">
        <f>零件進出口!F52</f>
        <v>643178</v>
      </c>
      <c r="C52" s="441">
        <f>VLOOKUP(A51,[32]進出口值表查詢結果!$A$3:$D$19,4,0)</f>
        <v>602650</v>
      </c>
      <c r="D52" s="628">
        <f>(B52-C52)/C52</f>
        <v>6.7249647390691114E-2</v>
      </c>
      <c r="E52" s="440">
        <f>零件進出口!G52</f>
        <v>21925131</v>
      </c>
      <c r="F52" s="441">
        <f>VLOOKUP(A51,[32]進出口值表查詢結果!$A$3:$D$19,3,0)</f>
        <v>21328473</v>
      </c>
      <c r="G52" s="628">
        <f>(E52-F52)/F52</f>
        <v>2.7974717177361923E-2</v>
      </c>
    </row>
    <row r="53" spans="1:7" ht="19.5">
      <c r="A53" s="396" t="s">
        <v>232</v>
      </c>
      <c r="B53" s="440"/>
      <c r="C53" s="443"/>
      <c r="D53" s="628"/>
      <c r="E53" s="445"/>
      <c r="F53" s="441"/>
      <c r="G53" s="628"/>
    </row>
    <row r="54" spans="1:7" ht="19.5">
      <c r="A54" s="403">
        <v>87149990157</v>
      </c>
      <c r="B54" s="446"/>
      <c r="C54" s="452"/>
      <c r="D54" s="630"/>
      <c r="E54" s="454"/>
      <c r="F54" s="455"/>
      <c r="G54" s="630"/>
    </row>
    <row r="55" spans="1:7" ht="19.5">
      <c r="A55" s="396" t="s">
        <v>233</v>
      </c>
      <c r="B55" s="440">
        <f>零件進出口!F55</f>
        <v>1296873</v>
      </c>
      <c r="C55" s="441">
        <f>VLOOKUP(A54,[32]進出口值表查詢結果!$A$3:$D$19,4,0)</f>
        <v>1248509</v>
      </c>
      <c r="D55" s="628">
        <f>(B55-C55)/C55</f>
        <v>3.873740597785038E-2</v>
      </c>
      <c r="E55" s="440">
        <f>零件進出口!G55</f>
        <v>56028462</v>
      </c>
      <c r="F55" s="441">
        <f>VLOOKUP(A54,[32]進出口值表查詢結果!$A$3:$D$19,3,0)</f>
        <v>54407790</v>
      </c>
      <c r="G55" s="628">
        <f>(E55-F55)/F55</f>
        <v>2.9787499179804951E-2</v>
      </c>
    </row>
    <row r="56" spans="1:7" ht="19.5">
      <c r="A56" s="396" t="s">
        <v>234</v>
      </c>
      <c r="B56" s="440"/>
      <c r="C56" s="443"/>
      <c r="D56" s="628"/>
      <c r="E56" s="445"/>
      <c r="F56" s="441"/>
      <c r="G56" s="628"/>
    </row>
    <row r="57" spans="1:7" ht="19.5">
      <c r="A57" s="403">
        <v>87149990166</v>
      </c>
      <c r="B57" s="446"/>
      <c r="C57" s="452"/>
      <c r="D57" s="630"/>
      <c r="E57" s="454"/>
      <c r="F57" s="455"/>
      <c r="G57" s="630"/>
    </row>
    <row r="58" spans="1:7" ht="19.5">
      <c r="A58" s="396" t="s">
        <v>231</v>
      </c>
      <c r="B58" s="440">
        <f>零件進出口!F58</f>
        <v>1155303</v>
      </c>
      <c r="C58" s="441">
        <f>VLOOKUP(A57,[32]進出口值表查詢結果!$A$3:$D$19,4,0)</f>
        <v>1212319</v>
      </c>
      <c r="D58" s="628">
        <f>(B58-C58)/C58</f>
        <v>-4.7030525793953573E-2</v>
      </c>
      <c r="E58" s="440">
        <f>零件進出口!G58</f>
        <v>42840451</v>
      </c>
      <c r="F58" s="441">
        <f>VLOOKUP(A57,[32]進出口值表查詢結果!$A$3:$D$19,3,0)</f>
        <v>43236659</v>
      </c>
      <c r="G58" s="628">
        <f>(E58-F58)/F58</f>
        <v>-9.1637052714919533E-3</v>
      </c>
    </row>
    <row r="59" spans="1:7" ht="19.5">
      <c r="A59" s="403">
        <v>40115000008</v>
      </c>
      <c r="B59" s="458"/>
      <c r="C59" s="453"/>
      <c r="D59" s="630"/>
      <c r="E59" s="453"/>
      <c r="F59" s="453"/>
      <c r="G59" s="630"/>
    </row>
    <row r="60" spans="1:7" ht="19.5">
      <c r="A60" s="396" t="s">
        <v>235</v>
      </c>
      <c r="B60" s="440">
        <f>零件進出口!F60</f>
        <v>4222112</v>
      </c>
      <c r="C60" s="441">
        <v>4066804</v>
      </c>
      <c r="D60" s="629">
        <f>(B60-C60)/C60</f>
        <v>3.8189202135141008E-2</v>
      </c>
      <c r="E60" s="440">
        <f>零件進出口!G60</f>
        <v>67958391</v>
      </c>
      <c r="F60" s="441">
        <v>69525572</v>
      </c>
      <c r="G60" s="628">
        <f>(E60-F60)/F60</f>
        <v>-2.2541073088906051E-2</v>
      </c>
    </row>
    <row r="61" spans="1:7" ht="19.5">
      <c r="A61" s="396" t="s">
        <v>236</v>
      </c>
      <c r="B61" s="440"/>
      <c r="C61" s="441"/>
      <c r="D61" s="628"/>
      <c r="E61" s="440"/>
      <c r="F61" s="441"/>
      <c r="G61" s="628"/>
    </row>
    <row r="62" spans="1:7" ht="19.5">
      <c r="A62" s="403">
        <v>40132000003</v>
      </c>
      <c r="B62" s="458"/>
      <c r="C62" s="453"/>
      <c r="D62" s="630"/>
      <c r="E62" s="453"/>
      <c r="F62" s="453"/>
      <c r="G62" s="630"/>
    </row>
    <row r="63" spans="1:7" ht="19.5">
      <c r="A63" s="396" t="s">
        <v>238</v>
      </c>
      <c r="B63" s="440">
        <f>零件進出口!F63</f>
        <v>887556</v>
      </c>
      <c r="C63" s="441">
        <v>504608</v>
      </c>
      <c r="D63" s="628">
        <f>(B63-C63)/C63</f>
        <v>0.75890195954087136</v>
      </c>
      <c r="E63" s="440">
        <f>零件進出口!G63</f>
        <v>9092920</v>
      </c>
      <c r="F63" s="441">
        <v>5379611</v>
      </c>
      <c r="G63" s="628">
        <f>(E63-F63)/F63</f>
        <v>0.69025604267669172</v>
      </c>
    </row>
    <row r="64" spans="1:7" ht="19.5">
      <c r="A64" s="396" t="s">
        <v>239</v>
      </c>
      <c r="B64" s="440"/>
      <c r="C64" s="443"/>
      <c r="D64" s="628"/>
      <c r="E64" s="445"/>
      <c r="F64" s="441"/>
      <c r="G64" s="628"/>
    </row>
    <row r="65" spans="1:7" ht="19.5">
      <c r="A65" s="465" t="s">
        <v>240</v>
      </c>
      <c r="B65" s="466">
        <f>SUM(B6:B64)</f>
        <v>32583367</v>
      </c>
      <c r="C65" s="514">
        <f>SUM(C6:C64)</f>
        <v>31166854</v>
      </c>
      <c r="D65" s="613">
        <f>(B65-C65)/C65</f>
        <v>4.5449341791122068E-2</v>
      </c>
      <c r="E65" s="512">
        <f>SUM(E7:E64)</f>
        <v>1465537602</v>
      </c>
      <c r="F65" s="513">
        <f>SUM(F6:F64)</f>
        <v>1399719579</v>
      </c>
      <c r="G65" s="613">
        <f>(E65-F65)/F65</f>
        <v>4.7022292170137599E-2</v>
      </c>
    </row>
    <row r="66" spans="1:7" ht="10.5" customHeight="1">
      <c r="A66" s="749"/>
      <c r="B66" s="750"/>
      <c r="C66" s="751"/>
      <c r="D66" s="756"/>
      <c r="E66" s="753"/>
      <c r="F66" s="754"/>
      <c r="G66" s="756"/>
    </row>
    <row r="67" spans="1:7">
      <c r="A67" s="57" t="s">
        <v>178</v>
      </c>
      <c r="B67" s="3"/>
      <c r="C67" s="58"/>
      <c r="D67" s="3"/>
      <c r="E67" s="3"/>
      <c r="F67" s="3"/>
      <c r="G67" s="3"/>
    </row>
    <row r="68" spans="1:7" ht="18">
      <c r="A68" s="153" t="s">
        <v>186</v>
      </c>
      <c r="B68" s="61"/>
      <c r="C68" s="62"/>
      <c r="D68" s="64"/>
      <c r="E68" s="61"/>
      <c r="F68" s="62"/>
      <c r="G68" s="64"/>
    </row>
  </sheetData>
  <phoneticPr fontId="3" type="noConversion"/>
  <conditionalFormatting sqref="C59">
    <cfRule type="cellIs" dxfId="21" priority="13" operator="greaterThanOrEqual">
      <formula>0</formula>
    </cfRule>
    <cfRule type="cellIs" dxfId="20" priority="14" operator="lessThan">
      <formula>0</formula>
    </cfRule>
  </conditionalFormatting>
  <conditionalFormatting sqref="C62">
    <cfRule type="cellIs" dxfId="19" priority="11" operator="greaterThanOrEqual">
      <formula>0</formula>
    </cfRule>
    <cfRule type="cellIs" dxfId="18" priority="12" operator="lessThan">
      <formula>0</formula>
    </cfRule>
  </conditionalFormatting>
  <conditionalFormatting sqref="D1:D3 D5:D1048576">
    <cfRule type="cellIs" dxfId="17" priority="17" operator="greaterThanOrEqual">
      <formula>0</formula>
    </cfRule>
  </conditionalFormatting>
  <conditionalFormatting sqref="D1:D1048576">
    <cfRule type="cellIs" dxfId="16" priority="5" operator="lessThan">
      <formula>0</formula>
    </cfRule>
  </conditionalFormatting>
  <conditionalFormatting sqref="E59:F59">
    <cfRule type="cellIs" dxfId="15" priority="9" operator="greaterThanOrEqual">
      <formula>0</formula>
    </cfRule>
    <cfRule type="cellIs" dxfId="14" priority="10" operator="lessThan">
      <formula>0</formula>
    </cfRule>
  </conditionalFormatting>
  <conditionalFormatting sqref="E62:F62">
    <cfRule type="cellIs" dxfId="13" priority="7" operator="greaterThanOrEqual">
      <formula>0</formula>
    </cfRule>
    <cfRule type="cellIs" dxfId="12" priority="8" operator="lessThan">
      <formula>0</formula>
    </cfRule>
  </conditionalFormatting>
  <conditionalFormatting sqref="G1:G3">
    <cfRule type="cellIs" dxfId="11" priority="15" operator="greaterThanOrEqual">
      <formula>0</formula>
    </cfRule>
  </conditionalFormatting>
  <conditionalFormatting sqref="G1:G1048576">
    <cfRule type="cellIs" dxfId="10" priority="2" operator="lessThan">
      <formula>0</formula>
    </cfRule>
  </conditionalFormatting>
  <conditionalFormatting sqref="G5:G1048576">
    <cfRule type="cellIs" dxfId="9" priority="1" operator="greaterThanOr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8"/>
  <sheetViews>
    <sheetView tabSelected="1" zoomScaleNormal="100" workbookViewId="0">
      <selection activeCell="A2" sqref="A2"/>
    </sheetView>
  </sheetViews>
  <sheetFormatPr defaultRowHeight="16.5"/>
  <cols>
    <col min="1" max="1" width="17.75" customWidth="1"/>
    <col min="2" max="3" width="16" customWidth="1"/>
    <col min="4" max="4" width="11.625" customWidth="1"/>
    <col min="5" max="5" width="19.75" customWidth="1"/>
    <col min="6" max="6" width="19.125" customWidth="1"/>
    <col min="7" max="7" width="11.875" customWidth="1"/>
  </cols>
  <sheetData>
    <row r="1" spans="1:7" ht="27" customHeight="1">
      <c r="A1" s="427" t="s">
        <v>548</v>
      </c>
      <c r="B1" s="428"/>
      <c r="C1" s="429"/>
      <c r="D1" s="430"/>
      <c r="E1" s="428"/>
      <c r="F1" s="429"/>
      <c r="G1" s="430"/>
    </row>
    <row r="2" spans="1:7" ht="11.25" customHeight="1">
      <c r="A2" s="431"/>
      <c r="B2" s="432"/>
      <c r="C2" s="433"/>
      <c r="D2" s="434"/>
      <c r="E2" s="388"/>
      <c r="F2" s="433"/>
      <c r="G2" s="434"/>
    </row>
    <row r="3" spans="1:7" ht="11.25" customHeight="1">
      <c r="A3" s="354"/>
      <c r="B3" s="388"/>
      <c r="C3" s="433"/>
      <c r="D3" s="434"/>
      <c r="E3" s="388"/>
      <c r="F3" s="433"/>
      <c r="G3" s="434"/>
    </row>
    <row r="4" spans="1:7">
      <c r="A4" s="29" t="s">
        <v>242</v>
      </c>
      <c r="B4" s="24" t="s">
        <v>497</v>
      </c>
      <c r="C4" s="592" t="s">
        <v>498</v>
      </c>
      <c r="D4" s="593" t="s">
        <v>61</v>
      </c>
      <c r="E4" s="24" t="s">
        <v>497</v>
      </c>
      <c r="F4" s="592" t="s">
        <v>498</v>
      </c>
      <c r="G4" s="77" t="s">
        <v>61</v>
      </c>
    </row>
    <row r="5" spans="1:7">
      <c r="A5" s="48"/>
      <c r="B5" s="81" t="s">
        <v>243</v>
      </c>
      <c r="C5" s="79" t="s">
        <v>243</v>
      </c>
      <c r="D5" s="8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35">
        <v>85121010001</v>
      </c>
      <c r="B6" s="436"/>
      <c r="C6" s="437"/>
      <c r="D6" s="438"/>
      <c r="E6" s="436"/>
      <c r="F6" s="437"/>
      <c r="G6" s="439"/>
    </row>
    <row r="7" spans="1:7" ht="19.5">
      <c r="A7" s="396" t="s">
        <v>203</v>
      </c>
      <c r="B7" s="467">
        <f>零件進出口!L6</f>
        <v>42263</v>
      </c>
      <c r="C7" s="441">
        <v>43450</v>
      </c>
      <c r="D7" s="634">
        <f>(B7-C7)/C7</f>
        <v>-2.7318757192174914E-2</v>
      </c>
      <c r="E7" s="440">
        <f>零件進出口!M6</f>
        <v>2254578</v>
      </c>
      <c r="F7" s="441">
        <v>2243622</v>
      </c>
      <c r="G7" s="634">
        <f>(E7-F7)/F7</f>
        <v>4.8831755081738364E-3</v>
      </c>
    </row>
    <row r="8" spans="1:7" ht="19.5">
      <c r="A8" s="396" t="s">
        <v>204</v>
      </c>
      <c r="B8" s="440"/>
      <c r="C8" s="441"/>
      <c r="D8" s="468"/>
      <c r="E8" s="445"/>
      <c r="F8" s="441"/>
      <c r="G8" s="445"/>
    </row>
    <row r="9" spans="1:7" ht="19.5">
      <c r="A9" s="398">
        <v>85121020009</v>
      </c>
      <c r="B9" s="446"/>
      <c r="C9" s="446"/>
      <c r="D9" s="469"/>
      <c r="E9" s="446"/>
      <c r="F9" s="446"/>
      <c r="G9" s="446"/>
    </row>
    <row r="10" spans="1:7" ht="19.5">
      <c r="A10" s="396" t="s">
        <v>208</v>
      </c>
      <c r="B10" s="467">
        <f>零件進出口!L9</f>
        <v>18886</v>
      </c>
      <c r="C10" s="441">
        <v>27224</v>
      </c>
      <c r="D10" s="634">
        <f>(B10-C10)/C10</f>
        <v>-0.30627387599177197</v>
      </c>
      <c r="E10" s="440">
        <f>零件進出口!M9</f>
        <v>1563729</v>
      </c>
      <c r="F10" s="441">
        <v>1833292</v>
      </c>
      <c r="G10" s="634">
        <f>(E10-F10)/F10</f>
        <v>-0.14703767866766451</v>
      </c>
    </row>
    <row r="11" spans="1:7" ht="19.5">
      <c r="A11" s="396" t="s">
        <v>209</v>
      </c>
      <c r="B11" s="440"/>
      <c r="C11" s="443"/>
      <c r="D11" s="451"/>
      <c r="E11" s="445"/>
      <c r="F11" s="441"/>
      <c r="G11" s="634"/>
    </row>
    <row r="12" spans="1:7" ht="19.5">
      <c r="A12" s="403">
        <v>87149120007</v>
      </c>
      <c r="B12" s="446"/>
      <c r="C12" s="452"/>
      <c r="D12" s="453"/>
      <c r="E12" s="454"/>
      <c r="F12" s="455"/>
      <c r="G12" s="463"/>
    </row>
    <row r="13" spans="1:7" ht="19.5">
      <c r="A13" s="396" t="s">
        <v>210</v>
      </c>
      <c r="B13" s="467">
        <f>零件進出口!L12</f>
        <v>3939383</v>
      </c>
      <c r="C13" s="441">
        <f>VLOOKUP(A12,[26]進出口值表查詢結果!$A$3:$D$19,4,0)</f>
        <v>3698426</v>
      </c>
      <c r="D13" s="634">
        <f>(B13-C13)/C13</f>
        <v>6.5151229198583391E-2</v>
      </c>
      <c r="E13" s="440">
        <f>零件進出口!M12</f>
        <v>264729291</v>
      </c>
      <c r="F13" s="441">
        <f>VLOOKUP(A12,[26]進出口值表查詢結果!$A$3:$D$19,3,0)</f>
        <v>238563019</v>
      </c>
      <c r="G13" s="634">
        <f>(E13-F13)/F13</f>
        <v>0.10968285071878639</v>
      </c>
    </row>
    <row r="14" spans="1:7" ht="19.5">
      <c r="A14" s="396" t="s">
        <v>211</v>
      </c>
      <c r="B14" s="456"/>
      <c r="C14" s="470"/>
      <c r="D14" s="457"/>
      <c r="E14" s="445"/>
      <c r="F14" s="441"/>
      <c r="G14" s="462"/>
    </row>
    <row r="15" spans="1:7" ht="19.5">
      <c r="A15" s="403">
        <v>87149200108</v>
      </c>
      <c r="B15" s="446"/>
      <c r="C15" s="452"/>
      <c r="D15" s="453"/>
      <c r="E15" s="454"/>
      <c r="F15" s="455"/>
      <c r="G15" s="463"/>
    </row>
    <row r="16" spans="1:7" ht="19.5">
      <c r="A16" s="396" t="s">
        <v>212</v>
      </c>
      <c r="B16" s="467">
        <f>零件進出口!L15</f>
        <v>647261</v>
      </c>
      <c r="C16" s="441">
        <f>VLOOKUP(A15,[26]進出口值表查詢結果!$A$3:$D$19,4,0)</f>
        <v>609753</v>
      </c>
      <c r="D16" s="634">
        <f>(B16-C16)/C16</f>
        <v>6.1513432488237041E-2</v>
      </c>
      <c r="E16" s="440">
        <f>零件進出口!M15</f>
        <v>72125724</v>
      </c>
      <c r="F16" s="441">
        <f>VLOOKUP(A15,[26]進出口值表查詢結果!$A$3:$D$19,3,0)</f>
        <v>62865782</v>
      </c>
      <c r="G16" s="634">
        <f>(E16-F16)/F16</f>
        <v>0.14729701445533597</v>
      </c>
    </row>
    <row r="17" spans="1:7" ht="19.5">
      <c r="A17" s="396"/>
      <c r="B17" s="440"/>
      <c r="C17" s="443"/>
      <c r="D17" s="440"/>
      <c r="E17" s="445"/>
      <c r="F17" s="441"/>
      <c r="G17" s="459"/>
    </row>
    <row r="18" spans="1:7" ht="19.5">
      <c r="A18" s="403">
        <v>87149200206</v>
      </c>
      <c r="B18" s="446"/>
      <c r="C18" s="452"/>
      <c r="D18" s="458"/>
      <c r="E18" s="454"/>
      <c r="F18" s="455"/>
      <c r="G18" s="460"/>
    </row>
    <row r="19" spans="1:7" ht="19.5">
      <c r="A19" s="396" t="s">
        <v>143</v>
      </c>
      <c r="B19" s="467">
        <f>零件進出口!L18</f>
        <v>131398</v>
      </c>
      <c r="C19" s="441">
        <f>VLOOKUP(A18,[26]進出口值表查詢結果!$A$3:$D$19,4,0)</f>
        <v>75915</v>
      </c>
      <c r="D19" s="442">
        <f>(B19-C19)/C19</f>
        <v>0.7308568794045972</v>
      </c>
      <c r="E19" s="440">
        <f>零件進出口!M18</f>
        <v>10363605</v>
      </c>
      <c r="F19" s="441">
        <f>VLOOKUP(A18,[26]進出口值表查詢結果!$A$3:$D$19,3,0)</f>
        <v>4594331</v>
      </c>
      <c r="G19" s="634">
        <f>(E19-F19)/F19</f>
        <v>1.255737560049548</v>
      </c>
    </row>
    <row r="20" spans="1:7" ht="19.5">
      <c r="A20" s="396"/>
      <c r="B20" s="440"/>
      <c r="C20" s="443"/>
      <c r="D20" s="457"/>
      <c r="E20" s="445"/>
      <c r="F20" s="441"/>
      <c r="G20" s="462"/>
    </row>
    <row r="21" spans="1:7" ht="19.5">
      <c r="A21" s="403">
        <v>87149200304</v>
      </c>
      <c r="B21" s="446"/>
      <c r="C21" s="452"/>
      <c r="D21" s="453"/>
      <c r="E21" s="454"/>
      <c r="F21" s="455"/>
      <c r="G21" s="463"/>
    </row>
    <row r="22" spans="1:7" ht="19.5">
      <c r="A22" s="396" t="s">
        <v>145</v>
      </c>
      <c r="B22" s="467">
        <f>零件進出口!L21</f>
        <v>106573</v>
      </c>
      <c r="C22" s="441">
        <f>VLOOKUP(A21,[26]進出口值表查詢結果!$A$3:$D$19,4,0)</f>
        <v>134969</v>
      </c>
      <c r="D22" s="634">
        <f>(B22-C22)/C22</f>
        <v>-0.21038905230089872</v>
      </c>
      <c r="E22" s="440">
        <f>零件進出口!M21</f>
        <v>6197232</v>
      </c>
      <c r="F22" s="441">
        <f>VLOOKUP(A21,[26]進出口值表查詢結果!$A$3:$D$19,3,0)</f>
        <v>2150696</v>
      </c>
      <c r="G22" s="634">
        <f>(E22-F22)/F22</f>
        <v>1.8815006862894617</v>
      </c>
    </row>
    <row r="23" spans="1:7" ht="19.5">
      <c r="A23" s="403">
        <v>87149310007</v>
      </c>
      <c r="B23" s="446"/>
      <c r="C23" s="452"/>
      <c r="D23" s="453"/>
      <c r="E23" s="454"/>
      <c r="F23" s="455"/>
      <c r="G23" s="463"/>
    </row>
    <row r="24" spans="1:7" ht="19.5">
      <c r="A24" s="396" t="s">
        <v>214</v>
      </c>
      <c r="B24" s="467">
        <f>零件進出口!L23</f>
        <v>514419</v>
      </c>
      <c r="C24" s="441">
        <f>VLOOKUP(A23,[26]進出口值表查詢結果!$A$3:$D$19,4,0)</f>
        <v>438484</v>
      </c>
      <c r="D24" s="634">
        <f>(B24-C24)/C24</f>
        <v>0.17317621623594021</v>
      </c>
      <c r="E24" s="440">
        <f>零件進出口!M23</f>
        <v>24131843</v>
      </c>
      <c r="F24" s="441">
        <f>VLOOKUP(A23,[26]進出口值表查詢結果!$A$3:$D$19,3,0)</f>
        <v>16380376</v>
      </c>
      <c r="G24" s="450">
        <f>(E24-F24)/F24</f>
        <v>0.47321667097263215</v>
      </c>
    </row>
    <row r="25" spans="1:7" ht="19.5">
      <c r="A25" s="396" t="s">
        <v>244</v>
      </c>
      <c r="B25" s="440"/>
      <c r="C25" s="443"/>
      <c r="D25" s="440"/>
      <c r="E25" s="445"/>
      <c r="F25" s="441"/>
      <c r="G25" s="445"/>
    </row>
    <row r="26" spans="1:7" ht="19.5">
      <c r="A26" s="403">
        <v>87149320103</v>
      </c>
      <c r="B26" s="446"/>
      <c r="C26" s="452"/>
      <c r="D26" s="458"/>
      <c r="E26" s="454"/>
      <c r="F26" s="455"/>
      <c r="G26" s="454"/>
    </row>
    <row r="27" spans="1:7" ht="19.5">
      <c r="A27" s="396" t="s">
        <v>405</v>
      </c>
      <c r="B27" s="467">
        <f>零件進出口!L27</f>
        <v>10933</v>
      </c>
      <c r="C27" s="441">
        <f>VLOOKUP(A26,[26]進出口值表查詢結果!$A$3:$D$19,4,0)</f>
        <v>4781</v>
      </c>
      <c r="D27" s="634">
        <f t="shared" ref="D27" si="0">(B27-C27)/C27</f>
        <v>1.2867600920309559</v>
      </c>
      <c r="E27" s="440">
        <f>零件進出口!M27</f>
        <v>425260</v>
      </c>
      <c r="F27" s="441">
        <f>VLOOKUP(A26,[26]進出口值表查詢結果!$A$3:$D$19,3,0)</f>
        <v>157603</v>
      </c>
      <c r="G27" s="634">
        <f t="shared" ref="G27" si="1">(E27-F27)/F27</f>
        <v>1.6982988902495511</v>
      </c>
    </row>
    <row r="28" spans="1:7" ht="19.5">
      <c r="A28" s="403">
        <v>87149410006</v>
      </c>
      <c r="B28" s="446"/>
      <c r="C28" s="452"/>
      <c r="D28" s="639"/>
      <c r="E28" s="632"/>
      <c r="F28" s="633"/>
      <c r="G28" s="639"/>
    </row>
    <row r="29" spans="1:7" ht="19.5">
      <c r="A29" s="396" t="s">
        <v>218</v>
      </c>
      <c r="B29" s="467">
        <f>零件進出口!L29</f>
        <v>32700</v>
      </c>
      <c r="C29" s="441">
        <f>VLOOKUP(A28,[26]進出口值表查詢結果!$A$3:$D$19,4,0)</f>
        <v>19945</v>
      </c>
      <c r="D29" s="634">
        <f>(B29-C29)/C29</f>
        <v>0.63950864878415647</v>
      </c>
      <c r="E29" s="440">
        <f>零件進出口!M29</f>
        <v>2228381</v>
      </c>
      <c r="F29" s="441">
        <f>VLOOKUP(A28,[26]進出口值表查詢結果!$A$3:$D$19,3,0)</f>
        <v>282065</v>
      </c>
      <c r="G29" s="634">
        <f>(E29-F29)/F29</f>
        <v>6.9002393065428178</v>
      </c>
    </row>
    <row r="30" spans="1:7" ht="19.5">
      <c r="A30" s="396" t="s">
        <v>219</v>
      </c>
      <c r="B30" s="440"/>
      <c r="C30" s="443"/>
      <c r="D30" s="457"/>
      <c r="E30" s="445"/>
      <c r="F30" s="441"/>
      <c r="G30" s="634"/>
    </row>
    <row r="31" spans="1:7" ht="19.5">
      <c r="A31" s="403">
        <v>87149490009</v>
      </c>
      <c r="B31" s="446"/>
      <c r="C31" s="452"/>
      <c r="D31" s="453"/>
      <c r="E31" s="454"/>
      <c r="F31" s="455"/>
      <c r="G31" s="454"/>
    </row>
    <row r="32" spans="1:7" ht="19.5">
      <c r="A32" s="396" t="s">
        <v>220</v>
      </c>
      <c r="B32" s="467">
        <f>零件進出口!L32</f>
        <v>1923987</v>
      </c>
      <c r="C32" s="441">
        <f>VLOOKUP(A31,[26]進出口值表查詢結果!$A$3:$D$19,4,0)</f>
        <v>807088</v>
      </c>
      <c r="D32" s="628">
        <f>(B32-C32)/C32</f>
        <v>1.3838627262454652</v>
      </c>
      <c r="E32" s="440">
        <f>零件進出口!M32</f>
        <v>80227141</v>
      </c>
      <c r="F32" s="441">
        <f>VLOOKUP(A31,[26]進出口值表查詢結果!$A$3:$D$19,3,0)</f>
        <v>11857148</v>
      </c>
      <c r="G32" s="442">
        <f>(E32-F32)/F32</f>
        <v>5.7661414869747771</v>
      </c>
    </row>
    <row r="33" spans="1:7" ht="19.5">
      <c r="A33" s="396" t="s">
        <v>221</v>
      </c>
      <c r="B33" s="440"/>
      <c r="C33" s="443"/>
      <c r="D33" s="457"/>
      <c r="E33" s="445"/>
      <c r="F33" s="441"/>
      <c r="G33" s="462"/>
    </row>
    <row r="34" spans="1:7" ht="19.5">
      <c r="A34" s="403">
        <v>87149500007</v>
      </c>
      <c r="B34" s="458"/>
      <c r="C34" s="452"/>
      <c r="D34" s="453"/>
      <c r="E34" s="454"/>
      <c r="F34" s="455"/>
      <c r="G34" s="463"/>
    </row>
    <row r="35" spans="1:7" ht="19.5">
      <c r="A35" s="396" t="s">
        <v>222</v>
      </c>
      <c r="B35" s="467">
        <f>零件進出口!L35</f>
        <v>691044</v>
      </c>
      <c r="C35" s="441">
        <f>VLOOKUP(A34,[26]進出口值表查詢結果!$A$3:$D$19,4,0)</f>
        <v>490632</v>
      </c>
      <c r="D35" s="634">
        <f>(B35-C35)/C35</f>
        <v>0.40847722936946634</v>
      </c>
      <c r="E35" s="440">
        <f>零件進出口!M35</f>
        <v>11030406</v>
      </c>
      <c r="F35" s="441">
        <f>VLOOKUP(A34,[26]進出口值表查詢結果!$A$3:$D$19,3,0)</f>
        <v>5469444</v>
      </c>
      <c r="G35" s="442">
        <f>(E35-F35)/F35</f>
        <v>1.0167325965856859</v>
      </c>
    </row>
    <row r="36" spans="1:7" ht="19.5">
      <c r="A36" s="403">
        <v>87149610004</v>
      </c>
      <c r="B36" s="458"/>
      <c r="C36" s="452"/>
      <c r="D36" s="453"/>
      <c r="E36" s="454"/>
      <c r="F36" s="455"/>
      <c r="G36" s="454"/>
    </row>
    <row r="37" spans="1:7" ht="19.5">
      <c r="A37" s="396" t="s">
        <v>223</v>
      </c>
      <c r="B37" s="467">
        <f>零件進出口!L37</f>
        <v>252059</v>
      </c>
      <c r="C37" s="441">
        <f>VLOOKUP(A36,[26]進出口值表查詢結果!$A$3:$D$19,4,0)</f>
        <v>244096</v>
      </c>
      <c r="D37" s="634">
        <f>(B37-C37)/C37</f>
        <v>3.2622410854745675E-2</v>
      </c>
      <c r="E37" s="440">
        <f>零件進出口!M37</f>
        <v>2837485</v>
      </c>
      <c r="F37" s="441">
        <f>VLOOKUP(A36,[26]進出口值表查詢結果!$A$3:$D$19,3,0)</f>
        <v>3066835</v>
      </c>
      <c r="G37" s="450">
        <f>(E37-F37)/F37</f>
        <v>-7.4783938490332866E-2</v>
      </c>
    </row>
    <row r="38" spans="1:7" ht="19.5">
      <c r="A38" s="403">
        <v>87149620002</v>
      </c>
      <c r="B38" s="446"/>
      <c r="C38" s="452"/>
      <c r="D38" s="453"/>
      <c r="E38" s="454"/>
      <c r="F38" s="455"/>
      <c r="G38" s="460"/>
    </row>
    <row r="39" spans="1:7" ht="19.5">
      <c r="A39" s="396" t="s">
        <v>224</v>
      </c>
      <c r="B39" s="467">
        <f>零件進出口!L39</f>
        <v>1227593</v>
      </c>
      <c r="C39" s="441">
        <f>VLOOKUP(A38,[26]進出口值表查詢結果!$A$3:$D$19,4,0)</f>
        <v>715022</v>
      </c>
      <c r="D39" s="634">
        <f>(B39-C39)/C39</f>
        <v>0.71686046023758709</v>
      </c>
      <c r="E39" s="440">
        <f>零件進出口!M39</f>
        <v>31452584</v>
      </c>
      <c r="F39" s="441">
        <f>VLOOKUP(A38,[26]進出口值表查詢結果!$A$3:$D$19,3,0)</f>
        <v>7077414</v>
      </c>
      <c r="G39" s="450">
        <f>(E39-F39)/F39</f>
        <v>3.4440785857659311</v>
      </c>
    </row>
    <row r="40" spans="1:7" ht="19.5">
      <c r="A40" s="396" t="s">
        <v>219</v>
      </c>
      <c r="B40" s="440"/>
      <c r="C40" s="441"/>
      <c r="D40" s="464"/>
      <c r="E40" s="445"/>
      <c r="F40" s="441"/>
      <c r="G40" s="445"/>
    </row>
    <row r="41" spans="1:7" ht="19.5">
      <c r="A41" s="403">
        <v>73151100209</v>
      </c>
      <c r="B41" s="446"/>
      <c r="C41" s="458"/>
      <c r="D41" s="458"/>
      <c r="E41" s="458"/>
      <c r="F41" s="458"/>
      <c r="G41" s="454"/>
    </row>
    <row r="42" spans="1:7" ht="19.5">
      <c r="A42" s="396" t="s">
        <v>225</v>
      </c>
      <c r="B42" s="467">
        <f>零件進出口!L42</f>
        <v>966968</v>
      </c>
      <c r="C42" s="441">
        <v>941612</v>
      </c>
      <c r="D42" s="634">
        <f>(B42-C42)/C42</f>
        <v>2.6928288934295656E-2</v>
      </c>
      <c r="E42" s="440">
        <f>零件進出口!M42</f>
        <v>9925998</v>
      </c>
      <c r="F42" s="441">
        <v>10145950</v>
      </c>
      <c r="G42" s="450">
        <f>(E42-F42)/F42</f>
        <v>-2.1678797944007216E-2</v>
      </c>
    </row>
    <row r="43" spans="1:7" ht="19.5">
      <c r="A43" s="396" t="s">
        <v>226</v>
      </c>
      <c r="B43" s="440"/>
      <c r="C43" s="443"/>
      <c r="D43" s="464"/>
      <c r="E43" s="445"/>
      <c r="F43" s="441"/>
      <c r="G43" s="445"/>
    </row>
    <row r="44" spans="1:7" ht="19.5">
      <c r="A44" s="403">
        <v>87149990111</v>
      </c>
      <c r="B44" s="446"/>
      <c r="C44" s="452"/>
      <c r="D44" s="461"/>
      <c r="E44" s="454"/>
      <c r="F44" s="455"/>
      <c r="G44" s="463"/>
    </row>
    <row r="45" spans="1:7" ht="19.5">
      <c r="A45" s="407" t="s">
        <v>227</v>
      </c>
      <c r="B45" s="467">
        <f>零件進出口!L45</f>
        <v>346047</v>
      </c>
      <c r="C45" s="441">
        <f>VLOOKUP(A44,[26]進出口值表查詢結果!$A$3:$D$19,4,0)</f>
        <v>166913</v>
      </c>
      <c r="D45" s="628">
        <f>(B45-C45)/C45</f>
        <v>1.0732177841150778</v>
      </c>
      <c r="E45" s="440">
        <f>零件進出口!M45</f>
        <v>29363294</v>
      </c>
      <c r="F45" s="441">
        <f>VLOOKUP(A44,[26]進出口值表查詢結果!$A$3:$D$19,3,0)</f>
        <v>4030737</v>
      </c>
      <c r="G45" s="442">
        <f>(E45-F45)/F45</f>
        <v>6.2848449303440042</v>
      </c>
    </row>
    <row r="46" spans="1:7" ht="19.5">
      <c r="A46" s="396" t="s">
        <v>228</v>
      </c>
      <c r="B46" s="440"/>
      <c r="C46" s="441"/>
      <c r="D46" s="464"/>
      <c r="E46" s="445"/>
      <c r="F46" s="441"/>
      <c r="G46" s="445"/>
    </row>
    <row r="47" spans="1:7" ht="19.5">
      <c r="A47" s="403">
        <v>87149320906</v>
      </c>
      <c r="B47" s="446"/>
      <c r="C47" s="452"/>
      <c r="D47" s="461"/>
      <c r="E47" s="454"/>
      <c r="F47" s="455"/>
      <c r="G47" s="454"/>
    </row>
    <row r="48" spans="1:7" ht="19.5">
      <c r="A48" s="396" t="s">
        <v>406</v>
      </c>
      <c r="B48" s="467">
        <f>零件進出口!L48</f>
        <v>395721</v>
      </c>
      <c r="C48" s="441">
        <f>VLOOKUP(A47,[26]進出口值表查詢結果!$A$3:$D$19,4,0)</f>
        <v>171354</v>
      </c>
      <c r="D48" s="634">
        <f t="shared" ref="D48" si="2">(B48-C48)/C48</f>
        <v>1.3093770790293777</v>
      </c>
      <c r="E48" s="440">
        <f>零件進出口!M48</f>
        <v>16621765</v>
      </c>
      <c r="F48" s="441">
        <f>VLOOKUP(A47,[26]進出口值表查詢結果!$A$3:$D$19,3,0)</f>
        <v>1370653</v>
      </c>
      <c r="G48" s="450">
        <f t="shared" ref="G48" si="3">(E48-F48)/F48</f>
        <v>11.126894990927681</v>
      </c>
    </row>
    <row r="49" spans="1:7" ht="19.5">
      <c r="A49" s="403">
        <v>87149990139</v>
      </c>
      <c r="B49" s="446"/>
      <c r="C49" s="631"/>
      <c r="D49" s="639"/>
      <c r="E49" s="632"/>
      <c r="F49" s="633"/>
      <c r="G49" s="640"/>
    </row>
    <row r="50" spans="1:7" ht="19.5">
      <c r="A50" s="396" t="s">
        <v>230</v>
      </c>
      <c r="B50" s="467">
        <f>零件進出口!L50</f>
        <v>35615</v>
      </c>
      <c r="C50" s="441">
        <f>VLOOKUP(A49,[26]進出口值表查詢結果!$A$3:$D$19,4,0)</f>
        <v>28697</v>
      </c>
      <c r="D50" s="634">
        <f>(B50-C50)/C50</f>
        <v>0.24107049517371154</v>
      </c>
      <c r="E50" s="440">
        <f>零件進出口!M50</f>
        <v>217068</v>
      </c>
      <c r="F50" s="441">
        <f>VLOOKUP(A49,[26]進出口值表查詢結果!$A$3:$D$19,3,0)</f>
        <v>99900</v>
      </c>
      <c r="G50" s="450">
        <f>(E50-F50)/F50</f>
        <v>1.1728528528528528</v>
      </c>
    </row>
    <row r="51" spans="1:7" ht="19.5">
      <c r="A51" s="403">
        <v>87149990148</v>
      </c>
      <c r="B51" s="446"/>
      <c r="C51" s="452"/>
      <c r="D51" s="453"/>
      <c r="E51" s="454"/>
      <c r="F51" s="455"/>
      <c r="G51" s="460"/>
    </row>
    <row r="52" spans="1:7" ht="19.5">
      <c r="A52" s="408" t="s">
        <v>231</v>
      </c>
      <c r="B52" s="467">
        <f>零件進出口!L52</f>
        <v>123322</v>
      </c>
      <c r="C52" s="441">
        <f>VLOOKUP(A51,[26]進出口值表查詢結果!$A$3:$D$19,4,0)</f>
        <v>148304</v>
      </c>
      <c r="D52" s="634">
        <f>(B52-C52)/C52</f>
        <v>-0.16845128924371561</v>
      </c>
      <c r="E52" s="440">
        <f>零件進出口!M52</f>
        <v>4832338</v>
      </c>
      <c r="F52" s="441">
        <f>VLOOKUP(A51,[26]進出口值表查詢結果!$A$3:$D$19,3,0)</f>
        <v>3466515</v>
      </c>
      <c r="G52" s="442">
        <f>(E52-F52)/F52</f>
        <v>0.3940046415492216</v>
      </c>
    </row>
    <row r="53" spans="1:7" ht="19.5">
      <c r="A53" s="396" t="s">
        <v>232</v>
      </c>
      <c r="B53" s="440"/>
      <c r="C53" s="443"/>
      <c r="D53" s="440"/>
      <c r="E53" s="445"/>
      <c r="F53" s="441"/>
      <c r="G53" s="462"/>
    </row>
    <row r="54" spans="1:7" ht="19.5">
      <c r="A54" s="403">
        <v>87149990157</v>
      </c>
      <c r="B54" s="446"/>
      <c r="C54" s="452"/>
      <c r="D54" s="458"/>
      <c r="E54" s="454"/>
      <c r="F54" s="455"/>
      <c r="G54" s="463"/>
    </row>
    <row r="55" spans="1:7" ht="19.5">
      <c r="A55" s="396" t="s">
        <v>233</v>
      </c>
      <c r="B55" s="467">
        <f>零件進出口!L55</f>
        <v>302963</v>
      </c>
      <c r="C55" s="441">
        <f>VLOOKUP(A54,[26]進出口值表查詢結果!$A$3:$D$19,4,0)</f>
        <v>308255</v>
      </c>
      <c r="D55" s="634">
        <f>(B55-C55)/C55</f>
        <v>-1.7167604742826557E-2</v>
      </c>
      <c r="E55" s="440">
        <f>零件進出口!M55</f>
        <v>12606946</v>
      </c>
      <c r="F55" s="441">
        <f>VLOOKUP(A54,[26]進出口值表查詢結果!$A$3:$D$19,3,0)</f>
        <v>13134601</v>
      </c>
      <c r="G55" s="450">
        <f>(E55-F55)/F55</f>
        <v>-4.0172899047333073E-2</v>
      </c>
    </row>
    <row r="56" spans="1:7" ht="19.5">
      <c r="A56" s="396" t="s">
        <v>234</v>
      </c>
      <c r="B56" s="440"/>
      <c r="C56" s="443"/>
      <c r="D56" s="457"/>
      <c r="E56" s="445"/>
      <c r="F56" s="441"/>
      <c r="G56" s="445"/>
    </row>
    <row r="57" spans="1:7" ht="19.5">
      <c r="A57" s="403">
        <v>87149990166</v>
      </c>
      <c r="B57" s="446"/>
      <c r="C57" s="452"/>
      <c r="D57" s="453"/>
      <c r="E57" s="454"/>
      <c r="F57" s="455"/>
      <c r="G57" s="454"/>
    </row>
    <row r="58" spans="1:7" ht="19.5">
      <c r="A58" s="396" t="s">
        <v>231</v>
      </c>
      <c r="B58" s="467">
        <f>零件進出口!L58</f>
        <v>355385</v>
      </c>
      <c r="C58" s="441">
        <f>VLOOKUP(A57,[26]進出口值表查詢結果!$A$3:$D$19,4,0)</f>
        <v>335841</v>
      </c>
      <c r="D58" s="628">
        <f>(B58-C58)/C58</f>
        <v>5.819420499581647E-2</v>
      </c>
      <c r="E58" s="440">
        <f>零件進出口!M58</f>
        <v>30423900</v>
      </c>
      <c r="F58" s="441">
        <f>VLOOKUP(A57,[26]進出口值表查詢結果!$A$3:$D$19,3,0)</f>
        <v>17555594</v>
      </c>
      <c r="G58" s="442">
        <f>(E58-F58)/F58</f>
        <v>0.73300316696774825</v>
      </c>
    </row>
    <row r="59" spans="1:7" ht="19.5">
      <c r="A59" s="403">
        <v>40115000008</v>
      </c>
      <c r="B59" s="458"/>
      <c r="C59" s="458"/>
      <c r="D59" s="458"/>
      <c r="E59" s="458"/>
      <c r="F59" s="458"/>
      <c r="G59" s="454"/>
    </row>
    <row r="60" spans="1:7" ht="19.5">
      <c r="A60" s="396" t="s">
        <v>235</v>
      </c>
      <c r="B60" s="467">
        <f>零件進出口!L60</f>
        <v>1559962</v>
      </c>
      <c r="C60" s="441">
        <v>1569088</v>
      </c>
      <c r="D60" s="628">
        <f>(B60-C60)/C60</f>
        <v>-5.8161173879349021E-3</v>
      </c>
      <c r="E60" s="440">
        <f>零件進出口!M60</f>
        <v>18392282</v>
      </c>
      <c r="F60" s="441">
        <v>18703171</v>
      </c>
      <c r="G60" s="442">
        <f>(E60-F60)/F60</f>
        <v>-1.6622261540569779E-2</v>
      </c>
    </row>
    <row r="61" spans="1:7" ht="19.5">
      <c r="A61" s="396" t="s">
        <v>236</v>
      </c>
      <c r="B61" s="440"/>
      <c r="C61" s="441"/>
      <c r="D61" s="468"/>
      <c r="E61" s="445"/>
      <c r="F61" s="441"/>
      <c r="G61" s="445"/>
    </row>
    <row r="62" spans="1:7" ht="19.5">
      <c r="A62" s="403">
        <v>40132000003</v>
      </c>
      <c r="B62" s="458"/>
      <c r="C62" s="458"/>
      <c r="D62" s="458"/>
      <c r="E62" s="458"/>
      <c r="F62" s="458"/>
      <c r="G62" s="454"/>
    </row>
    <row r="63" spans="1:7" ht="19.5">
      <c r="A63" s="396" t="s">
        <v>238</v>
      </c>
      <c r="B63" s="467">
        <f>零件進出口!L63</f>
        <v>370543</v>
      </c>
      <c r="C63" s="441">
        <v>331924</v>
      </c>
      <c r="D63" s="634">
        <f>(B63-C63)/C63</f>
        <v>0.1163489232474904</v>
      </c>
      <c r="E63" s="440">
        <f>零件進出口!M63</f>
        <v>2567862</v>
      </c>
      <c r="F63" s="441">
        <v>2194549</v>
      </c>
      <c r="G63" s="450">
        <f>(E63-F63)/F63</f>
        <v>0.17010921150541639</v>
      </c>
    </row>
    <row r="64" spans="1:7" ht="19.5">
      <c r="A64" s="396" t="s">
        <v>239</v>
      </c>
      <c r="B64" s="440"/>
      <c r="C64" s="443"/>
      <c r="D64" s="468"/>
      <c r="E64" s="445"/>
      <c r="F64" s="441"/>
      <c r="G64" s="445"/>
    </row>
    <row r="65" spans="1:7" ht="19.5">
      <c r="A65" s="465" t="s">
        <v>240</v>
      </c>
      <c r="B65" s="466">
        <f>SUM(B6:B64)-B64-B61-B20-B17-B11-B8</f>
        <v>13995025</v>
      </c>
      <c r="C65" s="514">
        <f>SUM(C6:C64)</f>
        <v>11311773</v>
      </c>
      <c r="D65" s="614">
        <f>(B65-C65)/C65</f>
        <v>0.23720879123016347</v>
      </c>
      <c r="E65" s="512">
        <f>SUM(E7:E64)</f>
        <v>634518712</v>
      </c>
      <c r="F65" s="513">
        <f>SUM(F6:F64)</f>
        <v>427243297</v>
      </c>
      <c r="G65" s="90">
        <f>(E65-F65)/F65</f>
        <v>0.48514608995726388</v>
      </c>
    </row>
    <row r="66" spans="1:7" ht="9" customHeight="1">
      <c r="A66" s="749"/>
      <c r="B66" s="750"/>
      <c r="C66" s="751"/>
      <c r="D66" s="752"/>
      <c r="E66" s="753"/>
      <c r="F66" s="754"/>
      <c r="G66" s="755"/>
    </row>
    <row r="67" spans="1:7">
      <c r="A67" s="57" t="s">
        <v>178</v>
      </c>
      <c r="B67" s="3"/>
      <c r="C67" s="58"/>
      <c r="D67" s="3"/>
      <c r="E67" s="3"/>
      <c r="F67" s="3"/>
      <c r="G67" s="3"/>
    </row>
    <row r="68" spans="1:7" ht="18">
      <c r="A68" s="153" t="s">
        <v>186</v>
      </c>
      <c r="B68" s="61"/>
      <c r="C68" s="62"/>
      <c r="D68" s="64"/>
      <c r="E68" s="61"/>
      <c r="F68" s="62"/>
      <c r="G68" s="64"/>
    </row>
  </sheetData>
  <phoneticPr fontId="3" type="noConversion"/>
  <conditionalFormatting sqref="D1:D3 D42:D58 D60:D61 D63:D1048576">
    <cfRule type="cellIs" dxfId="8" priority="38" operator="greaterThanOrEqual">
      <formula>0</formula>
    </cfRule>
  </conditionalFormatting>
  <conditionalFormatting sqref="D1:D40">
    <cfRule type="cellIs" dxfId="7" priority="6" operator="lessThan">
      <formula>0</formula>
    </cfRule>
  </conditionalFormatting>
  <conditionalFormatting sqref="D5:D40">
    <cfRule type="cellIs" dxfId="6" priority="5" operator="greaterThanOrEqual">
      <formula>0</formula>
    </cfRule>
  </conditionalFormatting>
  <conditionalFormatting sqref="D42:D58 D60:D61 D63:D1048576">
    <cfRule type="cellIs" dxfId="5" priority="39" operator="lessThan">
      <formula>0</formula>
    </cfRule>
  </conditionalFormatting>
  <conditionalFormatting sqref="G1:G3 G5:G6 G8:G9 G12 G14:G15 G17:G18 G20:G21 G23:G26 G31:G1048576">
    <cfRule type="cellIs" dxfId="4" priority="35" operator="lessThanOrEqual">
      <formula>0</formula>
    </cfRule>
    <cfRule type="cellIs" priority="36" operator="greaterThanOrEqual">
      <formula>0</formula>
    </cfRule>
    <cfRule type="cellIs" dxfId="3" priority="37" operator="lessThan">
      <formula>0</formula>
    </cfRule>
  </conditionalFormatting>
  <conditionalFormatting sqref="G1:G3">
    <cfRule type="cellIs" dxfId="2" priority="33" operator="greaterThanOrEqual">
      <formula>0</formula>
    </cfRule>
  </conditionalFormatting>
  <conditionalFormatting sqref="G1:G1048576">
    <cfRule type="cellIs" dxfId="1" priority="2" operator="lessThan">
      <formula>0</formula>
    </cfRule>
  </conditionalFormatting>
  <conditionalFormatting sqref="G5:G1048576">
    <cfRule type="cellIs" dxfId="0" priority="1" operator="greaterThanOr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52"/>
  <sheetViews>
    <sheetView topLeftCell="B31" zoomScaleNormal="100" workbookViewId="0">
      <selection activeCell="N25" sqref="N25"/>
    </sheetView>
  </sheetViews>
  <sheetFormatPr defaultRowHeight="16.5"/>
  <cols>
    <col min="2" max="2" width="10.375" customWidth="1"/>
    <col min="3" max="3" width="11.375" customWidth="1"/>
    <col min="4" max="4" width="11.625" customWidth="1"/>
    <col min="5" max="5" width="10.875" customWidth="1"/>
    <col min="6" max="6" width="11.125" customWidth="1"/>
    <col min="7" max="7" width="11" customWidth="1"/>
    <col min="8" max="9" width="10.5" customWidth="1"/>
    <col min="10" max="10" width="10.875" customWidth="1"/>
    <col min="11" max="11" width="11.5" customWidth="1"/>
    <col min="12" max="12" width="11" customWidth="1"/>
    <col min="13" max="13" width="11.75" customWidth="1"/>
    <col min="14" max="14" width="12.625" customWidth="1"/>
  </cols>
  <sheetData>
    <row r="1" spans="1:14">
      <c r="A1" s="780" t="s">
        <v>416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4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251</v>
      </c>
      <c r="H2" s="133" t="s">
        <v>252</v>
      </c>
      <c r="I2" s="133" t="s">
        <v>417</v>
      </c>
      <c r="J2" s="133" t="s">
        <v>253</v>
      </c>
      <c r="K2" s="133" t="s">
        <v>254</v>
      </c>
      <c r="L2" s="133" t="s">
        <v>255</v>
      </c>
      <c r="M2" s="133" t="s">
        <v>256</v>
      </c>
      <c r="N2" s="133" t="s">
        <v>265</v>
      </c>
    </row>
    <row r="3" spans="1:14">
      <c r="A3" s="543" t="s">
        <v>258</v>
      </c>
      <c r="B3" s="542">
        <v>168336</v>
      </c>
      <c r="C3" s="542">
        <v>179694</v>
      </c>
      <c r="D3" s="542">
        <v>213056</v>
      </c>
      <c r="E3" s="542">
        <v>189766</v>
      </c>
      <c r="F3" s="542">
        <v>113822</v>
      </c>
      <c r="G3" s="542">
        <v>90667</v>
      </c>
      <c r="H3" s="542">
        <v>148745</v>
      </c>
      <c r="I3" s="542">
        <v>133223</v>
      </c>
      <c r="J3" s="542">
        <v>190801</v>
      </c>
      <c r="K3" s="542">
        <v>193115</v>
      </c>
      <c r="L3" s="542">
        <v>150260</v>
      </c>
      <c r="M3" s="542">
        <v>179593</v>
      </c>
      <c r="N3" s="541">
        <f t="shared" ref="N3:N19" si="0">SUM(B3,C3,D3,E3,F3,G3,H3,I3,J3,K3,L3,M3,)</f>
        <v>1951078</v>
      </c>
    </row>
    <row r="4" spans="1:14">
      <c r="A4" s="579" t="s">
        <v>418</v>
      </c>
      <c r="B4" s="578">
        <v>169926</v>
      </c>
      <c r="C4" s="578">
        <v>212937</v>
      </c>
      <c r="D4" s="578">
        <v>240753</v>
      </c>
      <c r="E4" s="578">
        <v>198155</v>
      </c>
      <c r="F4" s="578">
        <v>180963</v>
      </c>
      <c r="G4" s="578">
        <v>157240</v>
      </c>
      <c r="H4" s="578">
        <v>131610</v>
      </c>
      <c r="I4" s="578">
        <v>203662</v>
      </c>
      <c r="J4" s="578">
        <v>252592</v>
      </c>
      <c r="K4" s="578">
        <v>254579</v>
      </c>
      <c r="L4" s="578">
        <v>211913</v>
      </c>
      <c r="M4" s="578">
        <v>258295</v>
      </c>
      <c r="N4" s="577">
        <f t="shared" si="0"/>
        <v>2472625</v>
      </c>
    </row>
    <row r="5" spans="1:14">
      <c r="A5" s="543" t="s">
        <v>259</v>
      </c>
      <c r="B5" s="542">
        <v>303027</v>
      </c>
      <c r="C5" s="542">
        <v>277387</v>
      </c>
      <c r="D5" s="542">
        <v>326851</v>
      </c>
      <c r="E5" s="542">
        <v>323768</v>
      </c>
      <c r="F5" s="542">
        <v>264430</v>
      </c>
      <c r="G5" s="542">
        <v>161435</v>
      </c>
      <c r="H5" s="542">
        <v>165026</v>
      </c>
      <c r="I5" s="542">
        <v>204559</v>
      </c>
      <c r="J5" s="542">
        <v>240818</v>
      </c>
      <c r="K5" s="542">
        <v>323267</v>
      </c>
      <c r="L5" s="542">
        <v>220969</v>
      </c>
      <c r="M5" s="542">
        <v>236990</v>
      </c>
      <c r="N5" s="541">
        <f t="shared" si="0"/>
        <v>3048527</v>
      </c>
    </row>
    <row r="6" spans="1:14">
      <c r="A6" s="567" t="s">
        <v>419</v>
      </c>
      <c r="B6" s="566">
        <v>317988</v>
      </c>
      <c r="C6" s="566">
        <v>283755</v>
      </c>
      <c r="D6" s="566">
        <v>300917</v>
      </c>
      <c r="E6" s="566">
        <v>275269</v>
      </c>
      <c r="F6" s="566">
        <v>207006</v>
      </c>
      <c r="G6" s="566">
        <v>162842</v>
      </c>
      <c r="H6" s="566">
        <v>186465</v>
      </c>
      <c r="I6" s="566">
        <v>179729</v>
      </c>
      <c r="J6" s="566">
        <v>243141</v>
      </c>
      <c r="K6" s="566">
        <v>215861</v>
      </c>
      <c r="L6" s="566">
        <v>171732</v>
      </c>
      <c r="M6" s="566">
        <v>233289</v>
      </c>
      <c r="N6" s="565">
        <f t="shared" si="0"/>
        <v>2777994</v>
      </c>
    </row>
    <row r="7" spans="1:14">
      <c r="A7" s="543" t="s">
        <v>260</v>
      </c>
      <c r="B7" s="542">
        <v>368796</v>
      </c>
      <c r="C7" s="542">
        <v>259214</v>
      </c>
      <c r="D7" s="542">
        <v>315976</v>
      </c>
      <c r="E7" s="542">
        <v>281047</v>
      </c>
      <c r="F7" s="542">
        <v>298651</v>
      </c>
      <c r="G7" s="542">
        <v>201890</v>
      </c>
      <c r="H7" s="542">
        <v>217757</v>
      </c>
      <c r="I7" s="542">
        <v>258962</v>
      </c>
      <c r="J7" s="542">
        <v>268660</v>
      </c>
      <c r="K7" s="542">
        <v>309172</v>
      </c>
      <c r="L7" s="542">
        <v>264160</v>
      </c>
      <c r="M7" s="542">
        <v>288942</v>
      </c>
      <c r="N7" s="576">
        <f t="shared" si="0"/>
        <v>3333227</v>
      </c>
    </row>
    <row r="8" spans="1:14">
      <c r="A8" s="575" t="s">
        <v>420</v>
      </c>
      <c r="B8" s="574">
        <v>388127</v>
      </c>
      <c r="C8" s="574">
        <v>302209</v>
      </c>
      <c r="D8" s="574">
        <v>393201</v>
      </c>
      <c r="E8" s="574">
        <v>319528</v>
      </c>
      <c r="F8" s="574">
        <v>284725</v>
      </c>
      <c r="G8" s="574">
        <v>210255</v>
      </c>
      <c r="H8" s="574">
        <v>210925</v>
      </c>
      <c r="I8" s="574">
        <v>275587</v>
      </c>
      <c r="J8" s="574">
        <v>302075</v>
      </c>
      <c r="K8" s="574">
        <v>320684</v>
      </c>
      <c r="L8" s="574">
        <v>278776</v>
      </c>
      <c r="M8" s="574">
        <v>331344</v>
      </c>
      <c r="N8" s="559">
        <f t="shared" si="0"/>
        <v>3617436</v>
      </c>
    </row>
    <row r="9" spans="1:14">
      <c r="A9" s="573" t="s">
        <v>262</v>
      </c>
      <c r="B9" s="572">
        <v>341094</v>
      </c>
      <c r="C9" s="572">
        <v>302344</v>
      </c>
      <c r="D9" s="572">
        <v>290376</v>
      </c>
      <c r="E9" s="572">
        <v>167935</v>
      </c>
      <c r="F9" s="572">
        <v>133021</v>
      </c>
      <c r="G9" s="572">
        <v>128489</v>
      </c>
      <c r="H9" s="572">
        <v>165616</v>
      </c>
      <c r="I9" s="572">
        <v>211462</v>
      </c>
      <c r="J9" s="572">
        <v>256708</v>
      </c>
      <c r="K9" s="572">
        <v>296076</v>
      </c>
      <c r="L9" s="572">
        <v>267345</v>
      </c>
      <c r="M9" s="572">
        <v>245752</v>
      </c>
      <c r="N9" s="571">
        <f t="shared" si="0"/>
        <v>2806218</v>
      </c>
    </row>
    <row r="10" spans="1:14">
      <c r="A10" s="570" t="s">
        <v>263</v>
      </c>
      <c r="B10" s="569">
        <v>369123</v>
      </c>
      <c r="C10" s="569">
        <v>278194</v>
      </c>
      <c r="D10" s="569">
        <v>423977</v>
      </c>
      <c r="E10" s="569">
        <v>276901</v>
      </c>
      <c r="F10" s="569">
        <v>278905</v>
      </c>
      <c r="G10" s="569">
        <v>215468</v>
      </c>
      <c r="H10" s="569">
        <v>234408</v>
      </c>
      <c r="I10" s="569">
        <v>249777</v>
      </c>
      <c r="J10" s="569">
        <v>304407</v>
      </c>
      <c r="K10" s="569">
        <v>317138</v>
      </c>
      <c r="L10" s="569">
        <v>272049</v>
      </c>
      <c r="M10" s="569">
        <v>281704</v>
      </c>
      <c r="N10" s="568">
        <f t="shared" si="0"/>
        <v>3502051</v>
      </c>
    </row>
    <row r="11" spans="1:14">
      <c r="A11" s="567" t="s">
        <v>264</v>
      </c>
      <c r="B11" s="566">
        <v>287759</v>
      </c>
      <c r="C11" s="566">
        <v>266161</v>
      </c>
      <c r="D11" s="566">
        <v>322940</v>
      </c>
      <c r="E11" s="566">
        <v>216874</v>
      </c>
      <c r="F11" s="566">
        <v>192499</v>
      </c>
      <c r="G11" s="566">
        <v>176296</v>
      </c>
      <c r="H11" s="566">
        <v>170670</v>
      </c>
      <c r="I11" s="566">
        <v>195679</v>
      </c>
      <c r="J11" s="566">
        <v>228692</v>
      </c>
      <c r="K11" s="566">
        <v>219227</v>
      </c>
      <c r="L11" s="566">
        <v>245313</v>
      </c>
      <c r="M11" s="566">
        <v>224587</v>
      </c>
      <c r="N11" s="565">
        <f t="shared" si="0"/>
        <v>2746697</v>
      </c>
    </row>
    <row r="12" spans="1:14">
      <c r="A12" s="564" t="s">
        <v>421</v>
      </c>
      <c r="B12" s="563">
        <v>275240</v>
      </c>
      <c r="C12" s="563">
        <v>246465</v>
      </c>
      <c r="D12" s="563">
        <v>215255</v>
      </c>
      <c r="E12" s="563">
        <v>183710</v>
      </c>
      <c r="F12" s="563">
        <v>158708</v>
      </c>
      <c r="G12" s="563">
        <v>163673</v>
      </c>
      <c r="H12" s="563">
        <v>185602</v>
      </c>
      <c r="I12" s="563">
        <v>216719</v>
      </c>
      <c r="J12" s="563">
        <v>196077</v>
      </c>
      <c r="K12" s="563">
        <v>235900</v>
      </c>
      <c r="L12" s="563">
        <v>198516</v>
      </c>
      <c r="M12" s="563">
        <v>239761</v>
      </c>
      <c r="N12" s="562">
        <f t="shared" si="0"/>
        <v>2515626</v>
      </c>
    </row>
    <row r="13" spans="1:14">
      <c r="A13" s="561" t="s">
        <v>422</v>
      </c>
      <c r="B13" s="560">
        <v>249065</v>
      </c>
      <c r="C13" s="560">
        <v>187374</v>
      </c>
      <c r="D13" s="560">
        <v>176353</v>
      </c>
      <c r="E13" s="560">
        <v>148209</v>
      </c>
      <c r="F13" s="560">
        <v>121932</v>
      </c>
      <c r="G13" s="560">
        <v>125634</v>
      </c>
      <c r="H13" s="560">
        <v>163828</v>
      </c>
      <c r="I13" s="560">
        <v>142601</v>
      </c>
      <c r="J13" s="560">
        <v>152067</v>
      </c>
      <c r="K13" s="560">
        <v>187309</v>
      </c>
      <c r="L13" s="560">
        <v>145424</v>
      </c>
      <c r="M13" s="560">
        <v>181061</v>
      </c>
      <c r="N13" s="559">
        <f t="shared" si="0"/>
        <v>1980857</v>
      </c>
    </row>
    <row r="14" spans="1:14">
      <c r="A14" s="558" t="s">
        <v>423</v>
      </c>
      <c r="B14" s="557">
        <v>227748</v>
      </c>
      <c r="C14" s="557">
        <v>155696</v>
      </c>
      <c r="D14" s="557">
        <v>173137</v>
      </c>
      <c r="E14" s="557">
        <v>149369</v>
      </c>
      <c r="F14" s="557">
        <v>106726</v>
      </c>
      <c r="G14" s="557">
        <v>124122</v>
      </c>
      <c r="H14" s="557">
        <v>143853</v>
      </c>
      <c r="I14" s="557">
        <v>171808</v>
      </c>
      <c r="J14" s="557">
        <v>176633</v>
      </c>
      <c r="K14" s="557">
        <v>190331</v>
      </c>
      <c r="L14" s="557">
        <v>195472</v>
      </c>
      <c r="M14" s="557">
        <v>263986</v>
      </c>
      <c r="N14" s="556">
        <f t="shared" si="0"/>
        <v>2078881</v>
      </c>
    </row>
    <row r="15" spans="1:14">
      <c r="A15" s="555" t="s">
        <v>424</v>
      </c>
      <c r="B15" s="554">
        <v>284864</v>
      </c>
      <c r="C15" s="554">
        <v>231434</v>
      </c>
      <c r="D15" s="554">
        <v>205074</v>
      </c>
      <c r="E15" s="554">
        <v>161681</v>
      </c>
      <c r="F15" s="554">
        <v>197649</v>
      </c>
      <c r="G15" s="554">
        <v>143179</v>
      </c>
      <c r="H15" s="554">
        <v>147377</v>
      </c>
      <c r="I15" s="554">
        <v>163936</v>
      </c>
      <c r="J15" s="554">
        <v>178997</v>
      </c>
      <c r="K15" s="554">
        <v>150368</v>
      </c>
      <c r="L15" s="554">
        <v>144913</v>
      </c>
      <c r="M15" s="554">
        <v>195592</v>
      </c>
      <c r="N15" s="553">
        <f t="shared" si="0"/>
        <v>2205064</v>
      </c>
    </row>
    <row r="16" spans="1:14">
      <c r="A16" s="552" t="s">
        <v>425</v>
      </c>
      <c r="B16" s="551">
        <v>200884</v>
      </c>
      <c r="C16" s="551">
        <v>176990</v>
      </c>
      <c r="D16" s="551">
        <v>150631</v>
      </c>
      <c r="E16" s="551">
        <v>113996</v>
      </c>
      <c r="F16" s="551">
        <v>140269</v>
      </c>
      <c r="G16" s="551">
        <v>101800</v>
      </c>
      <c r="H16" s="551">
        <v>124544</v>
      </c>
      <c r="I16" s="551">
        <v>150803</v>
      </c>
      <c r="J16" s="551">
        <v>103076</v>
      </c>
      <c r="K16" s="551">
        <v>127789</v>
      </c>
      <c r="L16" s="551">
        <v>101384</v>
      </c>
      <c r="M16" s="551">
        <v>129814</v>
      </c>
      <c r="N16" s="550">
        <f t="shared" si="0"/>
        <v>1621980</v>
      </c>
    </row>
    <row r="17" spans="1:14">
      <c r="A17" s="549" t="s">
        <v>426</v>
      </c>
      <c r="B17" s="548">
        <v>176535</v>
      </c>
      <c r="C17" s="548">
        <v>148642</v>
      </c>
      <c r="D17" s="548">
        <v>110978</v>
      </c>
      <c r="E17" s="548">
        <v>83304</v>
      </c>
      <c r="F17" s="548">
        <v>86259</v>
      </c>
      <c r="G17" s="548">
        <v>66695</v>
      </c>
      <c r="H17" s="548">
        <v>81061</v>
      </c>
      <c r="I17" s="548">
        <v>93744</v>
      </c>
      <c r="J17" s="548">
        <v>123457</v>
      </c>
      <c r="K17" s="548">
        <v>99272</v>
      </c>
      <c r="L17" s="548">
        <v>105422</v>
      </c>
      <c r="M17" s="548">
        <v>108314</v>
      </c>
      <c r="N17" s="547">
        <f t="shared" si="0"/>
        <v>1283683</v>
      </c>
    </row>
    <row r="18" spans="1:14">
      <c r="A18" s="546" t="s">
        <v>427</v>
      </c>
      <c r="B18" s="545">
        <v>113063</v>
      </c>
      <c r="C18" s="545">
        <v>114167</v>
      </c>
      <c r="D18" s="545">
        <v>95697</v>
      </c>
      <c r="E18" s="545">
        <v>74151</v>
      </c>
      <c r="F18" s="545">
        <v>73050</v>
      </c>
      <c r="G18" s="545">
        <v>77432</v>
      </c>
      <c r="H18" s="545">
        <v>78518</v>
      </c>
      <c r="I18" s="545">
        <v>94584</v>
      </c>
      <c r="J18" s="545">
        <v>103180</v>
      </c>
      <c r="K18" s="545">
        <v>91570</v>
      </c>
      <c r="L18" s="545">
        <v>80145</v>
      </c>
      <c r="M18" s="545">
        <v>107269</v>
      </c>
      <c r="N18" s="544">
        <f t="shared" si="0"/>
        <v>1102826</v>
      </c>
    </row>
    <row r="19" spans="1:14">
      <c r="A19" s="543" t="s">
        <v>428</v>
      </c>
      <c r="B19" s="542">
        <v>118997</v>
      </c>
      <c r="C19" s="542">
        <v>97512</v>
      </c>
      <c r="D19" s="542">
        <v>95189</v>
      </c>
      <c r="E19" s="542">
        <v>69084</v>
      </c>
      <c r="F19" s="542">
        <v>77838</v>
      </c>
      <c r="G19" s="542">
        <v>82351</v>
      </c>
      <c r="H19" s="542">
        <v>73896</v>
      </c>
      <c r="I19" s="542">
        <v>74908</v>
      </c>
      <c r="J19" s="542">
        <v>78070</v>
      </c>
      <c r="K19" s="542">
        <v>77539</v>
      </c>
      <c r="L19" s="542">
        <v>61193</v>
      </c>
      <c r="M19" s="542">
        <v>78734</v>
      </c>
      <c r="N19" s="541">
        <f t="shared" si="0"/>
        <v>985311</v>
      </c>
    </row>
    <row r="20" spans="1:14">
      <c r="A20" s="540" t="s">
        <v>429</v>
      </c>
      <c r="B20" s="539">
        <v>71602</v>
      </c>
      <c r="C20" s="539">
        <v>57938</v>
      </c>
      <c r="D20" s="539">
        <v>50036</v>
      </c>
      <c r="E20" s="539">
        <v>35898</v>
      </c>
      <c r="F20" s="539">
        <v>42641</v>
      </c>
      <c r="G20" s="539">
        <v>48143</v>
      </c>
      <c r="H20" s="539">
        <v>41659</v>
      </c>
      <c r="I20" s="539">
        <v>67372</v>
      </c>
      <c r="J20" s="539">
        <v>44242</v>
      </c>
      <c r="K20" s="539">
        <v>58319</v>
      </c>
      <c r="L20" s="539">
        <v>49228</v>
      </c>
      <c r="M20" s="539">
        <v>58138</v>
      </c>
      <c r="N20" s="538">
        <f>SUM(B20+C20+D20+E20+F20+G20+H20+I20+J20+K20+L20+M20)</f>
        <v>625216</v>
      </c>
    </row>
    <row r="21" spans="1:14">
      <c r="A21" s="537" t="s">
        <v>430</v>
      </c>
      <c r="B21" s="536">
        <v>57647</v>
      </c>
      <c r="C21" s="536">
        <v>37324</v>
      </c>
      <c r="D21" s="536">
        <v>40790</v>
      </c>
      <c r="E21" s="536">
        <v>35829</v>
      </c>
      <c r="F21" s="536">
        <v>57168</v>
      </c>
      <c r="G21" s="536">
        <v>38807</v>
      </c>
      <c r="H21" s="536">
        <v>53884</v>
      </c>
      <c r="I21" s="536">
        <v>50475</v>
      </c>
      <c r="J21" s="536">
        <v>34783</v>
      </c>
      <c r="K21" s="536">
        <v>45148</v>
      </c>
      <c r="L21" s="536">
        <v>53955</v>
      </c>
      <c r="M21" s="536">
        <v>41823</v>
      </c>
      <c r="N21" s="535">
        <f>SUM(B21:M21)</f>
        <v>547633</v>
      </c>
    </row>
    <row r="22" spans="1:14">
      <c r="A22" s="534" t="s">
        <v>431</v>
      </c>
      <c r="B22" s="534">
        <v>35439</v>
      </c>
      <c r="C22" s="534">
        <v>50736</v>
      </c>
      <c r="D22" s="534">
        <v>40712</v>
      </c>
      <c r="E22" s="534">
        <v>41520</v>
      </c>
      <c r="F22" s="534">
        <v>45973</v>
      </c>
      <c r="G22" s="534">
        <v>34459</v>
      </c>
      <c r="H22" s="534">
        <v>37887</v>
      </c>
      <c r="I22" s="534">
        <v>43366</v>
      </c>
      <c r="J22" s="534">
        <v>46652</v>
      </c>
      <c r="K22" s="534">
        <v>52997</v>
      </c>
      <c r="L22" s="534">
        <v>58255</v>
      </c>
      <c r="M22" s="534">
        <v>37856</v>
      </c>
      <c r="N22" s="534">
        <f>SUM(B22:M22)</f>
        <v>525852</v>
      </c>
    </row>
    <row r="23" spans="1:14">
      <c r="A23" s="602" t="s">
        <v>432</v>
      </c>
      <c r="B23" s="603">
        <v>55261</v>
      </c>
      <c r="C23" s="603">
        <v>33882</v>
      </c>
      <c r="D23" s="603">
        <v>38590</v>
      </c>
      <c r="E23" s="603">
        <v>41561</v>
      </c>
      <c r="F23" s="603">
        <v>41432</v>
      </c>
      <c r="G23" s="603">
        <v>24646</v>
      </c>
      <c r="H23" s="603">
        <v>29164</v>
      </c>
      <c r="I23" s="603">
        <v>31742</v>
      </c>
      <c r="J23" s="603">
        <v>25773</v>
      </c>
      <c r="K23" s="603">
        <v>20059</v>
      </c>
      <c r="L23" s="603">
        <v>18634</v>
      </c>
      <c r="M23" s="603">
        <v>23876</v>
      </c>
      <c r="N23" s="603">
        <f>SUM(B23:M23)</f>
        <v>384620</v>
      </c>
    </row>
    <row r="24" spans="1:14">
      <c r="A24" s="675" t="s">
        <v>433</v>
      </c>
      <c r="B24" s="676">
        <v>22597</v>
      </c>
      <c r="C24" s="677">
        <v>20879</v>
      </c>
      <c r="D24" s="677">
        <v>27621</v>
      </c>
      <c r="E24" s="677">
        <v>19678</v>
      </c>
      <c r="F24" s="677">
        <v>19676</v>
      </c>
      <c r="G24" s="677">
        <v>24340</v>
      </c>
      <c r="H24" s="677">
        <v>13085</v>
      </c>
      <c r="I24" s="677">
        <v>28367</v>
      </c>
      <c r="J24" s="677">
        <v>15235</v>
      </c>
      <c r="K24" s="677">
        <v>20020</v>
      </c>
      <c r="L24" s="677">
        <v>15967</v>
      </c>
      <c r="M24" s="677">
        <v>29393</v>
      </c>
      <c r="N24" s="677">
        <v>256858</v>
      </c>
    </row>
    <row r="25" spans="1:14">
      <c r="A25" s="680" t="s">
        <v>435</v>
      </c>
      <c r="B25" s="681">
        <v>13209</v>
      </c>
      <c r="C25" s="682">
        <v>24798</v>
      </c>
      <c r="D25" s="682">
        <v>19241</v>
      </c>
      <c r="E25" s="682">
        <v>13706</v>
      </c>
      <c r="F25" s="682">
        <v>14490</v>
      </c>
      <c r="G25" s="682">
        <v>15344</v>
      </c>
      <c r="H25" s="682">
        <v>18577</v>
      </c>
      <c r="I25" s="682">
        <v>16961</v>
      </c>
      <c r="J25" s="682">
        <v>13677</v>
      </c>
      <c r="K25" s="682">
        <v>11415</v>
      </c>
      <c r="L25" s="682">
        <v>15329</v>
      </c>
      <c r="M25" s="757">
        <v>17741</v>
      </c>
      <c r="N25" s="757">
        <f>SUM(B25:M25)</f>
        <v>194488</v>
      </c>
    </row>
    <row r="26" spans="1:14">
      <c r="A26" s="385" t="s">
        <v>436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38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3" t="s">
        <v>437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679" customFormat="1">
      <c r="A29" s="133" t="s">
        <v>245</v>
      </c>
      <c r="B29" s="133" t="s">
        <v>246</v>
      </c>
      <c r="C29" s="133" t="s">
        <v>438</v>
      </c>
      <c r="D29" s="133" t="s">
        <v>248</v>
      </c>
      <c r="E29" s="133" t="s">
        <v>249</v>
      </c>
      <c r="F29" s="133" t="s">
        <v>439</v>
      </c>
      <c r="G29" s="133" t="s">
        <v>440</v>
      </c>
      <c r="H29" s="133" t="s">
        <v>252</v>
      </c>
      <c r="I29" s="133" t="s">
        <v>417</v>
      </c>
      <c r="J29" s="133" t="s">
        <v>441</v>
      </c>
      <c r="K29" s="133" t="s">
        <v>254</v>
      </c>
      <c r="L29" s="133" t="s">
        <v>255</v>
      </c>
      <c r="M29" s="133" t="s">
        <v>256</v>
      </c>
      <c r="N29" s="133" t="s">
        <v>265</v>
      </c>
    </row>
    <row r="30" spans="1:14" s="679" customFormat="1">
      <c r="A30" s="684" t="s">
        <v>442</v>
      </c>
      <c r="B30" s="685">
        <v>11331</v>
      </c>
      <c r="C30" s="685">
        <v>9752</v>
      </c>
      <c r="D30" s="685">
        <v>16238</v>
      </c>
      <c r="E30" s="685">
        <v>12916</v>
      </c>
      <c r="F30" s="685">
        <v>7853</v>
      </c>
      <c r="G30" s="685">
        <v>7456</v>
      </c>
      <c r="H30" s="685">
        <v>13707</v>
      </c>
      <c r="I30" s="685">
        <v>12404</v>
      </c>
      <c r="J30" s="685">
        <v>12181</v>
      </c>
      <c r="K30" s="685">
        <v>12284</v>
      </c>
      <c r="L30" s="685">
        <v>9737</v>
      </c>
      <c r="M30" s="685">
        <v>7302</v>
      </c>
      <c r="N30" s="685">
        <f>SUM(B30:M30)</f>
        <v>133161</v>
      </c>
    </row>
    <row r="31" spans="1:14">
      <c r="A31" s="686" t="s">
        <v>443</v>
      </c>
      <c r="B31" s="687">
        <v>11699</v>
      </c>
      <c r="C31" s="687">
        <v>6119</v>
      </c>
      <c r="D31" s="687">
        <v>4486</v>
      </c>
      <c r="E31" s="687">
        <v>8297</v>
      </c>
      <c r="F31" s="687">
        <v>5878</v>
      </c>
      <c r="G31" s="687">
        <v>8622</v>
      </c>
      <c r="H31" s="687">
        <v>5548</v>
      </c>
      <c r="I31" s="687">
        <v>9075</v>
      </c>
      <c r="J31" s="687">
        <v>5377</v>
      </c>
      <c r="K31" s="687">
        <v>4172</v>
      </c>
      <c r="L31" s="687">
        <v>4093</v>
      </c>
      <c r="M31" s="687">
        <v>2148</v>
      </c>
      <c r="N31" s="685">
        <f>SUM(B31:M31)</f>
        <v>75514</v>
      </c>
    </row>
    <row r="32" spans="1:14">
      <c r="A32" s="686" t="s">
        <v>444</v>
      </c>
      <c r="B32" s="687">
        <v>3229</v>
      </c>
      <c r="C32" s="687">
        <v>4519</v>
      </c>
      <c r="D32" s="687">
        <v>3732</v>
      </c>
      <c r="E32" s="687">
        <v>5253</v>
      </c>
      <c r="F32" s="687">
        <v>4520</v>
      </c>
      <c r="G32" s="687">
        <v>4442</v>
      </c>
      <c r="H32" s="687">
        <v>6260</v>
      </c>
      <c r="I32" s="687">
        <v>6458</v>
      </c>
      <c r="J32" s="687">
        <v>3510</v>
      </c>
      <c r="K32" s="687">
        <v>3306</v>
      </c>
      <c r="L32" s="687">
        <v>4992</v>
      </c>
      <c r="M32" s="687">
        <v>4138</v>
      </c>
      <c r="N32" s="685">
        <v>54359</v>
      </c>
    </row>
    <row r="33" spans="1:14">
      <c r="A33" s="686" t="s">
        <v>434</v>
      </c>
      <c r="B33" s="687">
        <v>3877</v>
      </c>
      <c r="C33" s="687">
        <v>4251</v>
      </c>
      <c r="D33" s="687">
        <v>3213</v>
      </c>
      <c r="E33" s="687">
        <v>2493</v>
      </c>
      <c r="F33" s="687">
        <v>3491</v>
      </c>
      <c r="G33" s="687">
        <v>2822</v>
      </c>
      <c r="H33" s="687">
        <v>5873</v>
      </c>
      <c r="I33" s="687">
        <v>7418</v>
      </c>
      <c r="J33" s="687">
        <v>7670</v>
      </c>
      <c r="K33" s="687">
        <v>3264</v>
      </c>
      <c r="L33" s="687">
        <v>4093</v>
      </c>
      <c r="M33" s="687">
        <v>4358</v>
      </c>
      <c r="N33" s="685">
        <f>SUM(B33:M33)</f>
        <v>52823</v>
      </c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K46" s="4"/>
      <c r="L46" s="4"/>
      <c r="M46" s="4"/>
      <c r="N46" s="4"/>
    </row>
    <row r="52" spans="1:10">
      <c r="A52" s="781" t="s">
        <v>445</v>
      </c>
      <c r="B52" s="781"/>
      <c r="C52" s="781"/>
      <c r="D52" s="781"/>
      <c r="E52" s="781"/>
      <c r="F52" s="781"/>
      <c r="G52" s="781"/>
      <c r="H52" s="781"/>
      <c r="I52" s="781"/>
      <c r="J52" s="781"/>
    </row>
  </sheetData>
  <mergeCells count="2">
    <mergeCell ref="A1:N1"/>
    <mergeCell ref="A52:J52"/>
  </mergeCells>
  <phoneticPr fontId="3" type="noConversion"/>
  <pageMargins left="0.56000000000000005" right="0.7" top="0.39" bottom="0.32" header="0.22" footer="0.21"/>
  <pageSetup paperSize="9" scale="8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54"/>
  <sheetViews>
    <sheetView topLeftCell="A34" zoomScaleNormal="100" workbookViewId="0">
      <selection activeCell="N25" sqref="N25"/>
    </sheetView>
  </sheetViews>
  <sheetFormatPr defaultRowHeight="16.5"/>
  <cols>
    <col min="1" max="1" width="8.375" customWidth="1"/>
    <col min="2" max="2" width="14.625" bestFit="1" customWidth="1"/>
    <col min="3" max="9" width="13.875" bestFit="1" customWidth="1"/>
    <col min="10" max="10" width="14.625" bestFit="1" customWidth="1"/>
    <col min="11" max="11" width="13.875" bestFit="1" customWidth="1"/>
    <col min="12" max="13" width="14.625" bestFit="1" customWidth="1"/>
    <col min="14" max="14" width="15" bestFit="1" customWidth="1"/>
  </cols>
  <sheetData>
    <row r="1" spans="1:14">
      <c r="A1" s="780" t="s">
        <v>446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4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251</v>
      </c>
      <c r="H2" s="133" t="s">
        <v>252</v>
      </c>
      <c r="I2" s="133" t="s">
        <v>417</v>
      </c>
      <c r="J2" s="133" t="s">
        <v>253</v>
      </c>
      <c r="K2" s="133" t="s">
        <v>447</v>
      </c>
      <c r="L2" s="133" t="s">
        <v>255</v>
      </c>
      <c r="M2" s="133" t="s">
        <v>256</v>
      </c>
      <c r="N2" s="133" t="s">
        <v>265</v>
      </c>
    </row>
    <row r="3" spans="1:14">
      <c r="A3" s="542" t="s">
        <v>258</v>
      </c>
      <c r="B3" s="542">
        <v>23813641</v>
      </c>
      <c r="C3" s="542">
        <v>25887536</v>
      </c>
      <c r="D3" s="542">
        <v>30368929</v>
      </c>
      <c r="E3" s="542">
        <v>23897720</v>
      </c>
      <c r="F3" s="542">
        <v>11435050</v>
      </c>
      <c r="G3" s="542">
        <v>9214966</v>
      </c>
      <c r="H3" s="542">
        <v>14866223</v>
      </c>
      <c r="I3" s="542">
        <v>17108420</v>
      </c>
      <c r="J3" s="542">
        <v>24769021</v>
      </c>
      <c r="K3" s="542">
        <v>25272762</v>
      </c>
      <c r="L3" s="542">
        <v>24364601</v>
      </c>
      <c r="M3" s="542">
        <v>31474894</v>
      </c>
      <c r="N3" s="541">
        <f t="shared" ref="N3:N18" si="0">SUM(B3,C3,D3,E3,F3,G3,H3,I3,J3,K3,L3,M3,)</f>
        <v>262473763</v>
      </c>
    </row>
    <row r="4" spans="1:14">
      <c r="A4" s="572" t="s">
        <v>448</v>
      </c>
      <c r="B4" s="572">
        <v>26005184</v>
      </c>
      <c r="C4" s="572">
        <v>30766277</v>
      </c>
      <c r="D4" s="572">
        <v>35899667</v>
      </c>
      <c r="E4" s="572">
        <v>26956016</v>
      </c>
      <c r="F4" s="572">
        <v>22109521</v>
      </c>
      <c r="G4" s="572">
        <v>17684454</v>
      </c>
      <c r="H4" s="572">
        <v>15377475</v>
      </c>
      <c r="I4" s="572">
        <v>26212941</v>
      </c>
      <c r="J4" s="572">
        <v>32358587</v>
      </c>
      <c r="K4" s="572">
        <v>39049029</v>
      </c>
      <c r="L4" s="572">
        <v>37428583</v>
      </c>
      <c r="M4" s="572">
        <v>45595687</v>
      </c>
      <c r="N4" s="571">
        <f t="shared" si="0"/>
        <v>355443421</v>
      </c>
    </row>
    <row r="5" spans="1:14">
      <c r="A5" s="542" t="s">
        <v>449</v>
      </c>
      <c r="B5" s="542">
        <v>48644083</v>
      </c>
      <c r="C5" s="542">
        <v>40425430</v>
      </c>
      <c r="D5" s="542">
        <v>48800862</v>
      </c>
      <c r="E5" s="542">
        <v>45809885</v>
      </c>
      <c r="F5" s="542">
        <v>36515749</v>
      </c>
      <c r="G5" s="542">
        <v>20458813</v>
      </c>
      <c r="H5" s="542">
        <v>20097508</v>
      </c>
      <c r="I5" s="542">
        <v>32645666</v>
      </c>
      <c r="J5" s="542">
        <v>37224040</v>
      </c>
      <c r="K5" s="542">
        <v>50876633</v>
      </c>
      <c r="L5" s="542">
        <v>45112322</v>
      </c>
      <c r="M5" s="542">
        <v>44287887</v>
      </c>
      <c r="N5" s="541">
        <f t="shared" si="0"/>
        <v>470898878</v>
      </c>
    </row>
    <row r="6" spans="1:14">
      <c r="A6" s="589" t="s">
        <v>450</v>
      </c>
      <c r="B6" s="589">
        <v>47560989</v>
      </c>
      <c r="C6" s="589">
        <v>44665871</v>
      </c>
      <c r="D6" s="589">
        <v>47361978</v>
      </c>
      <c r="E6" s="589">
        <v>35666507</v>
      </c>
      <c r="F6" s="589">
        <v>27771918</v>
      </c>
      <c r="G6" s="589">
        <v>18966577</v>
      </c>
      <c r="H6" s="589">
        <v>24888742</v>
      </c>
      <c r="I6" s="589">
        <v>28860966</v>
      </c>
      <c r="J6" s="589">
        <v>36569831</v>
      </c>
      <c r="K6" s="589">
        <v>38201062</v>
      </c>
      <c r="L6" s="589">
        <v>36383226</v>
      </c>
      <c r="M6" s="589">
        <v>44790341</v>
      </c>
      <c r="N6" s="588">
        <f t="shared" si="0"/>
        <v>431688008</v>
      </c>
    </row>
    <row r="7" spans="1:14">
      <c r="A7" s="542" t="s">
        <v>451</v>
      </c>
      <c r="B7" s="542">
        <v>61150027</v>
      </c>
      <c r="C7" s="542">
        <v>44065027</v>
      </c>
      <c r="D7" s="542">
        <v>54042044</v>
      </c>
      <c r="E7" s="542">
        <v>42266269</v>
      </c>
      <c r="F7" s="542">
        <v>38859098</v>
      </c>
      <c r="G7" s="542">
        <v>27937481</v>
      </c>
      <c r="H7" s="542">
        <v>36573512</v>
      </c>
      <c r="I7" s="542">
        <v>45047382</v>
      </c>
      <c r="J7" s="542">
        <v>42596089</v>
      </c>
      <c r="K7" s="542">
        <v>57266957</v>
      </c>
      <c r="L7" s="542">
        <v>55244217</v>
      </c>
      <c r="M7" s="542">
        <v>60261159</v>
      </c>
      <c r="N7" s="541">
        <f t="shared" si="0"/>
        <v>565309262</v>
      </c>
    </row>
    <row r="8" spans="1:14">
      <c r="A8" s="578" t="s">
        <v>261</v>
      </c>
      <c r="B8" s="578">
        <v>64355745</v>
      </c>
      <c r="C8" s="578">
        <v>52433997</v>
      </c>
      <c r="D8" s="578">
        <v>71518219</v>
      </c>
      <c r="E8" s="578">
        <v>59518297</v>
      </c>
      <c r="F8" s="578">
        <v>48971011</v>
      </c>
      <c r="G8" s="578">
        <v>43577406</v>
      </c>
      <c r="H8" s="578">
        <v>43918615</v>
      </c>
      <c r="I8" s="578">
        <v>56582435</v>
      </c>
      <c r="J8" s="578">
        <v>67686256</v>
      </c>
      <c r="K8" s="578">
        <v>68222027</v>
      </c>
      <c r="L8" s="578">
        <v>68457497</v>
      </c>
      <c r="M8" s="578">
        <v>78235935</v>
      </c>
      <c r="N8" s="577">
        <f t="shared" si="0"/>
        <v>723477440</v>
      </c>
    </row>
    <row r="9" spans="1:14">
      <c r="A9" s="566" t="s">
        <v>452</v>
      </c>
      <c r="B9" s="566">
        <v>69676838</v>
      </c>
      <c r="C9" s="566">
        <v>67476172</v>
      </c>
      <c r="D9" s="566">
        <v>64523997</v>
      </c>
      <c r="E9" s="566">
        <v>36454429</v>
      </c>
      <c r="F9" s="566">
        <v>24920458</v>
      </c>
      <c r="G9" s="566">
        <v>27242368</v>
      </c>
      <c r="H9" s="566">
        <v>37028284</v>
      </c>
      <c r="I9" s="566">
        <v>48975473</v>
      </c>
      <c r="J9" s="566">
        <v>58521847</v>
      </c>
      <c r="K9" s="566">
        <v>62611936</v>
      </c>
      <c r="L9" s="566">
        <v>64473796</v>
      </c>
      <c r="M9" s="566">
        <v>63105471</v>
      </c>
      <c r="N9" s="565">
        <f t="shared" si="0"/>
        <v>625011069</v>
      </c>
    </row>
    <row r="10" spans="1:14">
      <c r="A10" s="587" t="s">
        <v>263</v>
      </c>
      <c r="B10" s="587">
        <v>87544765</v>
      </c>
      <c r="C10" s="587">
        <v>65654599</v>
      </c>
      <c r="D10" s="587">
        <v>92251485</v>
      </c>
      <c r="E10" s="587">
        <v>57005446</v>
      </c>
      <c r="F10" s="587">
        <v>49760318</v>
      </c>
      <c r="G10" s="587">
        <v>41448907</v>
      </c>
      <c r="H10" s="587">
        <v>47538457</v>
      </c>
      <c r="I10" s="587">
        <v>53210969</v>
      </c>
      <c r="J10" s="587">
        <v>63869845</v>
      </c>
      <c r="K10" s="587">
        <v>78152881</v>
      </c>
      <c r="L10" s="587">
        <v>70707977</v>
      </c>
      <c r="M10" s="587">
        <v>84695499</v>
      </c>
      <c r="N10" s="586">
        <f t="shared" si="0"/>
        <v>791841148</v>
      </c>
    </row>
    <row r="11" spans="1:14">
      <c r="A11" s="563" t="s">
        <v>264</v>
      </c>
      <c r="B11" s="563">
        <v>74763874</v>
      </c>
      <c r="C11" s="563">
        <v>66186979</v>
      </c>
      <c r="D11" s="563">
        <v>85903193</v>
      </c>
      <c r="E11" s="563">
        <v>50373473</v>
      </c>
      <c r="F11" s="563">
        <v>44868501</v>
      </c>
      <c r="G11" s="563">
        <v>46446356</v>
      </c>
      <c r="H11" s="563">
        <v>49320746</v>
      </c>
      <c r="I11" s="563">
        <v>60850361</v>
      </c>
      <c r="J11" s="563">
        <v>67903222</v>
      </c>
      <c r="K11" s="563">
        <v>70672450</v>
      </c>
      <c r="L11" s="563">
        <v>75068603</v>
      </c>
      <c r="M11" s="563">
        <v>71110760</v>
      </c>
      <c r="N11" s="562">
        <f t="shared" si="0"/>
        <v>763468518</v>
      </c>
    </row>
    <row r="12" spans="1:14">
      <c r="A12" s="585" t="s">
        <v>453</v>
      </c>
      <c r="B12" s="585">
        <v>88241367</v>
      </c>
      <c r="C12" s="585">
        <v>78212832</v>
      </c>
      <c r="D12" s="585">
        <v>65756212</v>
      </c>
      <c r="E12" s="585">
        <v>49699082</v>
      </c>
      <c r="F12" s="585">
        <v>44187689</v>
      </c>
      <c r="G12" s="585">
        <v>44058025</v>
      </c>
      <c r="H12" s="585">
        <v>60197527</v>
      </c>
      <c r="I12" s="585">
        <v>72846885</v>
      </c>
      <c r="J12" s="585">
        <v>71536076</v>
      </c>
      <c r="K12" s="585">
        <v>79624194</v>
      </c>
      <c r="L12" s="585">
        <v>77352417</v>
      </c>
      <c r="M12" s="585">
        <v>95226339</v>
      </c>
      <c r="N12" s="584">
        <f t="shared" si="0"/>
        <v>826938645</v>
      </c>
    </row>
    <row r="13" spans="1:14">
      <c r="A13" s="560" t="s">
        <v>454</v>
      </c>
      <c r="B13" s="560">
        <v>87427743</v>
      </c>
      <c r="C13" s="560">
        <v>59755323</v>
      </c>
      <c r="D13" s="560">
        <v>58031929</v>
      </c>
      <c r="E13" s="560">
        <v>46347956</v>
      </c>
      <c r="F13" s="560">
        <v>37703749</v>
      </c>
      <c r="G13" s="560">
        <v>37708430</v>
      </c>
      <c r="H13" s="560">
        <v>55521091</v>
      </c>
      <c r="I13" s="560">
        <v>58198433</v>
      </c>
      <c r="J13" s="560">
        <v>54459416</v>
      </c>
      <c r="K13" s="560">
        <v>72091446</v>
      </c>
      <c r="L13" s="560">
        <v>60558537</v>
      </c>
      <c r="M13" s="560">
        <v>75070266</v>
      </c>
      <c r="N13" s="559">
        <f t="shared" si="0"/>
        <v>702874319</v>
      </c>
    </row>
    <row r="14" spans="1:14">
      <c r="A14" s="557" t="s">
        <v>455</v>
      </c>
      <c r="B14" s="557">
        <v>75616886</v>
      </c>
      <c r="C14" s="557">
        <v>51315190</v>
      </c>
      <c r="D14" s="557">
        <v>51796107</v>
      </c>
      <c r="E14" s="557">
        <v>41676648</v>
      </c>
      <c r="F14" s="557">
        <v>31936046</v>
      </c>
      <c r="G14" s="557">
        <v>51231152</v>
      </c>
      <c r="H14" s="557">
        <v>61362034</v>
      </c>
      <c r="I14" s="557">
        <v>59130195</v>
      </c>
      <c r="J14" s="557">
        <v>66035289</v>
      </c>
      <c r="K14" s="557">
        <v>68857088</v>
      </c>
      <c r="L14" s="557">
        <v>77992330</v>
      </c>
      <c r="M14" s="557">
        <v>86761421</v>
      </c>
      <c r="N14" s="556">
        <f t="shared" si="0"/>
        <v>723710386</v>
      </c>
    </row>
    <row r="15" spans="1:14">
      <c r="A15" s="554" t="s">
        <v>424</v>
      </c>
      <c r="B15" s="554">
        <v>74444074</v>
      </c>
      <c r="C15" s="554">
        <v>64809387</v>
      </c>
      <c r="D15" s="554">
        <v>59588683</v>
      </c>
      <c r="E15" s="554">
        <v>47598976</v>
      </c>
      <c r="F15" s="554">
        <v>54801370</v>
      </c>
      <c r="G15" s="554">
        <v>52151193</v>
      </c>
      <c r="H15" s="554">
        <v>62547279</v>
      </c>
      <c r="I15" s="554">
        <v>69516834</v>
      </c>
      <c r="J15" s="554">
        <v>74442361</v>
      </c>
      <c r="K15" s="554">
        <v>63557553</v>
      </c>
      <c r="L15" s="554">
        <v>66876889</v>
      </c>
      <c r="M15" s="554">
        <v>78450198</v>
      </c>
      <c r="N15" s="553">
        <f t="shared" si="0"/>
        <v>768784797</v>
      </c>
    </row>
    <row r="16" spans="1:14">
      <c r="A16" s="583" t="s">
        <v>456</v>
      </c>
      <c r="B16" s="583">
        <v>66237751</v>
      </c>
      <c r="C16" s="583">
        <v>57572266</v>
      </c>
      <c r="D16" s="583">
        <v>50986998</v>
      </c>
      <c r="E16" s="583">
        <v>34855762</v>
      </c>
      <c r="F16" s="583">
        <v>39538344</v>
      </c>
      <c r="G16" s="583">
        <v>40783576</v>
      </c>
      <c r="H16" s="583">
        <v>50501898</v>
      </c>
      <c r="I16" s="583">
        <v>66803231</v>
      </c>
      <c r="J16" s="583">
        <v>47266026</v>
      </c>
      <c r="K16" s="583">
        <v>52580575</v>
      </c>
      <c r="L16" s="583">
        <v>50386076</v>
      </c>
      <c r="M16" s="583">
        <v>52476547</v>
      </c>
      <c r="N16" s="582">
        <f t="shared" si="0"/>
        <v>609989050</v>
      </c>
    </row>
    <row r="17" spans="1:14">
      <c r="A17" s="548" t="s">
        <v>426</v>
      </c>
      <c r="B17" s="548">
        <v>58207727</v>
      </c>
      <c r="C17" s="548">
        <v>43151869</v>
      </c>
      <c r="D17" s="548">
        <v>36982589</v>
      </c>
      <c r="E17" s="548">
        <v>28578036</v>
      </c>
      <c r="F17" s="548">
        <v>30977725</v>
      </c>
      <c r="G17" s="548">
        <v>32875327</v>
      </c>
      <c r="H17" s="548">
        <v>44355747</v>
      </c>
      <c r="I17" s="548">
        <v>47179910</v>
      </c>
      <c r="J17" s="548">
        <v>55200958</v>
      </c>
      <c r="K17" s="548">
        <v>43845171</v>
      </c>
      <c r="L17" s="548">
        <v>51855720</v>
      </c>
      <c r="M17" s="548">
        <v>52208226</v>
      </c>
      <c r="N17" s="547">
        <f t="shared" si="0"/>
        <v>525419005</v>
      </c>
    </row>
    <row r="18" spans="1:14">
      <c r="A18" s="545" t="s">
        <v>457</v>
      </c>
      <c r="B18" s="545">
        <v>51492860</v>
      </c>
      <c r="C18" s="545">
        <v>50417803</v>
      </c>
      <c r="D18" s="545">
        <v>44098399</v>
      </c>
      <c r="E18" s="545">
        <v>30349941</v>
      </c>
      <c r="F18" s="545">
        <v>38141122</v>
      </c>
      <c r="G18" s="545">
        <v>42602262</v>
      </c>
      <c r="H18" s="545">
        <v>51402687</v>
      </c>
      <c r="I18" s="545">
        <v>65240249</v>
      </c>
      <c r="J18" s="545">
        <v>61012797</v>
      </c>
      <c r="K18" s="545">
        <v>62341698</v>
      </c>
      <c r="L18" s="545">
        <v>41304362</v>
      </c>
      <c r="M18" s="545">
        <v>56645428</v>
      </c>
      <c r="N18" s="544">
        <f t="shared" si="0"/>
        <v>595049608</v>
      </c>
    </row>
    <row r="19" spans="1:14">
      <c r="A19" s="542" t="s">
        <v>458</v>
      </c>
      <c r="B19" s="542">
        <v>47461324</v>
      </c>
      <c r="C19" s="542">
        <v>36683886</v>
      </c>
      <c r="D19" s="542">
        <v>35734532</v>
      </c>
      <c r="E19" s="542">
        <v>33349739</v>
      </c>
      <c r="F19" s="542">
        <v>33826783</v>
      </c>
      <c r="G19" s="542">
        <v>44636952</v>
      </c>
      <c r="H19" s="542">
        <v>42496529</v>
      </c>
      <c r="I19" s="542">
        <v>42793499</v>
      </c>
      <c r="J19" s="542">
        <v>49619180</v>
      </c>
      <c r="K19" s="542">
        <v>46244271</v>
      </c>
      <c r="L19" s="542">
        <v>35231865</v>
      </c>
      <c r="M19" s="542">
        <v>44778668</v>
      </c>
      <c r="N19" s="541">
        <v>492857228</v>
      </c>
    </row>
    <row r="20" spans="1:14">
      <c r="A20" s="539" t="s">
        <v>459</v>
      </c>
      <c r="B20" s="539">
        <v>31042061</v>
      </c>
      <c r="C20" s="539">
        <v>27066923</v>
      </c>
      <c r="D20" s="539">
        <v>26756451</v>
      </c>
      <c r="E20" s="539">
        <v>18239616</v>
      </c>
      <c r="F20" s="539">
        <v>26690377</v>
      </c>
      <c r="G20" s="539">
        <v>30331535</v>
      </c>
      <c r="H20" s="539">
        <v>32356018</v>
      </c>
      <c r="I20" s="539">
        <v>44304841</v>
      </c>
      <c r="J20" s="539">
        <v>30263800</v>
      </c>
      <c r="K20" s="539">
        <v>35452809</v>
      </c>
      <c r="L20" s="539">
        <v>28331029</v>
      </c>
      <c r="M20" s="539">
        <v>33913506</v>
      </c>
      <c r="N20" s="538">
        <f>SUM(B20+C20+D20+E20+F20+G20+H20+I20+J20+K20+L20+M20)</f>
        <v>364748966</v>
      </c>
    </row>
    <row r="21" spans="1:14">
      <c r="A21" s="581" t="s">
        <v>460</v>
      </c>
      <c r="B21" s="581">
        <v>31161196</v>
      </c>
      <c r="C21" s="581">
        <v>20713298</v>
      </c>
      <c r="D21" s="581">
        <v>26731262</v>
      </c>
      <c r="E21" s="581">
        <v>21626598</v>
      </c>
      <c r="F21" s="581">
        <v>29839627</v>
      </c>
      <c r="G21" s="581">
        <v>21775763</v>
      </c>
      <c r="H21" s="581">
        <v>26707567</v>
      </c>
      <c r="I21" s="581">
        <v>23738766</v>
      </c>
      <c r="J21" s="581">
        <v>23886780</v>
      </c>
      <c r="K21" s="581">
        <v>29044433</v>
      </c>
      <c r="L21" s="581">
        <v>32105175</v>
      </c>
      <c r="M21" s="581">
        <v>27252436</v>
      </c>
      <c r="N21" s="580">
        <f>SUM(B21:M21)</f>
        <v>314582901</v>
      </c>
    </row>
    <row r="22" spans="1:14">
      <c r="A22" s="534" t="s">
        <v>461</v>
      </c>
      <c r="B22" s="534">
        <v>22199024</v>
      </c>
      <c r="C22" s="534">
        <v>25333401</v>
      </c>
      <c r="D22" s="534">
        <v>22954157</v>
      </c>
      <c r="E22" s="534">
        <v>23486387</v>
      </c>
      <c r="F22" s="534">
        <v>27771038</v>
      </c>
      <c r="G22" s="534">
        <v>20360406</v>
      </c>
      <c r="H22" s="534">
        <v>31965702</v>
      </c>
      <c r="I22" s="534">
        <v>29025147</v>
      </c>
      <c r="J22" s="534">
        <v>35651016</v>
      </c>
      <c r="K22" s="534">
        <v>36515992</v>
      </c>
      <c r="L22" s="534">
        <v>44477712</v>
      </c>
      <c r="M22" s="534">
        <v>29855823</v>
      </c>
      <c r="N22" s="534">
        <f>SUM(B22:M22)</f>
        <v>349595805</v>
      </c>
    </row>
    <row r="23" spans="1:14">
      <c r="A23" s="604" t="s">
        <v>443</v>
      </c>
      <c r="B23" s="605">
        <v>46519685</v>
      </c>
      <c r="C23" s="605">
        <v>30712822</v>
      </c>
      <c r="D23" s="605">
        <v>26849916</v>
      </c>
      <c r="E23" s="605">
        <v>34534661</v>
      </c>
      <c r="F23" s="605">
        <v>36571253</v>
      </c>
      <c r="G23" s="605">
        <v>28429967</v>
      </c>
      <c r="H23" s="605">
        <v>30116716</v>
      </c>
      <c r="I23" s="605">
        <v>38368771</v>
      </c>
      <c r="J23" s="605">
        <v>30676800</v>
      </c>
      <c r="K23" s="605">
        <v>21660617</v>
      </c>
      <c r="L23" s="605">
        <v>22312430</v>
      </c>
      <c r="M23" s="605">
        <v>26688780</v>
      </c>
      <c r="N23" s="605">
        <f>SUM(B23:M23)</f>
        <v>373442418</v>
      </c>
    </row>
    <row r="24" spans="1:14">
      <c r="A24" s="675" t="s">
        <v>444</v>
      </c>
      <c r="B24" s="677">
        <v>26916095</v>
      </c>
      <c r="C24" s="677">
        <v>22507201</v>
      </c>
      <c r="D24" s="677">
        <v>25084191</v>
      </c>
      <c r="E24" s="677">
        <v>19690715</v>
      </c>
      <c r="F24" s="677">
        <v>22576900</v>
      </c>
      <c r="G24" s="677">
        <v>30627406</v>
      </c>
      <c r="H24" s="677">
        <v>16543352</v>
      </c>
      <c r="I24" s="677">
        <v>32422394</v>
      </c>
      <c r="J24" s="677">
        <v>15807907</v>
      </c>
      <c r="K24" s="677">
        <v>24313565</v>
      </c>
      <c r="L24" s="677">
        <v>21989333</v>
      </c>
      <c r="M24" s="677">
        <v>33034391</v>
      </c>
      <c r="N24" s="677">
        <v>291513450</v>
      </c>
    </row>
    <row r="25" spans="1:14">
      <c r="A25" s="680" t="s">
        <v>434</v>
      </c>
      <c r="B25" s="682">
        <v>15318880</v>
      </c>
      <c r="C25" s="682">
        <v>26513908</v>
      </c>
      <c r="D25" s="682">
        <v>18670330</v>
      </c>
      <c r="E25" s="682">
        <v>14496754</v>
      </c>
      <c r="F25" s="682">
        <v>20845557</v>
      </c>
      <c r="G25" s="682">
        <v>18694572</v>
      </c>
      <c r="H25" s="682">
        <v>27718839</v>
      </c>
      <c r="I25" s="682">
        <v>26266089</v>
      </c>
      <c r="J25" s="682">
        <v>20331217</v>
      </c>
      <c r="K25" s="682">
        <v>12892846</v>
      </c>
      <c r="L25" s="682">
        <v>17550973</v>
      </c>
      <c r="M25" s="682">
        <v>25687277</v>
      </c>
      <c r="N25" s="682">
        <f>SUM(B25:M25)</f>
        <v>244987242</v>
      </c>
    </row>
    <row r="26" spans="1:14">
      <c r="A26" s="385" t="s">
        <v>462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9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3" t="s">
        <v>463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33" t="s">
        <v>245</v>
      </c>
      <c r="B29" s="133" t="s">
        <v>246</v>
      </c>
      <c r="C29" s="133" t="s">
        <v>247</v>
      </c>
      <c r="D29" s="133" t="s">
        <v>248</v>
      </c>
      <c r="E29" s="133" t="s">
        <v>464</v>
      </c>
      <c r="F29" s="133" t="s">
        <v>465</v>
      </c>
      <c r="G29" s="133" t="s">
        <v>251</v>
      </c>
      <c r="H29" s="133" t="s">
        <v>252</v>
      </c>
      <c r="I29" s="133" t="s">
        <v>417</v>
      </c>
      <c r="J29" s="133" t="s">
        <v>466</v>
      </c>
      <c r="K29" s="133" t="s">
        <v>254</v>
      </c>
      <c r="L29" s="133" t="s">
        <v>467</v>
      </c>
      <c r="M29" s="133" t="s">
        <v>256</v>
      </c>
      <c r="N29" s="133" t="s">
        <v>265</v>
      </c>
    </row>
    <row r="30" spans="1:14" s="679" customFormat="1">
      <c r="A30" s="684" t="s">
        <v>442</v>
      </c>
      <c r="B30" s="685">
        <v>5857504</v>
      </c>
      <c r="C30" s="685">
        <v>5252893</v>
      </c>
      <c r="D30" s="685">
        <v>11016807</v>
      </c>
      <c r="E30" s="685">
        <v>7866332</v>
      </c>
      <c r="F30" s="685">
        <v>5526792</v>
      </c>
      <c r="G30" s="685">
        <v>4203044</v>
      </c>
      <c r="H30" s="685">
        <v>9361568</v>
      </c>
      <c r="I30" s="685">
        <v>8543411</v>
      </c>
      <c r="J30" s="685">
        <v>9523276</v>
      </c>
      <c r="K30" s="685">
        <v>8612329</v>
      </c>
      <c r="L30" s="685">
        <v>7710674</v>
      </c>
      <c r="M30" s="685">
        <v>6038857</v>
      </c>
      <c r="N30" s="685">
        <f>SUM(B30:M30)</f>
        <v>89513487</v>
      </c>
    </row>
    <row r="31" spans="1:14" s="679" customFormat="1">
      <c r="A31" s="686" t="s">
        <v>468</v>
      </c>
      <c r="B31" s="687">
        <v>7936304</v>
      </c>
      <c r="C31" s="687">
        <v>5712159</v>
      </c>
      <c r="D31" s="687">
        <v>3821690</v>
      </c>
      <c r="E31" s="687">
        <v>6900361</v>
      </c>
      <c r="F31" s="687">
        <v>5177828</v>
      </c>
      <c r="G31" s="687">
        <v>8257860</v>
      </c>
      <c r="H31" s="687">
        <v>5662431</v>
      </c>
      <c r="I31" s="687">
        <v>9021623</v>
      </c>
      <c r="J31" s="687">
        <v>5781121</v>
      </c>
      <c r="K31" s="687">
        <v>4416946</v>
      </c>
      <c r="L31" s="687">
        <v>4865240</v>
      </c>
      <c r="M31" s="687">
        <v>2420765</v>
      </c>
      <c r="N31" s="685">
        <f>SUM(B31:M31)</f>
        <v>69974328</v>
      </c>
    </row>
    <row r="32" spans="1:14">
      <c r="A32" s="686" t="s">
        <v>469</v>
      </c>
      <c r="B32" s="687">
        <v>4135119</v>
      </c>
      <c r="C32" s="687">
        <v>4837998</v>
      </c>
      <c r="D32" s="687">
        <v>3651505</v>
      </c>
      <c r="E32" s="687">
        <v>4653150</v>
      </c>
      <c r="F32" s="687">
        <v>3565146</v>
      </c>
      <c r="G32" s="687">
        <v>5777723</v>
      </c>
      <c r="H32" s="687">
        <v>4902586</v>
      </c>
      <c r="I32" s="687">
        <v>5527497</v>
      </c>
      <c r="J32" s="687">
        <v>4218619</v>
      </c>
      <c r="K32" s="687">
        <v>4348763</v>
      </c>
      <c r="L32" s="687">
        <v>4941996</v>
      </c>
      <c r="M32" s="687">
        <v>4801415</v>
      </c>
      <c r="N32" s="687">
        <v>55361517</v>
      </c>
    </row>
    <row r="33" spans="1:14">
      <c r="A33" s="686" t="s">
        <v>434</v>
      </c>
      <c r="B33" s="687">
        <v>3605262</v>
      </c>
      <c r="C33" s="687">
        <v>4893166</v>
      </c>
      <c r="D33" s="687">
        <v>3641935</v>
      </c>
      <c r="E33" s="687">
        <v>2251685</v>
      </c>
      <c r="F33" s="687">
        <v>2310823</v>
      </c>
      <c r="G33" s="687">
        <v>2090657</v>
      </c>
      <c r="H33" s="687">
        <v>5464717</v>
      </c>
      <c r="I33" s="687">
        <v>8685829</v>
      </c>
      <c r="J33" s="687">
        <v>7884047</v>
      </c>
      <c r="K33" s="687">
        <v>3632262</v>
      </c>
      <c r="L33" s="687">
        <v>3917797</v>
      </c>
      <c r="M33" s="687">
        <v>4004879</v>
      </c>
      <c r="N33" s="687">
        <f>SUM(B33:M33)</f>
        <v>52383059</v>
      </c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K47" s="4"/>
      <c r="L47" s="4"/>
      <c r="M47" s="4"/>
      <c r="N47" s="4"/>
    </row>
    <row r="54" spans="1:10">
      <c r="A54" s="781" t="s">
        <v>470</v>
      </c>
      <c r="B54" s="781"/>
      <c r="C54" s="781"/>
      <c r="D54" s="781"/>
      <c r="E54" s="781"/>
      <c r="F54" s="781"/>
      <c r="G54" s="781"/>
      <c r="H54" s="781"/>
      <c r="I54" s="781"/>
      <c r="J54" s="781"/>
    </row>
  </sheetData>
  <mergeCells count="2">
    <mergeCell ref="A1:N1"/>
    <mergeCell ref="A54:J54"/>
  </mergeCells>
  <phoneticPr fontId="3" type="noConversion"/>
  <pageMargins left="0.4" right="0.33" top="0.39" bottom="0.35" header="0.25" footer="0.22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6"/>
  <sheetViews>
    <sheetView topLeftCell="A36" zoomScaleNormal="100" workbookViewId="0">
      <selection activeCell="N25" sqref="N25"/>
    </sheetView>
  </sheetViews>
  <sheetFormatPr defaultRowHeight="16.5"/>
  <cols>
    <col min="2" max="14" width="11.5" customWidth="1"/>
  </cols>
  <sheetData>
    <row r="1" spans="1:14">
      <c r="A1" s="780" t="s">
        <v>471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4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472</v>
      </c>
      <c r="H2" s="133" t="s">
        <v>252</v>
      </c>
      <c r="I2" s="133" t="s">
        <v>417</v>
      </c>
      <c r="J2" s="133" t="s">
        <v>253</v>
      </c>
      <c r="K2" s="133" t="s">
        <v>254</v>
      </c>
      <c r="L2" s="133" t="s">
        <v>255</v>
      </c>
      <c r="M2" s="133" t="s">
        <v>256</v>
      </c>
      <c r="N2" s="688" t="s">
        <v>257</v>
      </c>
    </row>
    <row r="3" spans="1:14">
      <c r="A3" s="472" t="s">
        <v>258</v>
      </c>
      <c r="B3" s="472">
        <v>141.46</v>
      </c>
      <c r="C3" s="472">
        <v>144.06</v>
      </c>
      <c r="D3" s="472">
        <v>142.54</v>
      </c>
      <c r="E3" s="472">
        <v>125.93</v>
      </c>
      <c r="F3" s="472">
        <v>100.46</v>
      </c>
      <c r="G3" s="472">
        <v>101.64</v>
      </c>
      <c r="H3" s="472">
        <v>99.94</v>
      </c>
      <c r="I3" s="472">
        <v>128.41999999999999</v>
      </c>
      <c r="J3" s="472">
        <v>129.82</v>
      </c>
      <c r="K3" s="472">
        <v>130.87</v>
      </c>
      <c r="L3" s="472">
        <v>162.15</v>
      </c>
      <c r="M3" s="472">
        <v>175.26</v>
      </c>
      <c r="N3" s="689">
        <f>[33]金額!N3/[33]數量!N3</f>
        <v>134.52756014879978</v>
      </c>
    </row>
    <row r="4" spans="1:14">
      <c r="A4" s="474" t="s">
        <v>418</v>
      </c>
      <c r="B4" s="474">
        <v>153.04</v>
      </c>
      <c r="C4" s="474">
        <v>144.49</v>
      </c>
      <c r="D4" s="474">
        <v>149.11000000000001</v>
      </c>
      <c r="E4" s="474">
        <v>136.04</v>
      </c>
      <c r="F4" s="474">
        <v>122.18</v>
      </c>
      <c r="G4" s="474">
        <v>112.47</v>
      </c>
      <c r="H4" s="474">
        <v>116.84</v>
      </c>
      <c r="I4" s="474">
        <v>128.71</v>
      </c>
      <c r="J4" s="474">
        <v>128.11000000000001</v>
      </c>
      <c r="K4" s="474">
        <v>153.38999999999999</v>
      </c>
      <c r="L4" s="474">
        <v>176.62</v>
      </c>
      <c r="M4" s="474">
        <v>176.53</v>
      </c>
      <c r="N4" s="690">
        <f>[33]金額!N4/[33]數量!N4</f>
        <v>143.75144674182297</v>
      </c>
    </row>
    <row r="5" spans="1:14">
      <c r="A5" s="475" t="s">
        <v>259</v>
      </c>
      <c r="B5" s="475">
        <v>160.53</v>
      </c>
      <c r="C5" s="475">
        <v>145.74</v>
      </c>
      <c r="D5" s="475">
        <v>149.31</v>
      </c>
      <c r="E5" s="475">
        <v>141.49</v>
      </c>
      <c r="F5" s="475">
        <v>138.09</v>
      </c>
      <c r="G5" s="475">
        <v>126.73</v>
      </c>
      <c r="H5" s="475">
        <v>121.78</v>
      </c>
      <c r="I5" s="475">
        <v>159.59</v>
      </c>
      <c r="J5" s="475">
        <v>154.57</v>
      </c>
      <c r="K5" s="475">
        <v>157.38</v>
      </c>
      <c r="L5" s="475">
        <v>204.16</v>
      </c>
      <c r="M5" s="475">
        <v>186.88</v>
      </c>
      <c r="N5" s="691">
        <f>[33]金額!N5/[33]數量!N5</f>
        <v>154.46767504437389</v>
      </c>
    </row>
    <row r="6" spans="1:14">
      <c r="A6" s="476" t="s">
        <v>473</v>
      </c>
      <c r="B6" s="476">
        <v>149.57</v>
      </c>
      <c r="C6" s="476">
        <v>157.41</v>
      </c>
      <c r="D6" s="476">
        <v>157.38999999999999</v>
      </c>
      <c r="E6" s="477">
        <v>129.57</v>
      </c>
      <c r="F6" s="476">
        <v>134.16</v>
      </c>
      <c r="G6" s="476">
        <v>116.47</v>
      </c>
      <c r="H6" s="476">
        <v>133.47999999999999</v>
      </c>
      <c r="I6" s="476">
        <v>160.58000000000001</v>
      </c>
      <c r="J6" s="477">
        <v>150.41</v>
      </c>
      <c r="K6" s="476">
        <v>176.97</v>
      </c>
      <c r="L6" s="476">
        <v>211.86</v>
      </c>
      <c r="M6" s="476">
        <v>192</v>
      </c>
      <c r="N6" s="692">
        <f>[33]金額!N6/[33]數量!N6</f>
        <v>155.39558688751669</v>
      </c>
    </row>
    <row r="7" spans="1:14">
      <c r="A7" s="472" t="s">
        <v>474</v>
      </c>
      <c r="B7" s="472">
        <v>164.54</v>
      </c>
      <c r="C7" s="472">
        <v>169.99</v>
      </c>
      <c r="D7" s="472">
        <v>171.03</v>
      </c>
      <c r="E7" s="472">
        <v>150.38999999999999</v>
      </c>
      <c r="F7" s="472">
        <v>130.12</v>
      </c>
      <c r="G7" s="472">
        <v>138.38</v>
      </c>
      <c r="H7" s="472">
        <v>167.96</v>
      </c>
      <c r="I7" s="472">
        <v>173.95</v>
      </c>
      <c r="J7" s="472">
        <v>158.55000000000001</v>
      </c>
      <c r="K7" s="472">
        <v>185.23</v>
      </c>
      <c r="L7" s="472">
        <v>209.13</v>
      </c>
      <c r="M7" s="472">
        <v>208.56</v>
      </c>
      <c r="N7" s="689">
        <f>[33]金額!N7/[33]數量!N7</f>
        <v>169.59818878222217</v>
      </c>
    </row>
    <row r="8" spans="1:14">
      <c r="A8" s="478" t="s">
        <v>261</v>
      </c>
      <c r="B8" s="479">
        <v>165.81</v>
      </c>
      <c r="C8" s="478">
        <v>173.5</v>
      </c>
      <c r="D8" s="478">
        <v>181.89</v>
      </c>
      <c r="E8" s="478">
        <v>186.27</v>
      </c>
      <c r="F8" s="478">
        <v>171.99</v>
      </c>
      <c r="G8" s="478">
        <v>207.26</v>
      </c>
      <c r="H8" s="478">
        <v>208.22</v>
      </c>
      <c r="I8" s="478">
        <v>205.32</v>
      </c>
      <c r="J8" s="478">
        <v>224.07</v>
      </c>
      <c r="K8" s="478">
        <v>212.74</v>
      </c>
      <c r="L8" s="478">
        <v>245.56</v>
      </c>
      <c r="M8" s="478">
        <v>236.12</v>
      </c>
      <c r="N8" s="693">
        <f>[33]金額!N8/[33]數量!N8</f>
        <v>199.99730195641334</v>
      </c>
    </row>
    <row r="9" spans="1:14">
      <c r="A9" s="480" t="s">
        <v>262</v>
      </c>
      <c r="B9" s="480">
        <v>204.27</v>
      </c>
      <c r="C9" s="480">
        <v>223.18</v>
      </c>
      <c r="D9" s="480">
        <v>222.21</v>
      </c>
      <c r="E9" s="480">
        <v>217.07</v>
      </c>
      <c r="F9" s="480">
        <v>187.34</v>
      </c>
      <c r="G9" s="480">
        <v>212.02</v>
      </c>
      <c r="H9" s="480">
        <v>223.58</v>
      </c>
      <c r="I9" s="480">
        <v>231.6</v>
      </c>
      <c r="J9" s="480">
        <v>227.97</v>
      </c>
      <c r="K9" s="480">
        <v>211.47</v>
      </c>
      <c r="L9" s="480">
        <v>241.16</v>
      </c>
      <c r="M9" s="480">
        <v>256.79000000000002</v>
      </c>
      <c r="N9" s="694">
        <f>[33]金額!N9/[33]數量!N9</f>
        <v>222.72363337417121</v>
      </c>
    </row>
    <row r="10" spans="1:14">
      <c r="A10" s="474" t="s">
        <v>263</v>
      </c>
      <c r="B10" s="474">
        <v>237.17</v>
      </c>
      <c r="C10" s="474">
        <v>236</v>
      </c>
      <c r="D10" s="474">
        <v>217.59</v>
      </c>
      <c r="E10" s="474">
        <v>205.87</v>
      </c>
      <c r="F10" s="474">
        <v>178.41</v>
      </c>
      <c r="G10" s="474">
        <v>192.37</v>
      </c>
      <c r="H10" s="474">
        <v>202.8</v>
      </c>
      <c r="I10" s="474">
        <v>213.03</v>
      </c>
      <c r="J10" s="474">
        <v>209.82</v>
      </c>
      <c r="K10" s="474">
        <v>246.43</v>
      </c>
      <c r="L10" s="474">
        <v>259.91000000000003</v>
      </c>
      <c r="M10" s="474">
        <v>300.64999999999998</v>
      </c>
      <c r="N10" s="690">
        <f>[33]金額!N10/[33]數量!N10</f>
        <v>226.10782881231597</v>
      </c>
    </row>
    <row r="11" spans="1:14">
      <c r="A11" s="475" t="s">
        <v>264</v>
      </c>
      <c r="B11" s="475">
        <v>259.81</v>
      </c>
      <c r="C11" s="475">
        <v>248.67</v>
      </c>
      <c r="D11" s="475">
        <v>266</v>
      </c>
      <c r="E11" s="475">
        <v>232.27</v>
      </c>
      <c r="F11" s="475">
        <v>233.08</v>
      </c>
      <c r="G11" s="475">
        <v>263.45999999999998</v>
      </c>
      <c r="H11" s="475">
        <v>288.98</v>
      </c>
      <c r="I11" s="475">
        <v>310.97000000000003</v>
      </c>
      <c r="J11" s="475">
        <v>296.92</v>
      </c>
      <c r="K11" s="475">
        <v>322.37</v>
      </c>
      <c r="L11" s="475">
        <v>306.01</v>
      </c>
      <c r="M11" s="475">
        <v>316.63</v>
      </c>
      <c r="N11" s="691">
        <f>[33]金額!N11/[33]數量!N11</f>
        <v>277.95876938737689</v>
      </c>
    </row>
    <row r="12" spans="1:14">
      <c r="A12" s="472" t="s">
        <v>475</v>
      </c>
      <c r="B12" s="533">
        <v>320.60000000000002</v>
      </c>
      <c r="C12" s="472">
        <v>317.33999999999997</v>
      </c>
      <c r="D12" s="472">
        <v>305.48</v>
      </c>
      <c r="E12" s="472">
        <v>270.52999999999997</v>
      </c>
      <c r="F12" s="472">
        <v>278.42</v>
      </c>
      <c r="G12" s="472">
        <v>269.18</v>
      </c>
      <c r="H12" s="472">
        <v>324.33999999999997</v>
      </c>
      <c r="I12" s="472">
        <v>336.14</v>
      </c>
      <c r="J12" s="472">
        <v>364.84</v>
      </c>
      <c r="K12" s="472">
        <v>337.53</v>
      </c>
      <c r="L12" s="472">
        <v>389.65</v>
      </c>
      <c r="M12" s="472">
        <v>397.17</v>
      </c>
      <c r="N12" s="689">
        <f>[33]金額!N12/[33]數量!N12</f>
        <v>328.72082137805859</v>
      </c>
    </row>
    <row r="13" spans="1:14">
      <c r="A13" s="481" t="s">
        <v>454</v>
      </c>
      <c r="B13" s="481">
        <v>351.02</v>
      </c>
      <c r="C13" s="481">
        <v>318.91000000000003</v>
      </c>
      <c r="D13" s="481">
        <v>329.07</v>
      </c>
      <c r="E13" s="481">
        <v>312.72000000000003</v>
      </c>
      <c r="F13" s="481">
        <v>309.22000000000003</v>
      </c>
      <c r="G13" s="481">
        <v>300.14999999999998</v>
      </c>
      <c r="H13" s="481">
        <v>338.9</v>
      </c>
      <c r="I13" s="481">
        <v>408.12</v>
      </c>
      <c r="J13" s="481">
        <v>358.13</v>
      </c>
      <c r="K13" s="481">
        <v>384.88</v>
      </c>
      <c r="L13" s="481">
        <v>416.43</v>
      </c>
      <c r="M13" s="481">
        <v>414.61</v>
      </c>
      <c r="N13" s="695">
        <f>[33]金額!N13/[33]數量!N13</f>
        <v>354.83344784605856</v>
      </c>
    </row>
    <row r="14" spans="1:14">
      <c r="A14" s="482" t="s">
        <v>476</v>
      </c>
      <c r="B14" s="482">
        <v>332.02</v>
      </c>
      <c r="C14" s="482">
        <v>329.59</v>
      </c>
      <c r="D14" s="482">
        <v>299.16000000000003</v>
      </c>
      <c r="E14" s="482">
        <v>279.02</v>
      </c>
      <c r="F14" s="482">
        <v>299.23</v>
      </c>
      <c r="G14" s="482">
        <v>412.75</v>
      </c>
      <c r="H14" s="482">
        <v>426.56</v>
      </c>
      <c r="I14" s="482">
        <v>344.16</v>
      </c>
      <c r="J14" s="482">
        <v>373.86</v>
      </c>
      <c r="K14" s="482">
        <v>361.78</v>
      </c>
      <c r="L14" s="482">
        <v>398.99</v>
      </c>
      <c r="M14" s="482">
        <v>328.66</v>
      </c>
      <c r="N14" s="696">
        <f>[33]金額!N14/[33]數量!N14</f>
        <v>348.12497011613459</v>
      </c>
    </row>
    <row r="15" spans="1:14">
      <c r="A15" s="483" t="s">
        <v>424</v>
      </c>
      <c r="B15" s="483">
        <v>261.33</v>
      </c>
      <c r="C15" s="483">
        <v>280.02999999999997</v>
      </c>
      <c r="D15" s="483">
        <v>290.57</v>
      </c>
      <c r="E15" s="483">
        <v>294.39999999999998</v>
      </c>
      <c r="F15" s="483">
        <v>277.27</v>
      </c>
      <c r="G15" s="483">
        <v>364.24</v>
      </c>
      <c r="H15" s="483">
        <v>424.4</v>
      </c>
      <c r="I15" s="483">
        <v>424.05</v>
      </c>
      <c r="J15" s="483">
        <v>415.89</v>
      </c>
      <c r="K15" s="483">
        <v>422.68</v>
      </c>
      <c r="L15" s="483">
        <v>461.5</v>
      </c>
      <c r="M15" s="483">
        <v>401.09</v>
      </c>
      <c r="N15" s="697">
        <f>[33]金額!N15/[33]數量!N15</f>
        <v>348.64511732992781</v>
      </c>
    </row>
    <row r="16" spans="1:14">
      <c r="A16" s="484" t="s">
        <v>456</v>
      </c>
      <c r="B16" s="484">
        <v>329.73</v>
      </c>
      <c r="C16" s="484">
        <v>325.29000000000002</v>
      </c>
      <c r="D16" s="484">
        <v>338.49</v>
      </c>
      <c r="E16" s="484">
        <v>305.76</v>
      </c>
      <c r="F16" s="484">
        <v>281.88</v>
      </c>
      <c r="G16" s="484">
        <v>400.62</v>
      </c>
      <c r="H16" s="484">
        <v>405.49</v>
      </c>
      <c r="I16" s="484">
        <v>442.98</v>
      </c>
      <c r="J16" s="484">
        <v>458.56</v>
      </c>
      <c r="K16" s="484">
        <v>411.46</v>
      </c>
      <c r="L16" s="484">
        <v>496.98</v>
      </c>
      <c r="M16" s="484">
        <v>404.24</v>
      </c>
      <c r="N16" s="698">
        <f>[33]金額!N16/[33]數量!N16</f>
        <v>376.07680119360288</v>
      </c>
    </row>
    <row r="17" spans="1:15">
      <c r="A17" s="485" t="s">
        <v>426</v>
      </c>
      <c r="B17" s="485">
        <v>329.72</v>
      </c>
      <c r="C17" s="485">
        <v>290.31</v>
      </c>
      <c r="D17" s="485">
        <v>333.24</v>
      </c>
      <c r="E17" s="485">
        <v>343.06</v>
      </c>
      <c r="F17" s="485">
        <v>359.12</v>
      </c>
      <c r="G17" s="485">
        <v>492.92</v>
      </c>
      <c r="H17" s="485">
        <v>547.19000000000005</v>
      </c>
      <c r="I17" s="485">
        <v>503.28</v>
      </c>
      <c r="J17" s="485">
        <v>447.13</v>
      </c>
      <c r="K17" s="485">
        <v>441.67</v>
      </c>
      <c r="L17" s="485">
        <v>491.89</v>
      </c>
      <c r="M17" s="485">
        <v>482.01</v>
      </c>
      <c r="N17" s="699">
        <f>[33]金額!N17/[33]數量!N17</f>
        <v>409.30588392928786</v>
      </c>
    </row>
    <row r="18" spans="1:15">
      <c r="A18" s="486" t="s">
        <v>477</v>
      </c>
      <c r="B18" s="486">
        <v>455.44</v>
      </c>
      <c r="C18" s="486">
        <v>441.61</v>
      </c>
      <c r="D18" s="486">
        <v>460.81</v>
      </c>
      <c r="E18" s="486">
        <v>409.3</v>
      </c>
      <c r="F18" s="486">
        <v>522.12</v>
      </c>
      <c r="G18" s="486">
        <v>550.19000000000005</v>
      </c>
      <c r="H18" s="486">
        <v>654.66</v>
      </c>
      <c r="I18" s="486">
        <v>689.76</v>
      </c>
      <c r="J18" s="486">
        <v>591.32000000000005</v>
      </c>
      <c r="K18" s="486">
        <v>680.81</v>
      </c>
      <c r="L18" s="486">
        <v>515.37</v>
      </c>
      <c r="M18" s="486">
        <v>528.07000000000005</v>
      </c>
      <c r="N18" s="700">
        <f>[7]金額!N18/'[7]數量 '!N18</f>
        <v>539.56798987328921</v>
      </c>
    </row>
    <row r="19" spans="1:15">
      <c r="A19" s="472" t="s">
        <v>428</v>
      </c>
      <c r="B19" s="472">
        <v>398.84</v>
      </c>
      <c r="C19" s="472">
        <v>376.2</v>
      </c>
      <c r="D19" s="472">
        <v>375.4</v>
      </c>
      <c r="E19" s="472">
        <v>482.74</v>
      </c>
      <c r="F19" s="472">
        <v>434.58</v>
      </c>
      <c r="G19" s="472">
        <v>542.03</v>
      </c>
      <c r="H19" s="472">
        <v>575.09</v>
      </c>
      <c r="I19" s="472">
        <v>507.28</v>
      </c>
      <c r="J19" s="472">
        <v>635.57000000000005</v>
      </c>
      <c r="K19" s="472">
        <v>596.4</v>
      </c>
      <c r="L19" s="472">
        <v>575.75</v>
      </c>
      <c r="M19" s="472">
        <v>568.73</v>
      </c>
      <c r="N19" s="689">
        <v>500.2</v>
      </c>
    </row>
    <row r="20" spans="1:15">
      <c r="A20" s="488" t="s">
        <v>309</v>
      </c>
      <c r="B20" s="488">
        <v>433.54</v>
      </c>
      <c r="C20" s="488">
        <v>467.17</v>
      </c>
      <c r="D20" s="488">
        <v>534.74</v>
      </c>
      <c r="E20" s="488">
        <v>508.37</v>
      </c>
      <c r="F20" s="488">
        <v>625.92999999999995</v>
      </c>
      <c r="G20" s="488">
        <v>630.03</v>
      </c>
      <c r="H20" s="488">
        <v>776.69</v>
      </c>
      <c r="I20" s="488">
        <v>657.62</v>
      </c>
      <c r="J20" s="488">
        <v>684.05</v>
      </c>
      <c r="K20" s="488">
        <v>607.91</v>
      </c>
      <c r="L20" s="488">
        <v>575.51</v>
      </c>
      <c r="M20" s="488">
        <v>583.33000000000004</v>
      </c>
      <c r="N20" s="701">
        <v>583.4</v>
      </c>
    </row>
    <row r="21" spans="1:15">
      <c r="A21" s="527" t="s">
        <v>399</v>
      </c>
      <c r="B21" s="527">
        <v>540.54999999999995</v>
      </c>
      <c r="C21" s="528">
        <v>554.96</v>
      </c>
      <c r="D21" s="528">
        <v>655.34</v>
      </c>
      <c r="E21" s="528">
        <v>603.61</v>
      </c>
      <c r="F21" s="528">
        <v>521.96</v>
      </c>
      <c r="G21" s="528">
        <v>561.13</v>
      </c>
      <c r="H21" s="528">
        <v>495.65</v>
      </c>
      <c r="I21" s="529">
        <v>470.31</v>
      </c>
      <c r="J21" s="528">
        <v>686.74</v>
      </c>
      <c r="K21" s="529">
        <v>643.32000000000005</v>
      </c>
      <c r="L21" s="530">
        <v>595.04</v>
      </c>
      <c r="M21" s="530">
        <v>651.61</v>
      </c>
      <c r="N21" s="702">
        <v>574.44000000000005</v>
      </c>
    </row>
    <row r="22" spans="1:15">
      <c r="A22" s="532" t="s">
        <v>478</v>
      </c>
      <c r="B22" s="531">
        <v>626.4</v>
      </c>
      <c r="C22" s="531">
        <v>499.32</v>
      </c>
      <c r="D22" s="531">
        <v>563.81796521910007</v>
      </c>
      <c r="E22" s="531">
        <v>565.66442678227361</v>
      </c>
      <c r="F22" s="531">
        <v>604.07000000000005</v>
      </c>
      <c r="G22" s="531">
        <v>590.86</v>
      </c>
      <c r="H22" s="531">
        <v>843.71</v>
      </c>
      <c r="I22" s="531">
        <v>669.31</v>
      </c>
      <c r="J22" s="531">
        <v>764.19</v>
      </c>
      <c r="K22" s="531">
        <v>689.02</v>
      </c>
      <c r="L22" s="531">
        <v>763.5</v>
      </c>
      <c r="M22" s="531">
        <v>788.67</v>
      </c>
      <c r="N22" s="703">
        <v>664.78</v>
      </c>
    </row>
    <row r="23" spans="1:15">
      <c r="A23" s="606" t="s">
        <v>443</v>
      </c>
      <c r="B23" s="607">
        <v>841.81764716527005</v>
      </c>
      <c r="C23" s="607">
        <v>906.46</v>
      </c>
      <c r="D23" s="607">
        <v>695.77</v>
      </c>
      <c r="E23" s="607">
        <v>830.94</v>
      </c>
      <c r="F23" s="607">
        <v>882.68133326897089</v>
      </c>
      <c r="G23" s="607">
        <v>1153.5327030755498</v>
      </c>
      <c r="H23" s="607">
        <v>1032.6675353175146</v>
      </c>
      <c r="I23" s="607">
        <v>1208.7698002646337</v>
      </c>
      <c r="J23" s="607">
        <v>1190.2688860435339</v>
      </c>
      <c r="K23" s="607">
        <v>1079.8453063462784</v>
      </c>
      <c r="L23" s="607">
        <v>1197.404207362885</v>
      </c>
      <c r="M23" s="607">
        <v>1117.8078405092981</v>
      </c>
      <c r="N23" s="704">
        <v>937.92</v>
      </c>
    </row>
    <row r="24" spans="1:15">
      <c r="A24" s="673" t="s">
        <v>444</v>
      </c>
      <c r="B24" s="674">
        <v>1191.1357702349869</v>
      </c>
      <c r="C24" s="705">
        <v>1077.9827098998994</v>
      </c>
      <c r="D24" s="705">
        <v>908.15651135005976</v>
      </c>
      <c r="E24" s="705">
        <v>1000.6461530643359</v>
      </c>
      <c r="F24" s="705">
        <v>1147.4334214271194</v>
      </c>
      <c r="G24" s="705">
        <v>1258.32</v>
      </c>
      <c r="H24" s="705">
        <v>1264.2989682842949</v>
      </c>
      <c r="I24" s="705">
        <v>1142.9616808263122</v>
      </c>
      <c r="J24" s="705">
        <v>1037.6046603216278</v>
      </c>
      <c r="K24" s="705">
        <v>1214.4637862137863</v>
      </c>
      <c r="L24" s="705">
        <v>1377.1737333249828</v>
      </c>
      <c r="M24" s="705">
        <v>1123.8863334807606</v>
      </c>
      <c r="N24" s="706">
        <v>1145.3386440356805</v>
      </c>
    </row>
    <row r="25" spans="1:15">
      <c r="A25" s="707" t="s">
        <v>434</v>
      </c>
      <c r="B25" s="708">
        <v>1159.7304867893104</v>
      </c>
      <c r="C25" s="709">
        <v>1069.1954189854021</v>
      </c>
      <c r="D25" s="709">
        <v>970.34093862065379</v>
      </c>
      <c r="E25" s="709">
        <v>1057.694002626587</v>
      </c>
      <c r="F25" s="709">
        <v>1438.6167701863353</v>
      </c>
      <c r="G25" s="709">
        <v>1218.3636600625653</v>
      </c>
      <c r="H25" s="709">
        <v>1492.1052376594714</v>
      </c>
      <c r="I25" s="709">
        <v>1548.6167678792524</v>
      </c>
      <c r="J25" s="709">
        <v>1486.5260656576734</v>
      </c>
      <c r="K25" s="709">
        <v>1129.4652650021901</v>
      </c>
      <c r="L25" s="709">
        <v>1144.9522473742579</v>
      </c>
      <c r="M25" s="709">
        <v>1447.9046840651597</v>
      </c>
      <c r="N25" s="710">
        <f>SUM(B25:M25)/12</f>
        <v>1263.6259620757382</v>
      </c>
    </row>
    <row r="26" spans="1:15">
      <c r="A26" s="385" t="s">
        <v>479</v>
      </c>
      <c r="E26" s="4"/>
      <c r="F26" s="4"/>
      <c r="G26" s="4"/>
      <c r="H26" s="4"/>
      <c r="I26" s="4"/>
      <c r="J26" s="4"/>
      <c r="K26" s="4"/>
      <c r="L26" s="4"/>
      <c r="M26" s="4"/>
    </row>
    <row r="27" spans="1:15" ht="9.75" customHeight="1">
      <c r="A27" s="385"/>
      <c r="E27" s="4"/>
      <c r="F27" s="4"/>
      <c r="G27" s="4"/>
      <c r="H27" s="4"/>
      <c r="I27" s="4"/>
      <c r="J27" s="4"/>
      <c r="K27" s="4"/>
      <c r="L27" s="4"/>
      <c r="M27" s="4"/>
    </row>
    <row r="28" spans="1:15">
      <c r="A28" s="385" t="s">
        <v>480</v>
      </c>
      <c r="E28" s="4"/>
      <c r="F28" s="4"/>
      <c r="G28" s="4"/>
      <c r="H28" s="4"/>
      <c r="I28" s="4"/>
      <c r="J28" s="4"/>
      <c r="K28" s="4"/>
      <c r="L28" s="4"/>
      <c r="M28" s="4"/>
    </row>
    <row r="29" spans="1:15">
      <c r="A29" s="133" t="s">
        <v>245</v>
      </c>
      <c r="B29" s="133" t="s">
        <v>246</v>
      </c>
      <c r="C29" s="133" t="s">
        <v>247</v>
      </c>
      <c r="D29" s="133" t="s">
        <v>481</v>
      </c>
      <c r="E29" s="133" t="s">
        <v>249</v>
      </c>
      <c r="F29" s="133" t="s">
        <v>250</v>
      </c>
      <c r="G29" s="133" t="s">
        <v>472</v>
      </c>
      <c r="H29" s="133" t="s">
        <v>252</v>
      </c>
      <c r="I29" s="133" t="s">
        <v>417</v>
      </c>
      <c r="J29" s="133" t="s">
        <v>253</v>
      </c>
      <c r="K29" s="133" t="s">
        <v>254</v>
      </c>
      <c r="L29" s="133" t="s">
        <v>255</v>
      </c>
      <c r="M29" s="133" t="s">
        <v>256</v>
      </c>
      <c r="N29" s="688" t="s">
        <v>257</v>
      </c>
    </row>
    <row r="30" spans="1:15">
      <c r="A30" s="684" t="s">
        <v>442</v>
      </c>
      <c r="B30" s="711">
        <v>516.95000000000005</v>
      </c>
      <c r="C30" s="711">
        <v>538.64776456111565</v>
      </c>
      <c r="D30" s="711">
        <v>678.4583692572977</v>
      </c>
      <c r="E30" s="711">
        <v>609.03778259523074</v>
      </c>
      <c r="F30" s="711">
        <v>703.78097542340504</v>
      </c>
      <c r="G30" s="711">
        <v>563.71298283261808</v>
      </c>
      <c r="H30" s="711">
        <v>682.97716495221425</v>
      </c>
      <c r="I30" s="711">
        <v>688.76</v>
      </c>
      <c r="J30" s="711">
        <v>781.81</v>
      </c>
      <c r="K30" s="711">
        <v>701.1</v>
      </c>
      <c r="L30" s="711">
        <v>791.89421793160113</v>
      </c>
      <c r="M30" s="711">
        <v>827.014105724459</v>
      </c>
      <c r="N30" s="711">
        <f>AVERAGE(B30:M30)</f>
        <v>673.67861360649522</v>
      </c>
      <c r="O30" s="679"/>
    </row>
    <row r="31" spans="1:15">
      <c r="A31" s="686" t="s">
        <v>468</v>
      </c>
      <c r="B31" s="712">
        <v>678.37456192836999</v>
      </c>
      <c r="C31" s="712">
        <v>933.51184834123228</v>
      </c>
      <c r="D31" s="712">
        <v>851.91484618814093</v>
      </c>
      <c r="E31" s="712">
        <v>831.66939857779926</v>
      </c>
      <c r="F31" s="712">
        <v>880.88261313371891</v>
      </c>
      <c r="G31" s="712">
        <v>957.77</v>
      </c>
      <c r="H31" s="712">
        <v>1020.6256308579668</v>
      </c>
      <c r="I31" s="712">
        <v>994.12</v>
      </c>
      <c r="J31" s="712">
        <v>1075.1573368049098</v>
      </c>
      <c r="K31" s="55">
        <v>1058.71</v>
      </c>
      <c r="L31" s="712">
        <v>1188.6733447349134</v>
      </c>
      <c r="M31" s="713">
        <v>1126.9855679702048</v>
      </c>
      <c r="N31" s="711">
        <f>AVERAGE(B31:M31)</f>
        <v>966.53292904477132</v>
      </c>
      <c r="O31" s="679"/>
    </row>
    <row r="32" spans="1:15">
      <c r="A32" s="686" t="s">
        <v>482</v>
      </c>
      <c r="B32" s="712">
        <v>1280.6190771136576</v>
      </c>
      <c r="C32" s="712">
        <v>1070.590396105333</v>
      </c>
      <c r="D32" s="712">
        <v>978.43113612004299</v>
      </c>
      <c r="E32" s="712">
        <v>885.80810965162766</v>
      </c>
      <c r="F32" s="712">
        <v>788.74911504424779</v>
      </c>
      <c r="G32" s="712">
        <v>1300.7030616839261</v>
      </c>
      <c r="H32" s="712">
        <v>783.16070287539935</v>
      </c>
      <c r="I32" s="712">
        <v>855.91467946732735</v>
      </c>
      <c r="J32" s="712">
        <v>1201.8857549857551</v>
      </c>
      <c r="K32" s="712">
        <v>1315.4153055051422</v>
      </c>
      <c r="L32" s="712">
        <v>989.98317307692309</v>
      </c>
      <c r="M32" s="712">
        <v>1160.3226196230062</v>
      </c>
      <c r="N32" s="712">
        <v>1050.9652609376992</v>
      </c>
    </row>
    <row r="33" spans="1:14">
      <c r="A33" s="686" t="s">
        <v>434</v>
      </c>
      <c r="B33" s="712">
        <v>929.91023987619292</v>
      </c>
      <c r="C33" s="712">
        <v>1151.0623382733475</v>
      </c>
      <c r="D33" s="712">
        <v>1133.4998443821974</v>
      </c>
      <c r="E33" s="712">
        <v>903.20296831127155</v>
      </c>
      <c r="F33" s="712">
        <v>661.93726725866509</v>
      </c>
      <c r="G33" s="712">
        <v>740.84231041814314</v>
      </c>
      <c r="H33" s="712">
        <v>930.48135535501444</v>
      </c>
      <c r="I33" s="714">
        <v>1170.9125101105419</v>
      </c>
      <c r="J33" s="712">
        <v>1027.9070404172098</v>
      </c>
      <c r="K33" s="712">
        <v>1112.8253676470588</v>
      </c>
      <c r="L33" s="712">
        <v>957.19447837771804</v>
      </c>
      <c r="M33" s="712">
        <v>918.97177604405692</v>
      </c>
      <c r="N33" s="712">
        <f>SUM(B33:M33)/12</f>
        <v>969.89562470595149</v>
      </c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K52" s="4"/>
      <c r="L52" s="4"/>
      <c r="M52" s="4"/>
    </row>
    <row r="56" spans="1:13">
      <c r="A56" s="781" t="s">
        <v>483</v>
      </c>
      <c r="B56" s="781"/>
      <c r="C56" s="781"/>
      <c r="D56" s="781"/>
      <c r="E56" s="781"/>
      <c r="F56" s="781"/>
      <c r="G56" s="781"/>
      <c r="H56" s="781"/>
      <c r="I56" s="781"/>
      <c r="J56" s="781"/>
    </row>
  </sheetData>
  <mergeCells count="2">
    <mergeCell ref="A1:N1"/>
    <mergeCell ref="A56:J56"/>
  </mergeCells>
  <phoneticPr fontId="3" type="noConversion"/>
  <printOptions horizontalCentered="1" verticalCentered="1"/>
  <pageMargins left="0.23622047244094491" right="0.23622047244094491" top="0.51" bottom="0.41" header="0.31496062992125984" footer="0.31496062992125984"/>
  <pageSetup paperSize="9" scale="7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7"/>
  <sheetViews>
    <sheetView topLeftCell="A24" workbookViewId="0">
      <selection activeCell="N14" sqref="N14"/>
    </sheetView>
  </sheetViews>
  <sheetFormatPr defaultRowHeight="16.5"/>
  <cols>
    <col min="1" max="1" width="9.125" bestFit="1" customWidth="1"/>
    <col min="2" max="7" width="10" bestFit="1" customWidth="1"/>
    <col min="8" max="8" width="10.125" customWidth="1"/>
    <col min="9" max="9" width="10.375" customWidth="1"/>
    <col min="10" max="13" width="9.875" bestFit="1" customWidth="1"/>
    <col min="14" max="14" width="11" customWidth="1"/>
  </cols>
  <sheetData>
    <row r="1" spans="1:15">
      <c r="A1" s="780" t="s">
        <v>484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5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251</v>
      </c>
      <c r="H2" s="133" t="s">
        <v>252</v>
      </c>
      <c r="I2" s="133" t="s">
        <v>417</v>
      </c>
      <c r="J2" s="133" t="s">
        <v>253</v>
      </c>
      <c r="K2" s="133" t="s">
        <v>254</v>
      </c>
      <c r="L2" s="133" t="s">
        <v>485</v>
      </c>
      <c r="M2" s="133" t="s">
        <v>486</v>
      </c>
      <c r="N2" s="133" t="s">
        <v>265</v>
      </c>
    </row>
    <row r="3" spans="1:15">
      <c r="A3" s="558">
        <v>2014</v>
      </c>
      <c r="B3" s="557">
        <v>3850</v>
      </c>
      <c r="C3" s="557">
        <v>4418</v>
      </c>
      <c r="D3" s="557">
        <v>5968</v>
      </c>
      <c r="E3" s="557">
        <v>5275</v>
      </c>
      <c r="F3" s="557">
        <v>1990</v>
      </c>
      <c r="G3" s="557">
        <v>2478</v>
      </c>
      <c r="H3" s="557">
        <v>2424</v>
      </c>
      <c r="I3" s="557">
        <v>6943</v>
      </c>
      <c r="J3" s="557">
        <v>6443</v>
      </c>
      <c r="K3" s="557">
        <v>5179</v>
      </c>
      <c r="L3" s="557">
        <v>5985</v>
      </c>
      <c r="M3" s="557">
        <v>6524</v>
      </c>
      <c r="N3" s="556">
        <f t="shared" ref="N3:N8" si="0">SUM(B3,C3,D3,E3,F3,G3,H3,I3,J3,K3,L3,M3,)</f>
        <v>57477</v>
      </c>
    </row>
    <row r="4" spans="1:15">
      <c r="A4" s="555">
        <v>2015</v>
      </c>
      <c r="B4" s="554">
        <v>4315</v>
      </c>
      <c r="C4" s="554">
        <v>3719</v>
      </c>
      <c r="D4" s="554">
        <v>6070</v>
      </c>
      <c r="E4" s="554">
        <v>4646</v>
      </c>
      <c r="F4" s="554">
        <v>3830</v>
      </c>
      <c r="G4" s="554">
        <v>2969</v>
      </c>
      <c r="H4" s="554">
        <v>2820</v>
      </c>
      <c r="I4" s="554">
        <v>6511</v>
      </c>
      <c r="J4" s="554">
        <v>8358</v>
      </c>
      <c r="K4" s="554">
        <v>5951</v>
      </c>
      <c r="L4" s="554">
        <v>9322</v>
      </c>
      <c r="M4" s="554">
        <v>8656</v>
      </c>
      <c r="N4" s="553">
        <f t="shared" si="0"/>
        <v>67167</v>
      </c>
    </row>
    <row r="5" spans="1:15">
      <c r="A5" s="552">
        <v>2016</v>
      </c>
      <c r="B5" s="551">
        <v>7803</v>
      </c>
      <c r="C5" s="551">
        <v>10361</v>
      </c>
      <c r="D5" s="551">
        <v>10564</v>
      </c>
      <c r="E5" s="551">
        <v>7017</v>
      </c>
      <c r="F5" s="551">
        <v>9415</v>
      </c>
      <c r="G5" s="551">
        <v>8337</v>
      </c>
      <c r="H5" s="551">
        <v>6032</v>
      </c>
      <c r="I5" s="551">
        <v>9033</v>
      </c>
      <c r="J5" s="551">
        <v>7209</v>
      </c>
      <c r="K5" s="551">
        <v>8729</v>
      </c>
      <c r="L5" s="551">
        <v>5176</v>
      </c>
      <c r="M5" s="551">
        <v>7390</v>
      </c>
      <c r="N5" s="550">
        <f t="shared" si="0"/>
        <v>97066</v>
      </c>
    </row>
    <row r="6" spans="1:15">
      <c r="A6" s="549">
        <v>2017</v>
      </c>
      <c r="B6" s="548">
        <v>9639</v>
      </c>
      <c r="C6" s="548">
        <v>10413</v>
      </c>
      <c r="D6" s="548">
        <v>14747</v>
      </c>
      <c r="E6" s="548">
        <v>12051</v>
      </c>
      <c r="F6" s="548">
        <v>13765</v>
      </c>
      <c r="G6" s="548">
        <v>9157</v>
      </c>
      <c r="H6" s="548">
        <v>12110</v>
      </c>
      <c r="I6" s="548">
        <v>8894</v>
      </c>
      <c r="J6" s="548">
        <v>8961</v>
      </c>
      <c r="K6" s="548">
        <v>8603</v>
      </c>
      <c r="L6" s="548">
        <v>11389</v>
      </c>
      <c r="M6" s="548">
        <v>10141</v>
      </c>
      <c r="N6" s="547">
        <f t="shared" si="0"/>
        <v>129870</v>
      </c>
    </row>
    <row r="7" spans="1:15">
      <c r="A7" s="546">
        <v>2018</v>
      </c>
      <c r="B7" s="545">
        <v>11373</v>
      </c>
      <c r="C7" s="545">
        <v>12184</v>
      </c>
      <c r="D7" s="545">
        <v>15971</v>
      </c>
      <c r="E7" s="545">
        <v>16424</v>
      </c>
      <c r="F7" s="545">
        <v>16027</v>
      </c>
      <c r="G7" s="545">
        <v>16189</v>
      </c>
      <c r="H7" s="545">
        <v>12937</v>
      </c>
      <c r="I7" s="545">
        <v>13961</v>
      </c>
      <c r="J7" s="545">
        <v>16882</v>
      </c>
      <c r="K7" s="545">
        <v>12964</v>
      </c>
      <c r="L7" s="545">
        <v>14643</v>
      </c>
      <c r="M7" s="545">
        <v>32363</v>
      </c>
      <c r="N7" s="544">
        <f t="shared" si="0"/>
        <v>191918</v>
      </c>
    </row>
    <row r="8" spans="1:15">
      <c r="A8" s="543">
        <v>2019</v>
      </c>
      <c r="B8" s="542">
        <v>30626</v>
      </c>
      <c r="C8" s="542">
        <v>27203</v>
      </c>
      <c r="D8" s="542">
        <v>30648</v>
      </c>
      <c r="E8" s="542">
        <v>43722</v>
      </c>
      <c r="F8" s="542">
        <v>37104</v>
      </c>
      <c r="G8" s="542">
        <v>32323</v>
      </c>
      <c r="H8" s="648">
        <v>35975</v>
      </c>
      <c r="I8" s="648">
        <v>37227</v>
      </c>
      <c r="J8" s="542">
        <v>37983</v>
      </c>
      <c r="K8" s="542">
        <v>42111</v>
      </c>
      <c r="L8" s="542">
        <v>61193</v>
      </c>
      <c r="M8" s="542">
        <v>55550</v>
      </c>
      <c r="N8" s="541">
        <f t="shared" si="0"/>
        <v>471665</v>
      </c>
    </row>
    <row r="9" spans="1:15">
      <c r="A9" s="540">
        <v>2020</v>
      </c>
      <c r="B9" s="539">
        <v>52596</v>
      </c>
      <c r="C9" s="539">
        <v>40782</v>
      </c>
      <c r="D9" s="539">
        <v>36450</v>
      </c>
      <c r="E9" s="539">
        <v>27507</v>
      </c>
      <c r="F9" s="649">
        <v>43135</v>
      </c>
      <c r="G9" s="539">
        <v>34141</v>
      </c>
      <c r="H9" s="539">
        <v>30121</v>
      </c>
      <c r="I9" s="539">
        <v>44833</v>
      </c>
      <c r="J9" s="539">
        <v>45159</v>
      </c>
      <c r="K9" s="539">
        <v>53290</v>
      </c>
      <c r="L9" s="539">
        <v>41564</v>
      </c>
      <c r="M9" s="539">
        <v>56919</v>
      </c>
      <c r="N9" s="538">
        <f>SUM(B9+C9+D9+E9+F9+G9+H9+I9+J9+K9+L9+M9)</f>
        <v>506497</v>
      </c>
    </row>
    <row r="10" spans="1:15">
      <c r="A10" s="657">
        <v>2021</v>
      </c>
      <c r="B10" s="658">
        <v>43074</v>
      </c>
      <c r="C10" s="658">
        <v>40361</v>
      </c>
      <c r="D10" s="658">
        <v>52176</v>
      </c>
      <c r="E10" s="658">
        <v>41898</v>
      </c>
      <c r="F10" s="658">
        <v>61070</v>
      </c>
      <c r="G10" s="658">
        <v>31972</v>
      </c>
      <c r="H10" s="658">
        <v>44186</v>
      </c>
      <c r="I10" s="658">
        <v>47065</v>
      </c>
      <c r="J10" s="658">
        <v>36038</v>
      </c>
      <c r="K10" s="658">
        <v>38487</v>
      </c>
      <c r="L10" s="658">
        <v>46362</v>
      </c>
      <c r="M10" s="658">
        <v>44689</v>
      </c>
      <c r="N10" s="659">
        <f>SUM(B10:M10)</f>
        <v>527378</v>
      </c>
      <c r="O10" s="660"/>
    </row>
    <row r="11" spans="1:15">
      <c r="A11" s="656">
        <v>2022</v>
      </c>
      <c r="B11" s="654">
        <v>34578</v>
      </c>
      <c r="C11" s="654">
        <v>47181</v>
      </c>
      <c r="D11" s="654">
        <v>50650</v>
      </c>
      <c r="E11" s="654">
        <v>50972</v>
      </c>
      <c r="F11" s="654">
        <v>53526</v>
      </c>
      <c r="G11" s="654">
        <v>43012</v>
      </c>
      <c r="H11" s="654">
        <v>64937</v>
      </c>
      <c r="I11" s="654">
        <v>50599</v>
      </c>
      <c r="J11" s="654">
        <v>60971</v>
      </c>
      <c r="K11" s="654">
        <v>59002</v>
      </c>
      <c r="L11" s="654">
        <v>55974</v>
      </c>
      <c r="M11" s="654">
        <v>50149</v>
      </c>
      <c r="N11" s="654">
        <f>SUM(B11:M11)</f>
        <v>621551</v>
      </c>
      <c r="O11" s="655"/>
    </row>
    <row r="12" spans="1:15">
      <c r="A12" s="651">
        <v>2023</v>
      </c>
      <c r="B12" s="652">
        <v>64157</v>
      </c>
      <c r="C12" s="652">
        <v>43842</v>
      </c>
      <c r="D12" s="652">
        <v>42031</v>
      </c>
      <c r="E12" s="652">
        <v>47727</v>
      </c>
      <c r="F12" s="652">
        <v>43241</v>
      </c>
      <c r="G12" s="652">
        <v>40525</v>
      </c>
      <c r="H12" s="652">
        <v>34646</v>
      </c>
      <c r="I12" s="652">
        <v>24062</v>
      </c>
      <c r="J12" s="652">
        <v>19293</v>
      </c>
      <c r="K12" s="652">
        <v>10584</v>
      </c>
      <c r="L12" s="652">
        <v>19855</v>
      </c>
      <c r="M12" s="652">
        <v>17257</v>
      </c>
      <c r="N12" s="652">
        <f>SUM(B12:M12)</f>
        <v>407220</v>
      </c>
      <c r="O12" s="653"/>
    </row>
    <row r="13" spans="1:15">
      <c r="A13" s="675">
        <v>2024</v>
      </c>
      <c r="B13" s="677">
        <v>15232</v>
      </c>
      <c r="C13" s="677">
        <v>22946</v>
      </c>
      <c r="D13" s="677">
        <v>19081</v>
      </c>
      <c r="E13" s="677">
        <v>16516</v>
      </c>
      <c r="F13" s="677">
        <v>14461</v>
      </c>
      <c r="G13" s="677">
        <v>24601</v>
      </c>
      <c r="H13" s="677">
        <v>9488</v>
      </c>
      <c r="I13" s="677">
        <v>15034</v>
      </c>
      <c r="J13" s="677">
        <v>9666</v>
      </c>
      <c r="K13" s="677">
        <v>12331</v>
      </c>
      <c r="L13" s="677">
        <v>13251</v>
      </c>
      <c r="M13" s="677">
        <v>20929</v>
      </c>
      <c r="N13" s="677">
        <v>193536</v>
      </c>
      <c r="O13" s="653"/>
    </row>
    <row r="14" spans="1:15">
      <c r="A14" s="680">
        <v>2025</v>
      </c>
      <c r="B14" s="715">
        <v>9543</v>
      </c>
      <c r="C14" s="715">
        <v>19452</v>
      </c>
      <c r="D14" s="715">
        <v>21668</v>
      </c>
      <c r="E14" s="715">
        <v>14066</v>
      </c>
      <c r="F14" s="715">
        <v>14195</v>
      </c>
      <c r="G14" s="715">
        <v>18517</v>
      </c>
      <c r="H14" s="715">
        <v>14871</v>
      </c>
      <c r="I14" s="715">
        <v>19389</v>
      </c>
      <c r="J14" s="715">
        <v>19971</v>
      </c>
      <c r="K14" s="715">
        <v>8492</v>
      </c>
      <c r="L14" s="715">
        <v>14856</v>
      </c>
      <c r="M14" s="715">
        <v>14957</v>
      </c>
      <c r="N14" s="715">
        <f>SUM(B14:M14)</f>
        <v>189977</v>
      </c>
      <c r="O14" s="653"/>
    </row>
    <row r="15" spans="1:15">
      <c r="A15" s="385" t="s">
        <v>436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683" t="s">
        <v>437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133" t="s">
        <v>245</v>
      </c>
      <c r="B18" s="133" t="s">
        <v>246</v>
      </c>
      <c r="C18" s="133" t="s">
        <v>247</v>
      </c>
      <c r="D18" s="133" t="s">
        <v>248</v>
      </c>
      <c r="E18" s="133" t="s">
        <v>249</v>
      </c>
      <c r="F18" s="133" t="s">
        <v>250</v>
      </c>
      <c r="G18" s="133" t="s">
        <v>251</v>
      </c>
      <c r="H18" s="133" t="s">
        <v>252</v>
      </c>
      <c r="I18" s="133" t="s">
        <v>487</v>
      </c>
      <c r="J18" s="133" t="s">
        <v>253</v>
      </c>
      <c r="K18" s="133" t="s">
        <v>254</v>
      </c>
      <c r="L18" s="133" t="s">
        <v>255</v>
      </c>
      <c r="M18" s="133" t="s">
        <v>256</v>
      </c>
      <c r="N18" s="133" t="s">
        <v>265</v>
      </c>
    </row>
    <row r="19" spans="1:15">
      <c r="A19" s="716" t="s">
        <v>442</v>
      </c>
      <c r="B19" s="716">
        <v>4220</v>
      </c>
      <c r="C19" s="716">
        <v>1988</v>
      </c>
      <c r="D19" s="716">
        <v>5148</v>
      </c>
      <c r="E19" s="716">
        <v>6000</v>
      </c>
      <c r="F19" s="716">
        <v>5426</v>
      </c>
      <c r="G19" s="716">
        <v>3581</v>
      </c>
      <c r="H19" s="716">
        <v>7410</v>
      </c>
      <c r="I19" s="716">
        <v>5685</v>
      </c>
      <c r="J19" s="716">
        <v>4529</v>
      </c>
      <c r="K19" s="716">
        <v>5074</v>
      </c>
      <c r="L19" s="716">
        <v>6847</v>
      </c>
      <c r="M19" s="716">
        <v>4769</v>
      </c>
      <c r="N19" s="716">
        <f>SUM(B19:M19)</f>
        <v>60677</v>
      </c>
      <c r="O19" s="679"/>
    </row>
    <row r="20" spans="1:15">
      <c r="A20" s="717" t="s">
        <v>443</v>
      </c>
      <c r="B20" s="717">
        <v>7058</v>
      </c>
      <c r="C20" s="717">
        <v>4352</v>
      </c>
      <c r="D20" s="717">
        <v>4058</v>
      </c>
      <c r="E20" s="717">
        <v>5710</v>
      </c>
      <c r="F20" s="717">
        <v>4109</v>
      </c>
      <c r="G20" s="717">
        <v>4650</v>
      </c>
      <c r="H20" s="717">
        <v>3613</v>
      </c>
      <c r="I20" s="717">
        <v>3938</v>
      </c>
      <c r="J20" s="717">
        <v>3783</v>
      </c>
      <c r="K20" s="717">
        <v>2138</v>
      </c>
      <c r="L20" s="717">
        <v>1293</v>
      </c>
      <c r="M20" s="717">
        <v>1743</v>
      </c>
      <c r="N20" s="716">
        <f>SUM(B20:M20)</f>
        <v>46445</v>
      </c>
      <c r="O20" s="679"/>
    </row>
    <row r="21" spans="1:15">
      <c r="A21" s="717" t="s">
        <v>444</v>
      </c>
      <c r="B21" s="717">
        <v>1427</v>
      </c>
      <c r="C21" s="717">
        <v>1461</v>
      </c>
      <c r="D21" s="717">
        <v>2606</v>
      </c>
      <c r="E21" s="717">
        <v>2670</v>
      </c>
      <c r="F21" s="717">
        <v>1710</v>
      </c>
      <c r="G21" s="717">
        <v>2549</v>
      </c>
      <c r="H21" s="717">
        <v>1098</v>
      </c>
      <c r="I21" s="717">
        <v>1666</v>
      </c>
      <c r="J21" s="717">
        <v>1050</v>
      </c>
      <c r="K21" s="717">
        <v>1054</v>
      </c>
      <c r="L21" s="717">
        <v>2022</v>
      </c>
      <c r="M21" s="717">
        <v>1170</v>
      </c>
      <c r="N21" s="716">
        <v>20483</v>
      </c>
    </row>
    <row r="22" spans="1:15">
      <c r="A22" s="717" t="s">
        <v>488</v>
      </c>
      <c r="B22" s="717">
        <v>663</v>
      </c>
      <c r="C22" s="717">
        <v>1662</v>
      </c>
      <c r="D22" s="717">
        <v>1580</v>
      </c>
      <c r="E22" s="717">
        <v>1746</v>
      </c>
      <c r="F22" s="717">
        <v>1131</v>
      </c>
      <c r="G22" s="717">
        <v>1389</v>
      </c>
      <c r="H22" s="717">
        <v>1701</v>
      </c>
      <c r="I22" s="717">
        <v>1527</v>
      </c>
      <c r="J22" s="717">
        <v>1635</v>
      </c>
      <c r="K22" s="717">
        <v>1202</v>
      </c>
      <c r="L22" s="717">
        <v>787</v>
      </c>
      <c r="M22" s="717">
        <v>1488</v>
      </c>
      <c r="N22" s="716">
        <f>SUM(B22:M22)</f>
        <v>16511</v>
      </c>
    </row>
    <row r="23" spans="1:15">
      <c r="A23" s="1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K32" s="4"/>
      <c r="L32" s="4"/>
      <c r="M32" s="4"/>
      <c r="N32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2" spans="1:10">
      <c r="A42" s="781"/>
      <c r="B42" s="781"/>
      <c r="C42" s="781"/>
      <c r="D42" s="781"/>
      <c r="E42" s="781"/>
      <c r="F42" s="781"/>
      <c r="G42" s="781"/>
      <c r="H42" s="4"/>
      <c r="I42" s="4"/>
      <c r="J42" s="4"/>
    </row>
    <row r="45" spans="1:10">
      <c r="A45" s="781" t="s">
        <v>489</v>
      </c>
      <c r="B45" s="781"/>
      <c r="C45" s="781"/>
      <c r="D45" s="781"/>
      <c r="E45" s="781"/>
      <c r="F45" s="781"/>
      <c r="G45" s="781"/>
    </row>
    <row r="47" spans="1:10" ht="21">
      <c r="B47" s="718"/>
    </row>
  </sheetData>
  <mergeCells count="3">
    <mergeCell ref="A1:N1"/>
    <mergeCell ref="A42:G42"/>
    <mergeCell ref="A45:G45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9"/>
  <sheetViews>
    <sheetView topLeftCell="A23" workbookViewId="0">
      <selection activeCell="N14" sqref="N14"/>
    </sheetView>
  </sheetViews>
  <sheetFormatPr defaultRowHeight="16.5"/>
  <cols>
    <col min="2" max="14" width="15.125" customWidth="1"/>
  </cols>
  <sheetData>
    <row r="1" spans="1:15">
      <c r="A1" s="780" t="s">
        <v>490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5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251</v>
      </c>
      <c r="H2" s="133" t="s">
        <v>252</v>
      </c>
      <c r="I2" s="133" t="s">
        <v>417</v>
      </c>
      <c r="J2" s="133" t="s">
        <v>253</v>
      </c>
      <c r="K2" s="133" t="s">
        <v>254</v>
      </c>
      <c r="L2" s="133" t="s">
        <v>255</v>
      </c>
      <c r="M2" s="133" t="s">
        <v>256</v>
      </c>
      <c r="N2" s="133" t="s">
        <v>265</v>
      </c>
    </row>
    <row r="3" spans="1:15">
      <c r="A3" s="558">
        <v>2014</v>
      </c>
      <c r="B3" s="557">
        <v>2030134</v>
      </c>
      <c r="C3" s="557">
        <v>2087484</v>
      </c>
      <c r="D3" s="557">
        <v>2665238</v>
      </c>
      <c r="E3" s="557">
        <v>2611314</v>
      </c>
      <c r="F3" s="557">
        <v>1091251</v>
      </c>
      <c r="G3" s="557">
        <v>1502295</v>
      </c>
      <c r="H3" s="557">
        <v>1457297</v>
      </c>
      <c r="I3" s="557">
        <v>3209075</v>
      </c>
      <c r="J3" s="557">
        <v>3271457</v>
      </c>
      <c r="K3" s="557">
        <v>2824508</v>
      </c>
      <c r="L3" s="557">
        <v>2836336</v>
      </c>
      <c r="M3" s="557">
        <v>3573415</v>
      </c>
      <c r="N3" s="556">
        <f t="shared" ref="N3:N8" si="0">SUM(B3,C3,D3,E3,F3,G3,H3,I3,J3,K3,L3,M3,)</f>
        <v>29159804</v>
      </c>
    </row>
    <row r="4" spans="1:15">
      <c r="A4" s="555">
        <v>2015</v>
      </c>
      <c r="B4" s="554">
        <v>2201509</v>
      </c>
      <c r="C4" s="554">
        <v>2113885</v>
      </c>
      <c r="D4" s="554">
        <v>3954472</v>
      </c>
      <c r="E4" s="554">
        <v>2765728</v>
      </c>
      <c r="F4" s="554">
        <v>2237670</v>
      </c>
      <c r="G4" s="554">
        <v>1913486</v>
      </c>
      <c r="H4" s="554">
        <v>1917647</v>
      </c>
      <c r="I4" s="554">
        <v>3774196</v>
      </c>
      <c r="J4" s="554">
        <v>4608228</v>
      </c>
      <c r="K4" s="554">
        <v>3020941</v>
      </c>
      <c r="L4" s="554">
        <v>4690579</v>
      </c>
      <c r="M4" s="554">
        <v>6668664</v>
      </c>
      <c r="N4" s="553">
        <f t="shared" si="0"/>
        <v>39867005</v>
      </c>
    </row>
    <row r="5" spans="1:15">
      <c r="A5" s="650">
        <v>2016</v>
      </c>
      <c r="B5" s="583">
        <v>6656477</v>
      </c>
      <c r="C5" s="583">
        <v>9624910</v>
      </c>
      <c r="D5" s="583">
        <v>9274199</v>
      </c>
      <c r="E5" s="583">
        <v>6792468</v>
      </c>
      <c r="F5" s="583">
        <v>6877093</v>
      </c>
      <c r="G5" s="583">
        <v>7470390</v>
      </c>
      <c r="H5" s="583">
        <v>7997328</v>
      </c>
      <c r="I5" s="583">
        <v>8666373</v>
      </c>
      <c r="J5" s="583">
        <v>7000791</v>
      </c>
      <c r="K5" s="583">
        <v>8133295</v>
      </c>
      <c r="L5" s="583">
        <v>6009708</v>
      </c>
      <c r="M5" s="583">
        <v>8633879</v>
      </c>
      <c r="N5" s="582">
        <f t="shared" si="0"/>
        <v>93136911</v>
      </c>
    </row>
    <row r="6" spans="1:15">
      <c r="A6" s="549">
        <v>2017</v>
      </c>
      <c r="B6" s="548">
        <v>10939919</v>
      </c>
      <c r="C6" s="548">
        <v>8834958</v>
      </c>
      <c r="D6" s="548">
        <v>17305971</v>
      </c>
      <c r="E6" s="548">
        <v>15589249</v>
      </c>
      <c r="F6" s="548">
        <v>20918272</v>
      </c>
      <c r="G6" s="548">
        <v>13518022</v>
      </c>
      <c r="H6" s="548">
        <v>17940270</v>
      </c>
      <c r="I6" s="548">
        <v>13015196</v>
      </c>
      <c r="J6" s="548">
        <v>12910324</v>
      </c>
      <c r="K6" s="548">
        <v>11159165</v>
      </c>
      <c r="L6" s="548">
        <v>15789466</v>
      </c>
      <c r="M6" s="548">
        <v>12879961</v>
      </c>
      <c r="N6" s="547">
        <f t="shared" si="0"/>
        <v>170800773</v>
      </c>
    </row>
    <row r="7" spans="1:15">
      <c r="A7" s="546">
        <v>2018</v>
      </c>
      <c r="B7" s="545">
        <v>16580129</v>
      </c>
      <c r="C7" s="545">
        <v>15653267</v>
      </c>
      <c r="D7" s="545">
        <v>21731943</v>
      </c>
      <c r="E7" s="545">
        <v>19436051</v>
      </c>
      <c r="F7" s="545">
        <v>21619351</v>
      </c>
      <c r="G7" s="545">
        <v>22609235</v>
      </c>
      <c r="H7" s="545">
        <v>15871081</v>
      </c>
      <c r="I7" s="545">
        <v>17467664</v>
      </c>
      <c r="J7" s="545">
        <v>19494033</v>
      </c>
      <c r="K7" s="545">
        <v>12362562</v>
      </c>
      <c r="L7" s="545">
        <v>15958271</v>
      </c>
      <c r="M7" s="545">
        <v>40975160</v>
      </c>
      <c r="N7" s="544">
        <f t="shared" si="0"/>
        <v>239758747</v>
      </c>
    </row>
    <row r="8" spans="1:15">
      <c r="A8" s="543">
        <v>2019</v>
      </c>
      <c r="B8" s="542">
        <v>39903509</v>
      </c>
      <c r="C8" s="542">
        <v>33717861</v>
      </c>
      <c r="D8" s="542">
        <v>39958441</v>
      </c>
      <c r="E8" s="542">
        <v>51337624</v>
      </c>
      <c r="F8" s="542">
        <v>46739867</v>
      </c>
      <c r="G8" s="542">
        <v>38656566</v>
      </c>
      <c r="H8" s="671">
        <v>42961284</v>
      </c>
      <c r="I8" s="671">
        <v>45897313</v>
      </c>
      <c r="J8" s="542">
        <v>52851571</v>
      </c>
      <c r="K8" s="542">
        <v>54987114</v>
      </c>
      <c r="L8" s="542">
        <v>35231865</v>
      </c>
      <c r="M8" s="542">
        <v>72032864</v>
      </c>
      <c r="N8" s="544">
        <f t="shared" si="0"/>
        <v>554275879</v>
      </c>
    </row>
    <row r="9" spans="1:15">
      <c r="A9" s="540">
        <v>2020</v>
      </c>
      <c r="B9" s="539">
        <v>64772006</v>
      </c>
      <c r="C9" s="539">
        <v>47312565</v>
      </c>
      <c r="D9" s="539">
        <v>45883404</v>
      </c>
      <c r="E9" s="539">
        <v>32442826</v>
      </c>
      <c r="F9" s="539">
        <v>50730065</v>
      </c>
      <c r="G9" s="539">
        <v>44707844</v>
      </c>
      <c r="H9" s="539">
        <v>37822117</v>
      </c>
      <c r="I9" s="539">
        <v>54275188</v>
      </c>
      <c r="J9" s="539">
        <v>60332888</v>
      </c>
      <c r="K9" s="539">
        <v>72379759</v>
      </c>
      <c r="L9" s="539">
        <v>53724748</v>
      </c>
      <c r="M9" s="539">
        <v>74584689</v>
      </c>
      <c r="N9" s="538">
        <f>SUM(B9+C9+D9+E9+F9+G9+H9+I9+J9+K9+L9+M9)</f>
        <v>638968099</v>
      </c>
    </row>
    <row r="10" spans="1:15">
      <c r="A10" s="657">
        <v>2021</v>
      </c>
      <c r="B10" s="658">
        <v>57163374</v>
      </c>
      <c r="C10" s="658">
        <v>53986172</v>
      </c>
      <c r="D10" s="658">
        <v>68394480</v>
      </c>
      <c r="E10" s="658">
        <v>51904246</v>
      </c>
      <c r="F10" s="658">
        <v>82411821</v>
      </c>
      <c r="G10" s="658">
        <v>40245366</v>
      </c>
      <c r="H10" s="658">
        <v>58683801</v>
      </c>
      <c r="I10" s="658">
        <v>60574504</v>
      </c>
      <c r="J10" s="658">
        <v>47198345</v>
      </c>
      <c r="K10" s="658">
        <v>45420480</v>
      </c>
      <c r="L10" s="658">
        <v>59414479</v>
      </c>
      <c r="M10" s="658">
        <v>55652824</v>
      </c>
      <c r="N10" s="659">
        <f>SUM(B10:M10)</f>
        <v>681049892</v>
      </c>
      <c r="O10" s="660"/>
    </row>
    <row r="11" spans="1:15">
      <c r="A11" s="667">
        <v>2022</v>
      </c>
      <c r="B11" s="654">
        <v>40484230</v>
      </c>
      <c r="C11" s="654">
        <v>54283352</v>
      </c>
      <c r="D11" s="654">
        <v>61535960</v>
      </c>
      <c r="E11" s="654">
        <v>64139259</v>
      </c>
      <c r="F11" s="654">
        <v>68654301</v>
      </c>
      <c r="G11" s="654">
        <v>55483756</v>
      </c>
      <c r="H11" s="654">
        <v>89045907</v>
      </c>
      <c r="I11" s="654">
        <v>63281271</v>
      </c>
      <c r="J11" s="654">
        <v>74652119</v>
      </c>
      <c r="K11" s="654">
        <v>78635378</v>
      </c>
      <c r="L11" s="654">
        <v>71798749</v>
      </c>
      <c r="M11" s="654">
        <v>69268879</v>
      </c>
      <c r="N11" s="654">
        <f>SUM(B11:M11)</f>
        <v>791263161</v>
      </c>
      <c r="O11" s="655"/>
    </row>
    <row r="12" spans="1:15">
      <c r="A12" s="651">
        <v>2023</v>
      </c>
      <c r="B12" s="652">
        <v>87346695</v>
      </c>
      <c r="C12" s="652">
        <v>67678504</v>
      </c>
      <c r="D12" s="652">
        <v>58042495</v>
      </c>
      <c r="E12" s="652">
        <v>75097404</v>
      </c>
      <c r="F12" s="652">
        <v>67804325</v>
      </c>
      <c r="G12" s="652">
        <v>61211711</v>
      </c>
      <c r="H12" s="652">
        <v>55860453</v>
      </c>
      <c r="I12" s="652">
        <v>46191340</v>
      </c>
      <c r="J12" s="652">
        <v>37641613</v>
      </c>
      <c r="K12" s="652">
        <v>20313318</v>
      </c>
      <c r="L12" s="652">
        <v>35627376</v>
      </c>
      <c r="M12" s="652">
        <v>34021717</v>
      </c>
      <c r="N12" s="652">
        <f>SUM(B12:M12)</f>
        <v>646836951</v>
      </c>
      <c r="O12" s="653"/>
    </row>
    <row r="13" spans="1:15" ht="17.25" customHeight="1">
      <c r="A13" s="675">
        <v>2024</v>
      </c>
      <c r="B13" s="677">
        <v>26936632</v>
      </c>
      <c r="C13" s="677">
        <v>37213324</v>
      </c>
      <c r="D13" s="677">
        <v>31433859</v>
      </c>
      <c r="E13" s="677">
        <v>25699473</v>
      </c>
      <c r="F13" s="677">
        <v>25287108</v>
      </c>
      <c r="G13" s="677">
        <v>39725188</v>
      </c>
      <c r="H13" s="677">
        <v>17511843</v>
      </c>
      <c r="I13" s="677">
        <v>25142934</v>
      </c>
      <c r="J13" s="677">
        <v>17267014</v>
      </c>
      <c r="K13" s="677">
        <v>23122846</v>
      </c>
      <c r="L13" s="677">
        <v>21618617</v>
      </c>
      <c r="M13" s="677">
        <v>33682142</v>
      </c>
      <c r="N13" s="677">
        <v>324640980</v>
      </c>
      <c r="O13" s="653"/>
    </row>
    <row r="14" spans="1:15" ht="17.25" customHeight="1">
      <c r="A14" s="680">
        <v>2025</v>
      </c>
      <c r="B14" s="715">
        <v>17145239</v>
      </c>
      <c r="C14" s="715">
        <v>36040521</v>
      </c>
      <c r="D14" s="715">
        <v>41115427</v>
      </c>
      <c r="E14" s="715">
        <v>24735904</v>
      </c>
      <c r="F14" s="715">
        <v>25204649</v>
      </c>
      <c r="G14" s="715">
        <v>30967212</v>
      </c>
      <c r="H14" s="715">
        <v>24208255</v>
      </c>
      <c r="I14" s="715">
        <v>32289185</v>
      </c>
      <c r="J14" s="715">
        <v>33872176</v>
      </c>
      <c r="K14" s="715">
        <v>16384704</v>
      </c>
      <c r="L14" s="715">
        <v>25814405</v>
      </c>
      <c r="M14" s="715">
        <v>25399684</v>
      </c>
      <c r="N14" s="715">
        <f>SUM(B14:M14)</f>
        <v>333177361</v>
      </c>
      <c r="O14" s="653"/>
    </row>
    <row r="15" spans="1:15">
      <c r="A15" s="385" t="s">
        <v>436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11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683" t="s">
        <v>437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133" t="s">
        <v>245</v>
      </c>
      <c r="B18" s="133" t="s">
        <v>491</v>
      </c>
      <c r="C18" s="133" t="s">
        <v>247</v>
      </c>
      <c r="D18" s="133" t="s">
        <v>248</v>
      </c>
      <c r="E18" s="133" t="s">
        <v>249</v>
      </c>
      <c r="F18" s="133" t="s">
        <v>250</v>
      </c>
      <c r="G18" s="133" t="s">
        <v>251</v>
      </c>
      <c r="H18" s="133" t="s">
        <v>492</v>
      </c>
      <c r="I18" s="133" t="s">
        <v>493</v>
      </c>
      <c r="J18" s="133" t="s">
        <v>253</v>
      </c>
      <c r="K18" s="133" t="s">
        <v>254</v>
      </c>
      <c r="L18" s="133" t="s">
        <v>255</v>
      </c>
      <c r="M18" s="133" t="s">
        <v>256</v>
      </c>
      <c r="N18" s="133" t="s">
        <v>265</v>
      </c>
    </row>
    <row r="19" spans="1:15">
      <c r="A19" s="684" t="s">
        <v>442</v>
      </c>
      <c r="B19" s="687">
        <v>6494141</v>
      </c>
      <c r="C19" s="687">
        <v>3637722</v>
      </c>
      <c r="D19" s="687">
        <v>7277168</v>
      </c>
      <c r="E19" s="687">
        <v>8905832</v>
      </c>
      <c r="F19" s="687">
        <v>7363466</v>
      </c>
      <c r="G19" s="687">
        <v>5799154</v>
      </c>
      <c r="H19" s="687">
        <v>11401308</v>
      </c>
      <c r="I19" s="687">
        <v>9796428</v>
      </c>
      <c r="J19" s="687">
        <v>7175652</v>
      </c>
      <c r="K19" s="687">
        <v>7335035</v>
      </c>
      <c r="L19" s="687">
        <v>10538072</v>
      </c>
      <c r="M19" s="687">
        <v>8058140</v>
      </c>
      <c r="N19" s="687">
        <f>SUM(B19:M19)</f>
        <v>93782118</v>
      </c>
      <c r="O19" s="679"/>
    </row>
    <row r="20" spans="1:15">
      <c r="A20" s="686" t="s">
        <v>443</v>
      </c>
      <c r="B20" s="687">
        <v>9848953</v>
      </c>
      <c r="C20" s="687">
        <v>5968798</v>
      </c>
      <c r="D20" s="687">
        <v>5605136</v>
      </c>
      <c r="E20" s="687">
        <v>7343628</v>
      </c>
      <c r="F20" s="687">
        <v>6272063</v>
      </c>
      <c r="G20" s="687">
        <v>5364823</v>
      </c>
      <c r="H20" s="687">
        <v>6173660</v>
      </c>
      <c r="I20" s="687">
        <v>6455058</v>
      </c>
      <c r="J20" s="687">
        <v>6186549</v>
      </c>
      <c r="K20" s="687">
        <v>4156331</v>
      </c>
      <c r="L20" s="687">
        <v>1716652</v>
      </c>
      <c r="M20" s="687">
        <v>2689922</v>
      </c>
      <c r="N20" s="687">
        <f>SUM(B20:M20)</f>
        <v>67781573</v>
      </c>
      <c r="O20" s="679"/>
    </row>
    <row r="21" spans="1:15">
      <c r="A21" s="686" t="s">
        <v>444</v>
      </c>
      <c r="B21" s="687">
        <v>2851287</v>
      </c>
      <c r="C21" s="687">
        <v>2431718</v>
      </c>
      <c r="D21" s="687">
        <v>3192018</v>
      </c>
      <c r="E21" s="687">
        <v>3607165</v>
      </c>
      <c r="F21" s="687">
        <v>2985350</v>
      </c>
      <c r="G21" s="687">
        <v>3725742</v>
      </c>
      <c r="H21" s="687">
        <v>1764860</v>
      </c>
      <c r="I21" s="687">
        <v>3181220</v>
      </c>
      <c r="J21" s="687">
        <v>2070759</v>
      </c>
      <c r="K21" s="687">
        <v>2057236</v>
      </c>
      <c r="L21" s="687">
        <v>3063880</v>
      </c>
      <c r="M21" s="687">
        <v>2300091</v>
      </c>
      <c r="N21" s="687">
        <v>33231326</v>
      </c>
    </row>
    <row r="22" spans="1:15">
      <c r="A22" s="686" t="s">
        <v>488</v>
      </c>
      <c r="B22" s="687">
        <v>1437277</v>
      </c>
      <c r="C22" s="687">
        <v>4088739</v>
      </c>
      <c r="D22" s="687">
        <v>2676112</v>
      </c>
      <c r="E22" s="687">
        <v>3008211</v>
      </c>
      <c r="F22" s="687">
        <v>3119514</v>
      </c>
      <c r="G22" s="687">
        <v>2498026</v>
      </c>
      <c r="H22" s="687">
        <v>3449846</v>
      </c>
      <c r="I22" s="687">
        <v>2875420</v>
      </c>
      <c r="J22" s="687">
        <v>3543420</v>
      </c>
      <c r="K22" s="687">
        <v>3468658</v>
      </c>
      <c r="L22" s="687">
        <v>2169379</v>
      </c>
      <c r="M22" s="687">
        <v>3290048</v>
      </c>
      <c r="N22" s="687">
        <f>SUM(B22:M22)</f>
        <v>35624650</v>
      </c>
    </row>
    <row r="23" spans="1:15">
      <c r="A23" s="1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K33" s="4"/>
      <c r="L33" s="4"/>
      <c r="M33" s="4"/>
      <c r="N33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</row>
    <row r="42" spans="1:14">
      <c r="A42" s="782"/>
      <c r="B42" s="782"/>
      <c r="C42" s="782"/>
      <c r="D42" s="782"/>
      <c r="E42" s="782"/>
      <c r="F42" s="782"/>
    </row>
    <row r="46" spans="1:14">
      <c r="A46" s="782" t="s">
        <v>494</v>
      </c>
      <c r="B46" s="782"/>
      <c r="C46" s="782"/>
      <c r="D46" s="782"/>
      <c r="E46" s="782"/>
      <c r="F46" s="782"/>
    </row>
    <row r="49" spans="4:4" ht="21">
      <c r="D49" s="718"/>
    </row>
  </sheetData>
  <mergeCells count="3">
    <mergeCell ref="A1:N1"/>
    <mergeCell ref="A42:F42"/>
    <mergeCell ref="A46:F46"/>
  </mergeCells>
  <phoneticPr fontId="3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5"/>
  <sheetViews>
    <sheetView topLeftCell="A35" workbookViewId="0">
      <selection activeCell="N25" sqref="N25"/>
    </sheetView>
  </sheetViews>
  <sheetFormatPr defaultRowHeight="16.5"/>
  <cols>
    <col min="2" max="13" width="10" customWidth="1"/>
    <col min="14" max="14" width="12.375" customWidth="1"/>
  </cols>
  <sheetData>
    <row r="1" spans="1:14">
      <c r="A1" s="780" t="s">
        <v>495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</row>
    <row r="2" spans="1:14">
      <c r="A2" s="133" t="s">
        <v>245</v>
      </c>
      <c r="B2" s="133" t="s">
        <v>246</v>
      </c>
      <c r="C2" s="133" t="s">
        <v>247</v>
      </c>
      <c r="D2" s="133" t="s">
        <v>248</v>
      </c>
      <c r="E2" s="133" t="s">
        <v>249</v>
      </c>
      <c r="F2" s="133" t="s">
        <v>250</v>
      </c>
      <c r="G2" s="133" t="s">
        <v>251</v>
      </c>
      <c r="H2" s="133" t="s">
        <v>252</v>
      </c>
      <c r="I2" s="133" t="s">
        <v>417</v>
      </c>
      <c r="J2" s="133" t="s">
        <v>253</v>
      </c>
      <c r="K2" s="133" t="s">
        <v>254</v>
      </c>
      <c r="L2" s="133" t="s">
        <v>255</v>
      </c>
      <c r="M2" s="133" t="s">
        <v>256</v>
      </c>
      <c r="N2" s="471" t="s">
        <v>257</v>
      </c>
    </row>
    <row r="3" spans="1:14" hidden="1">
      <c r="A3" s="472" t="s">
        <v>258</v>
      </c>
      <c r="B3" s="472">
        <v>408.96</v>
      </c>
      <c r="C3" s="472">
        <v>423.04</v>
      </c>
      <c r="D3" s="472">
        <v>334.94</v>
      </c>
      <c r="E3" s="472">
        <v>261.8</v>
      </c>
      <c r="F3" s="472">
        <v>717.9</v>
      </c>
      <c r="G3" s="472">
        <v>182.9</v>
      </c>
      <c r="H3" s="472">
        <v>513.53</v>
      </c>
      <c r="I3" s="472">
        <v>408.38</v>
      </c>
      <c r="J3" s="472">
        <v>425.25</v>
      </c>
      <c r="K3" s="472">
        <v>319.86</v>
      </c>
      <c r="L3" s="472">
        <v>290.81</v>
      </c>
      <c r="M3" s="472">
        <v>305.27</v>
      </c>
      <c r="N3" s="473">
        <f>AVERAGE(B3:M3)</f>
        <v>382.71999999999997</v>
      </c>
    </row>
    <row r="4" spans="1:14" hidden="1">
      <c r="A4" s="474" t="s">
        <v>418</v>
      </c>
      <c r="B4" s="474">
        <v>0</v>
      </c>
      <c r="C4" s="474">
        <v>480.7</v>
      </c>
      <c r="D4" s="474">
        <v>541.12</v>
      </c>
      <c r="E4" s="474">
        <v>699.74</v>
      </c>
      <c r="F4" s="474">
        <v>488.18</v>
      </c>
      <c r="G4" s="474">
        <v>0</v>
      </c>
      <c r="H4" s="474">
        <v>377</v>
      </c>
      <c r="I4" s="474">
        <v>491.03</v>
      </c>
      <c r="J4" s="474">
        <v>982.52800000000002</v>
      </c>
      <c r="K4" s="474">
        <v>580.54</v>
      </c>
      <c r="L4" s="474">
        <v>193.37</v>
      </c>
      <c r="M4" s="474">
        <v>304.67</v>
      </c>
      <c r="N4" s="473">
        <f>AVERAGE(B4:M4)</f>
        <v>428.23983333333331</v>
      </c>
    </row>
    <row r="5" spans="1:14" hidden="1">
      <c r="A5" s="475" t="s">
        <v>259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3"/>
    </row>
    <row r="6" spans="1:14" hidden="1">
      <c r="A6" s="476" t="s">
        <v>450</v>
      </c>
      <c r="B6" s="476"/>
      <c r="C6" s="476"/>
      <c r="D6" s="476"/>
      <c r="E6" s="477"/>
      <c r="F6" s="476"/>
      <c r="G6" s="476"/>
      <c r="H6" s="476"/>
      <c r="I6" s="476"/>
      <c r="J6" s="477"/>
      <c r="K6" s="476"/>
      <c r="L6" s="476"/>
      <c r="M6" s="476"/>
      <c r="N6" s="473"/>
    </row>
    <row r="7" spans="1:14" hidden="1">
      <c r="A7" s="472" t="s">
        <v>260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3"/>
    </row>
    <row r="8" spans="1:14" hidden="1">
      <c r="A8" s="478" t="s">
        <v>261</v>
      </c>
      <c r="B8" s="479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3"/>
    </row>
    <row r="9" spans="1:14" hidden="1">
      <c r="A9" s="480" t="s">
        <v>262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73"/>
    </row>
    <row r="10" spans="1:14" hidden="1">
      <c r="A10" s="474" t="s">
        <v>263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3"/>
    </row>
    <row r="11" spans="1:14" hidden="1">
      <c r="A11" s="475" t="s">
        <v>264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3"/>
    </row>
    <row r="12" spans="1:14" hidden="1">
      <c r="A12" s="472" t="s">
        <v>475</v>
      </c>
      <c r="B12" s="533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3"/>
    </row>
    <row r="13" spans="1:14" hidden="1">
      <c r="A13" s="481" t="s">
        <v>454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73"/>
    </row>
    <row r="14" spans="1:14">
      <c r="A14" s="482">
        <v>2014</v>
      </c>
      <c r="B14" s="482">
        <v>527.30999999999995</v>
      </c>
      <c r="C14" s="482">
        <v>472.5</v>
      </c>
      <c r="D14" s="482">
        <v>446.59</v>
      </c>
      <c r="E14" s="482">
        <v>495.04</v>
      </c>
      <c r="F14" s="482">
        <v>548.37</v>
      </c>
      <c r="G14" s="482">
        <v>606.25</v>
      </c>
      <c r="H14" s="482">
        <v>601.20000000000005</v>
      </c>
      <c r="I14" s="482">
        <v>462.2</v>
      </c>
      <c r="J14" s="482">
        <v>507.75</v>
      </c>
      <c r="K14" s="482">
        <v>545.38</v>
      </c>
      <c r="L14" s="482">
        <v>473.91</v>
      </c>
      <c r="M14" s="482">
        <v>547.73</v>
      </c>
      <c r="N14" s="641">
        <f t="shared" ref="N14:N25" si="0">AVERAGE(B14:M14)</f>
        <v>519.51916666666659</v>
      </c>
    </row>
    <row r="15" spans="1:14">
      <c r="A15" s="483">
        <v>2015</v>
      </c>
      <c r="B15" s="483">
        <v>510.2</v>
      </c>
      <c r="C15" s="483">
        <v>568.4</v>
      </c>
      <c r="D15" s="483">
        <v>651.48</v>
      </c>
      <c r="E15" s="483">
        <v>595.29</v>
      </c>
      <c r="F15" s="483">
        <v>584.25</v>
      </c>
      <c r="G15" s="483">
        <v>644.49</v>
      </c>
      <c r="H15" s="483">
        <v>680.02</v>
      </c>
      <c r="I15" s="483">
        <v>579.66</v>
      </c>
      <c r="J15" s="483">
        <v>551.36</v>
      </c>
      <c r="K15" s="483">
        <v>507.64</v>
      </c>
      <c r="L15" s="483">
        <v>503.17</v>
      </c>
      <c r="M15" s="483">
        <v>770.41</v>
      </c>
      <c r="N15" s="642">
        <f t="shared" si="0"/>
        <v>595.53083333333325</v>
      </c>
    </row>
    <row r="16" spans="1:14">
      <c r="A16" s="484">
        <v>2016</v>
      </c>
      <c r="B16" s="484">
        <v>853.07</v>
      </c>
      <c r="C16" s="484">
        <v>928.96</v>
      </c>
      <c r="D16" s="484">
        <v>877.91</v>
      </c>
      <c r="E16" s="484">
        <v>968.00199999999995</v>
      </c>
      <c r="F16" s="484">
        <v>730.44</v>
      </c>
      <c r="G16" s="484">
        <v>896.05</v>
      </c>
      <c r="H16" s="484">
        <v>1325.82</v>
      </c>
      <c r="I16" s="484">
        <v>959.41</v>
      </c>
      <c r="J16" s="484">
        <v>971.12</v>
      </c>
      <c r="K16" s="484">
        <v>931.76</v>
      </c>
      <c r="L16" s="484">
        <v>1161.07</v>
      </c>
      <c r="M16" s="484">
        <v>1168.32</v>
      </c>
      <c r="N16" s="643">
        <f t="shared" si="0"/>
        <v>980.9943333333332</v>
      </c>
    </row>
    <row r="17" spans="1:14">
      <c r="A17" s="485">
        <v>2017</v>
      </c>
      <c r="B17" s="485">
        <v>1134.96</v>
      </c>
      <c r="C17" s="485">
        <v>848.46</v>
      </c>
      <c r="D17" s="485">
        <v>1173.53</v>
      </c>
      <c r="E17" s="485">
        <v>1293.6099999999999</v>
      </c>
      <c r="F17" s="485">
        <v>1519.67</v>
      </c>
      <c r="G17" s="485">
        <v>1476.25</v>
      </c>
      <c r="H17" s="485">
        <v>1481.44</v>
      </c>
      <c r="I17" s="485">
        <v>1463.37</v>
      </c>
      <c r="J17" s="485">
        <v>1440.72</v>
      </c>
      <c r="K17" s="485">
        <v>1297.1199999999999</v>
      </c>
      <c r="L17" s="485">
        <v>1386.38</v>
      </c>
      <c r="M17" s="485">
        <v>1270.0899999999999</v>
      </c>
      <c r="N17" s="644">
        <f t="shared" si="0"/>
        <v>1315.4666666666669</v>
      </c>
    </row>
    <row r="18" spans="1:14">
      <c r="A18" s="486">
        <v>2018</v>
      </c>
      <c r="B18" s="645">
        <v>1457.85</v>
      </c>
      <c r="C18" s="645">
        <v>1284.74</v>
      </c>
      <c r="D18" s="645">
        <v>1360.71</v>
      </c>
      <c r="E18" s="645">
        <v>1183.3900000000001</v>
      </c>
      <c r="F18" s="645">
        <v>1348.93</v>
      </c>
      <c r="G18" s="645">
        <v>1396.58</v>
      </c>
      <c r="H18" s="645">
        <v>1226.8</v>
      </c>
      <c r="I18" s="645">
        <v>1251.18</v>
      </c>
      <c r="J18" s="645">
        <v>1154.72</v>
      </c>
      <c r="K18" s="645">
        <v>953.61</v>
      </c>
      <c r="L18" s="645">
        <v>1089.82</v>
      </c>
      <c r="M18" s="645">
        <v>1266.1099999999999</v>
      </c>
      <c r="N18" s="487">
        <f t="shared" si="0"/>
        <v>1247.8700000000001</v>
      </c>
    </row>
    <row r="19" spans="1:14">
      <c r="A19" s="472">
        <v>2019</v>
      </c>
      <c r="B19" s="646">
        <v>1302.93</v>
      </c>
      <c r="C19" s="646">
        <v>1239.49</v>
      </c>
      <c r="D19" s="646">
        <v>1303.79</v>
      </c>
      <c r="E19" s="646">
        <v>1174.18</v>
      </c>
      <c r="F19" s="646">
        <v>1259.7</v>
      </c>
      <c r="G19" s="646">
        <v>1195.95</v>
      </c>
      <c r="H19" s="646">
        <v>1194.2</v>
      </c>
      <c r="I19" s="646">
        <v>1232.9000000000001</v>
      </c>
      <c r="J19" s="646">
        <v>1391.45</v>
      </c>
      <c r="K19" s="646">
        <v>1305.77</v>
      </c>
      <c r="L19" s="646">
        <v>575.75</v>
      </c>
      <c r="M19" s="646">
        <v>1296.72</v>
      </c>
      <c r="N19" s="473">
        <f t="shared" si="0"/>
        <v>1206.0691666666667</v>
      </c>
    </row>
    <row r="20" spans="1:14">
      <c r="A20" s="488">
        <v>2020</v>
      </c>
      <c r="B20" s="647">
        <v>1231.5</v>
      </c>
      <c r="C20" s="647">
        <v>1160.1300000000001</v>
      </c>
      <c r="D20" s="647">
        <v>1258.8</v>
      </c>
      <c r="E20" s="647">
        <v>1179.44</v>
      </c>
      <c r="F20" s="647">
        <v>1176.08</v>
      </c>
      <c r="G20" s="647">
        <v>1309.51</v>
      </c>
      <c r="H20" s="647">
        <v>1255.67</v>
      </c>
      <c r="I20" s="647">
        <v>1210.6099999999999</v>
      </c>
      <c r="J20" s="647">
        <v>1336.01</v>
      </c>
      <c r="K20" s="647">
        <v>1358.22</v>
      </c>
      <c r="L20" s="647">
        <v>1292.58</v>
      </c>
      <c r="M20" s="647">
        <v>1310.3699999999999</v>
      </c>
      <c r="N20" s="489">
        <f t="shared" si="0"/>
        <v>1256.5766666666668</v>
      </c>
    </row>
    <row r="21" spans="1:14" s="660" customFormat="1">
      <c r="A21" s="664">
        <v>2021</v>
      </c>
      <c r="B21" s="665">
        <v>1327.1</v>
      </c>
      <c r="C21" s="665">
        <v>1337.58</v>
      </c>
      <c r="D21" s="665">
        <v>1310.84</v>
      </c>
      <c r="E21" s="665">
        <v>1238.82</v>
      </c>
      <c r="F21" s="665">
        <v>1349.46</v>
      </c>
      <c r="G21" s="665">
        <v>1258.77</v>
      </c>
      <c r="H21" s="665">
        <v>1328.11</v>
      </c>
      <c r="I21" s="665">
        <v>1287.0392860937002</v>
      </c>
      <c r="J21" s="665">
        <v>1309.68</v>
      </c>
      <c r="K21" s="665">
        <v>1180.1500000000001</v>
      </c>
      <c r="L21" s="665">
        <v>1281.53</v>
      </c>
      <c r="M21" s="665">
        <v>1245.336078229542</v>
      </c>
      <c r="N21" s="666">
        <f t="shared" si="0"/>
        <v>1287.8679470269369</v>
      </c>
    </row>
    <row r="22" spans="1:14" s="655" customFormat="1">
      <c r="A22" s="668">
        <v>2022</v>
      </c>
      <c r="B22" s="669">
        <v>1170.81</v>
      </c>
      <c r="C22" s="669">
        <v>1150.5341556982685</v>
      </c>
      <c r="D22" s="669">
        <v>1214.9251727541955</v>
      </c>
      <c r="E22" s="669">
        <v>1258.3233736168877</v>
      </c>
      <c r="F22" s="669">
        <v>1282.6346261629863</v>
      </c>
      <c r="G22" s="669">
        <v>1289.9599181623732</v>
      </c>
      <c r="H22" s="669">
        <v>1371.2661040700987</v>
      </c>
      <c r="I22" s="669">
        <v>1250.6400000000001</v>
      </c>
      <c r="J22" s="669">
        <v>1224.3900000000001</v>
      </c>
      <c r="K22" s="669">
        <v>1332.76</v>
      </c>
      <c r="L22" s="669">
        <v>1282.72</v>
      </c>
      <c r="M22" s="669">
        <v>1381.2614209655228</v>
      </c>
      <c r="N22" s="670">
        <f t="shared" si="0"/>
        <v>1267.5187309525274</v>
      </c>
    </row>
    <row r="23" spans="1:14" s="653" customFormat="1">
      <c r="A23" s="661">
        <v>2023</v>
      </c>
      <c r="B23" s="662">
        <v>1361.4522967096341</v>
      </c>
      <c r="C23" s="662">
        <v>1543.69</v>
      </c>
      <c r="D23" s="662">
        <v>1380.9448978135185</v>
      </c>
      <c r="E23" s="663">
        <v>1573.4784084480482</v>
      </c>
      <c r="F23" s="663">
        <v>1568.0563585485997</v>
      </c>
      <c r="G23" s="663">
        <v>1510.4678840222084</v>
      </c>
      <c r="H23" s="663">
        <v>1612.3204121687929</v>
      </c>
      <c r="I23" s="663">
        <v>1919.6799933505113</v>
      </c>
      <c r="J23" s="663">
        <v>1951.0502773026487</v>
      </c>
      <c r="K23" s="663">
        <v>1919.2477324263039</v>
      </c>
      <c r="L23" s="663">
        <v>1794.3780407957693</v>
      </c>
      <c r="M23" s="663">
        <v>1971.4734310714493</v>
      </c>
      <c r="N23" s="663">
        <f t="shared" si="0"/>
        <v>1675.5199777214568</v>
      </c>
    </row>
    <row r="24" spans="1:14" s="653" customFormat="1">
      <c r="A24" s="673">
        <v>2024</v>
      </c>
      <c r="B24" s="678">
        <v>1768.4238445378201</v>
      </c>
      <c r="C24" s="719">
        <v>1621.7782620064499</v>
      </c>
      <c r="D24" s="719">
        <v>1647.3905455688905</v>
      </c>
      <c r="E24" s="719">
        <v>1556.0349358198112</v>
      </c>
      <c r="F24" s="719">
        <v>1748.6417260217136</v>
      </c>
      <c r="G24" s="719">
        <v>1614.78</v>
      </c>
      <c r="H24" s="719">
        <v>1845.6832841483979</v>
      </c>
      <c r="I24" s="719">
        <v>1672.4048157509644</v>
      </c>
      <c r="J24" s="719">
        <v>1786.3660252431202</v>
      </c>
      <c r="K24" s="719">
        <v>1875.1801151569216</v>
      </c>
      <c r="L24" s="719">
        <v>1631.4706059920006</v>
      </c>
      <c r="M24" s="719">
        <v>1609.3526685460365</v>
      </c>
      <c r="N24" s="719">
        <v>1698.1255690660103</v>
      </c>
    </row>
    <row r="25" spans="1:14" s="653" customFormat="1">
      <c r="A25" s="707">
        <v>2025</v>
      </c>
      <c r="B25" s="720">
        <v>1796.629885780153</v>
      </c>
      <c r="C25" s="720">
        <v>1852.7925663170881</v>
      </c>
      <c r="D25" s="720">
        <v>1897.5183219494186</v>
      </c>
      <c r="E25" s="720">
        <v>1758.5599317503199</v>
      </c>
      <c r="F25" s="720">
        <v>1775.6004931313844</v>
      </c>
      <c r="G25" s="720">
        <v>1672.3665820597289</v>
      </c>
      <c r="H25" s="720">
        <v>1627.8834644610315</v>
      </c>
      <c r="I25" s="720">
        <v>1665.335241631853</v>
      </c>
      <c r="J25" s="720">
        <v>1696.0680987431776</v>
      </c>
      <c r="K25" s="720">
        <v>1929.4281676872351</v>
      </c>
      <c r="L25" s="720">
        <v>1737.6416935918148</v>
      </c>
      <c r="M25" s="720">
        <v>1698.1803837667981</v>
      </c>
      <c r="N25" s="758">
        <f t="shared" si="0"/>
        <v>1759.0004025725</v>
      </c>
    </row>
    <row r="26" spans="1:14">
      <c r="A26" s="385" t="s">
        <v>436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3" t="s">
        <v>437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33" t="s">
        <v>245</v>
      </c>
      <c r="B29" s="133" t="s">
        <v>246</v>
      </c>
      <c r="C29" s="133" t="s">
        <v>247</v>
      </c>
      <c r="D29" s="133" t="s">
        <v>248</v>
      </c>
      <c r="E29" s="133" t="s">
        <v>249</v>
      </c>
      <c r="F29" s="133" t="s">
        <v>250</v>
      </c>
      <c r="G29" s="133" t="s">
        <v>251</v>
      </c>
      <c r="H29" s="133" t="s">
        <v>252</v>
      </c>
      <c r="I29" s="133" t="s">
        <v>417</v>
      </c>
      <c r="J29" s="133" t="s">
        <v>253</v>
      </c>
      <c r="K29" s="133" t="s">
        <v>254</v>
      </c>
      <c r="L29" s="133" t="s">
        <v>255</v>
      </c>
      <c r="M29" s="133" t="s">
        <v>256</v>
      </c>
      <c r="N29" s="471" t="s">
        <v>257</v>
      </c>
    </row>
    <row r="30" spans="1:14" s="679" customFormat="1">
      <c r="A30" s="684" t="s">
        <v>442</v>
      </c>
      <c r="B30" s="721">
        <v>1538.9</v>
      </c>
      <c r="C30" s="721">
        <v>1829.8400402414486</v>
      </c>
      <c r="D30" s="721">
        <v>1413.5912975912977</v>
      </c>
      <c r="E30" s="721">
        <v>1484.3053333333332</v>
      </c>
      <c r="F30" s="721">
        <v>1357.0707703649098</v>
      </c>
      <c r="G30" s="721">
        <v>1619.4230661826305</v>
      </c>
      <c r="H30" s="721">
        <v>1538.638056680162</v>
      </c>
      <c r="I30" s="721">
        <v>1723.21</v>
      </c>
      <c r="J30" s="721">
        <v>1584.38</v>
      </c>
      <c r="K30" s="721">
        <v>1445.61</v>
      </c>
      <c r="L30" s="721">
        <v>1539.0787206075654</v>
      </c>
      <c r="M30" s="721">
        <v>1689.6917592786747</v>
      </c>
      <c r="N30" s="721">
        <f>AVERAGE(B30:M30)</f>
        <v>1563.6449203566688</v>
      </c>
    </row>
    <row r="31" spans="1:14" s="679" customFormat="1">
      <c r="A31" s="686" t="s">
        <v>443</v>
      </c>
      <c r="B31" s="722">
        <v>1395.4311419665628</v>
      </c>
      <c r="C31" s="722">
        <v>1371.5068933823529</v>
      </c>
      <c r="D31" s="722">
        <v>1381.2557910300641</v>
      </c>
      <c r="E31" s="722">
        <v>1286.0994746059544</v>
      </c>
      <c r="F31" s="722">
        <v>1526.4207836456558</v>
      </c>
      <c r="G31" s="722">
        <v>1153.73</v>
      </c>
      <c r="H31" s="722">
        <v>1708.7351231663438</v>
      </c>
      <c r="I31" s="722">
        <v>1639.17</v>
      </c>
      <c r="J31" s="722">
        <v>1635.355273592387</v>
      </c>
      <c r="K31" s="722">
        <v>1944.03</v>
      </c>
      <c r="L31" s="722">
        <v>1327.6504253673627</v>
      </c>
      <c r="M31" s="722">
        <v>1543.2713711990821</v>
      </c>
      <c r="N31" s="721">
        <f>AVERAGE(B31:M31)</f>
        <v>1492.721356496314</v>
      </c>
    </row>
    <row r="32" spans="1:14" ht="18" customHeight="1">
      <c r="A32" s="686" t="s">
        <v>496</v>
      </c>
      <c r="B32" s="722">
        <v>1998.0988086895586</v>
      </c>
      <c r="C32" s="722">
        <v>1664.4202600958247</v>
      </c>
      <c r="D32" s="722">
        <v>1224.8726016884114</v>
      </c>
      <c r="E32" s="722">
        <v>1350.9981273408239</v>
      </c>
      <c r="F32" s="722">
        <v>1745.8187134502923</v>
      </c>
      <c r="G32" s="722">
        <v>1461.65</v>
      </c>
      <c r="H32" s="722">
        <v>1607.3406193078324</v>
      </c>
      <c r="I32" s="722">
        <v>1909.4957983193278</v>
      </c>
      <c r="J32" s="722">
        <v>1972.1514285714286</v>
      </c>
      <c r="K32" s="722">
        <v>1951.8368121442124</v>
      </c>
      <c r="L32" s="722">
        <v>1515.2720079129574</v>
      </c>
      <c r="M32" s="722">
        <v>1965.8897435897436</v>
      </c>
      <c r="N32" s="722">
        <v>1697.3204100925343</v>
      </c>
    </row>
    <row r="33" spans="1:14" ht="18" customHeight="1">
      <c r="A33" s="686" t="s">
        <v>488</v>
      </c>
      <c r="B33" s="722">
        <v>929.91023987619292</v>
      </c>
      <c r="C33" s="722">
        <v>2460.1317689530688</v>
      </c>
      <c r="D33" s="722">
        <v>1693.7417721518987</v>
      </c>
      <c r="E33" s="722">
        <v>948.1531531531532</v>
      </c>
      <c r="F33" s="722">
        <v>1946.0474111041797</v>
      </c>
      <c r="G33" s="722">
        <v>1798.4348452123829</v>
      </c>
      <c r="H33" s="722">
        <v>2028.1281599059378</v>
      </c>
      <c r="I33" s="722">
        <v>1883.0517354289457</v>
      </c>
      <c r="J33" s="722">
        <v>2167.229357798165</v>
      </c>
      <c r="K33" s="722">
        <v>2885.738768718802</v>
      </c>
      <c r="L33" s="722">
        <v>2756.5171537484116</v>
      </c>
      <c r="M33" s="722">
        <v>2211.0537634408602</v>
      </c>
      <c r="N33" s="721">
        <f>AVERAGE(B33:M33)</f>
        <v>1975.6781774576666</v>
      </c>
    </row>
    <row r="34" spans="1:14">
      <c r="A34" s="38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1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1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</row>
    <row r="53" spans="1:14">
      <c r="A53" s="782" t="s">
        <v>414</v>
      </c>
      <c r="B53" s="782"/>
      <c r="C53" s="782"/>
      <c r="D53" s="782"/>
      <c r="E53" s="782"/>
      <c r="F53" s="782"/>
      <c r="G53" s="782"/>
      <c r="H53" s="782"/>
    </row>
    <row r="55" spans="1:14" ht="25.5">
      <c r="A55" s="723"/>
    </row>
  </sheetData>
  <mergeCells count="2">
    <mergeCell ref="A1:N1"/>
    <mergeCell ref="A53:H5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15" zoomScaleNormal="115" workbookViewId="0">
      <selection activeCell="B7" sqref="B7"/>
    </sheetView>
  </sheetViews>
  <sheetFormatPr defaultRowHeight="16.5"/>
  <cols>
    <col min="1" max="1" width="16.875" customWidth="1"/>
    <col min="2" max="2" width="12.625" customWidth="1"/>
    <col min="3" max="3" width="15.5" customWidth="1"/>
    <col min="4" max="4" width="10.625" customWidth="1"/>
    <col min="5" max="5" width="10.75" customWidth="1"/>
    <col min="7" max="7" width="14.875" customWidth="1"/>
    <col min="8" max="8" width="10.375" customWidth="1"/>
  </cols>
  <sheetData>
    <row r="1" spans="1:9" ht="23.25">
      <c r="A1" s="66" t="s">
        <v>276</v>
      </c>
      <c r="B1" s="1"/>
      <c r="C1" s="1"/>
      <c r="D1" s="1"/>
      <c r="E1" s="111"/>
      <c r="F1" s="1"/>
      <c r="G1" s="111"/>
      <c r="H1" s="1"/>
      <c r="I1" s="1"/>
    </row>
    <row r="2" spans="1:9">
      <c r="A2" s="112"/>
      <c r="B2" s="4"/>
      <c r="C2" s="4"/>
      <c r="D2" s="4"/>
      <c r="E2" s="113"/>
      <c r="F2" s="4"/>
      <c r="G2" s="113"/>
      <c r="H2" s="4"/>
      <c r="I2" s="4"/>
    </row>
    <row r="3" spans="1:9">
      <c r="A3" s="114" t="s">
        <v>0</v>
      </c>
      <c r="B3" s="500"/>
      <c r="C3" s="500"/>
      <c r="D3" s="116"/>
      <c r="E3" s="117"/>
      <c r="F3" s="115"/>
      <c r="G3" s="117"/>
      <c r="H3" s="115"/>
      <c r="I3" s="116"/>
    </row>
    <row r="4" spans="1:9">
      <c r="A4" s="6" t="s">
        <v>272</v>
      </c>
      <c r="B4" s="10" t="s">
        <v>271</v>
      </c>
      <c r="C4" s="10" t="s">
        <v>270</v>
      </c>
      <c r="D4" s="10" t="s">
        <v>1</v>
      </c>
      <c r="E4" s="118" t="s">
        <v>277</v>
      </c>
      <c r="F4" s="10" t="s">
        <v>2</v>
      </c>
      <c r="G4" s="118" t="s">
        <v>278</v>
      </c>
      <c r="H4" s="10" t="s">
        <v>2</v>
      </c>
      <c r="I4" s="119" t="s">
        <v>1</v>
      </c>
    </row>
    <row r="5" spans="1:9">
      <c r="A5" s="12"/>
      <c r="B5" s="48" t="s">
        <v>5</v>
      </c>
      <c r="C5" s="6" t="s">
        <v>4</v>
      </c>
      <c r="D5" s="10" t="s">
        <v>4</v>
      </c>
      <c r="E5" s="118" t="s">
        <v>5</v>
      </c>
      <c r="F5" s="10" t="s">
        <v>5</v>
      </c>
      <c r="G5" s="120" t="s">
        <v>4</v>
      </c>
      <c r="H5" s="6" t="s">
        <v>4</v>
      </c>
      <c r="I5" s="119" t="s">
        <v>4</v>
      </c>
    </row>
    <row r="6" spans="1:9">
      <c r="A6" s="14" t="s">
        <v>6</v>
      </c>
      <c r="B6" s="501"/>
      <c r="C6" s="502"/>
      <c r="D6" s="16"/>
      <c r="E6" s="121"/>
      <c r="F6" s="16"/>
      <c r="G6" s="121"/>
      <c r="H6" s="16"/>
      <c r="I6" s="122"/>
    </row>
    <row r="7" spans="1:9">
      <c r="A7" s="19" t="s">
        <v>7</v>
      </c>
      <c r="B7" s="207">
        <f>SUM(B8:B10)</f>
        <v>255359</v>
      </c>
      <c r="C7" s="26">
        <f>SUM(C8:C10)</f>
        <v>150325908</v>
      </c>
      <c r="D7" s="124">
        <f>C7/B7</f>
        <v>588.68458914704399</v>
      </c>
      <c r="E7" s="125">
        <f>SUM(E8:E10)</f>
        <v>275539</v>
      </c>
      <c r="F7" s="126">
        <f>E7/$E$67</f>
        <v>0.40082597741145254</v>
      </c>
      <c r="G7" s="125">
        <f>SUM(G8:G10)</f>
        <v>164132796</v>
      </c>
      <c r="H7" s="126">
        <f>G7/$G$67</f>
        <v>0.37850308112125347</v>
      </c>
      <c r="I7" s="127">
        <f>G7/E7</f>
        <v>595.6790000689557</v>
      </c>
    </row>
    <row r="8" spans="1:9">
      <c r="A8" s="24" t="s">
        <v>66</v>
      </c>
      <c r="B8" s="25">
        <v>235818</v>
      </c>
      <c r="C8" s="26">
        <v>131697696</v>
      </c>
      <c r="D8" s="128">
        <f>C8/B8</f>
        <v>558.47177060275294</v>
      </c>
      <c r="E8" s="129">
        <f>B8+整車出口!B8</f>
        <v>254909</v>
      </c>
      <c r="F8" s="130">
        <f>E8/$E$67</f>
        <v>0.37081556177519681</v>
      </c>
      <c r="G8" s="131">
        <f>C8+整車出口!C8</f>
        <v>143982416</v>
      </c>
      <c r="H8" s="130">
        <f>G8/$G$67</f>
        <v>0.33203472682742857</v>
      </c>
      <c r="I8" s="132">
        <f>G8/E8</f>
        <v>564.83849530616806</v>
      </c>
    </row>
    <row r="9" spans="1:9">
      <c r="A9" s="29" t="s">
        <v>8</v>
      </c>
      <c r="B9" s="25">
        <v>17389</v>
      </c>
      <c r="C9" s="26">
        <v>16185364</v>
      </c>
      <c r="D9" s="128">
        <f>C9/B9</f>
        <v>930.78175858301222</v>
      </c>
      <c r="E9" s="129">
        <f>B9+整車出口!B9</f>
        <v>18426</v>
      </c>
      <c r="F9" s="130">
        <f>E9/$E$67</f>
        <v>2.6804261682678042E-2</v>
      </c>
      <c r="G9" s="131">
        <f>C9+整車出口!C9</f>
        <v>17634550</v>
      </c>
      <c r="H9" s="130">
        <f>G9/$G$67</f>
        <v>4.066665329448723E-2</v>
      </c>
      <c r="I9" s="132">
        <f>G9/E9</f>
        <v>957.04710734831212</v>
      </c>
    </row>
    <row r="10" spans="1:9">
      <c r="A10" s="29" t="s">
        <v>9</v>
      </c>
      <c r="B10" s="25">
        <v>2152</v>
      </c>
      <c r="C10" s="26">
        <v>2442848</v>
      </c>
      <c r="D10" s="128">
        <f>C10/B10</f>
        <v>1135.1524163568772</v>
      </c>
      <c r="E10" s="129">
        <f>B10+整車出口!B10</f>
        <v>2204</v>
      </c>
      <c r="F10" s="130">
        <f>E10/$E$67</f>
        <v>3.2061539535776836E-3</v>
      </c>
      <c r="G10" s="131">
        <f>C10+整車出口!C10</f>
        <v>2515830</v>
      </c>
      <c r="H10" s="130">
        <f>G10/$G$67</f>
        <v>5.8017009993376525E-3</v>
      </c>
      <c r="I10" s="132">
        <f>G10/E10</f>
        <v>1141.4836660617059</v>
      </c>
    </row>
    <row r="11" spans="1:9">
      <c r="A11" s="133"/>
      <c r="B11" s="25"/>
      <c r="C11" s="25"/>
      <c r="D11" s="128"/>
      <c r="E11" s="131"/>
      <c r="F11" s="130"/>
      <c r="G11" s="131"/>
      <c r="H11" s="130"/>
      <c r="I11" s="132"/>
    </row>
    <row r="12" spans="1:9">
      <c r="A12" s="30" t="s">
        <v>10</v>
      </c>
      <c r="B12" s="25">
        <f>SUM(B13:B40)</f>
        <v>257822</v>
      </c>
      <c r="C12" s="25">
        <f>SUM(C13:C40)</f>
        <v>129656375</v>
      </c>
      <c r="D12" s="124">
        <f t="shared" ref="D12:D26" si="0">C12/B12</f>
        <v>502.89104498452423</v>
      </c>
      <c r="E12" s="134">
        <f>SUM(E13:E40)</f>
        <v>279921</v>
      </c>
      <c r="F12" s="126">
        <f t="shared" ref="F12:F40" si="1">E12/$E$67</f>
        <v>0.40720046317577985</v>
      </c>
      <c r="G12" s="134">
        <f>SUM(G13:G40)</f>
        <v>159348531</v>
      </c>
      <c r="H12" s="126">
        <f t="shared" ref="H12:H39" si="2">G12/$G$67</f>
        <v>0.36747019136654185</v>
      </c>
      <c r="I12" s="127">
        <f t="shared" ref="I12:I24" si="3">G12/E12</f>
        <v>569.26250977954498</v>
      </c>
    </row>
    <row r="13" spans="1:9">
      <c r="A13" s="24" t="s">
        <v>11</v>
      </c>
      <c r="B13" s="25">
        <v>46882</v>
      </c>
      <c r="C13" s="25">
        <v>46476740</v>
      </c>
      <c r="D13" s="128">
        <f t="shared" si="0"/>
        <v>991.35574420886485</v>
      </c>
      <c r="E13" s="129">
        <f>B13+整車出口!B13</f>
        <v>55527</v>
      </c>
      <c r="F13" s="130">
        <f t="shared" si="1"/>
        <v>8.0775004800502745E-2</v>
      </c>
      <c r="G13" s="131">
        <f>C13+整車出口!C13</f>
        <v>60990169</v>
      </c>
      <c r="H13" s="130">
        <f t="shared" si="2"/>
        <v>0.14064810596784055</v>
      </c>
      <c r="I13" s="132">
        <f t="shared" si="3"/>
        <v>1098.3876132332018</v>
      </c>
    </row>
    <row r="14" spans="1:9">
      <c r="A14" s="24" t="s">
        <v>12</v>
      </c>
      <c r="B14" s="25">
        <v>33765</v>
      </c>
      <c r="C14" s="25">
        <v>11050384</v>
      </c>
      <c r="D14" s="128">
        <f t="shared" si="0"/>
        <v>327.27333037168665</v>
      </c>
      <c r="E14" s="129">
        <f>B14+整車出口!B14</f>
        <v>35980</v>
      </c>
      <c r="F14" s="130">
        <f t="shared" si="1"/>
        <v>5.2340026882815367E-2</v>
      </c>
      <c r="G14" s="131">
        <f>C14+整車出口!C14</f>
        <v>13381456</v>
      </c>
      <c r="H14" s="130">
        <f t="shared" si="2"/>
        <v>3.0858685462766891E-2</v>
      </c>
      <c r="I14" s="132">
        <f t="shared" si="3"/>
        <v>371.91372984991659</v>
      </c>
    </row>
    <row r="15" spans="1:9">
      <c r="A15" s="29" t="s">
        <v>13</v>
      </c>
      <c r="B15" s="25">
        <v>5055</v>
      </c>
      <c r="C15" s="25">
        <v>4878339</v>
      </c>
      <c r="D15" s="128">
        <f t="shared" si="0"/>
        <v>965.05222551928784</v>
      </c>
      <c r="E15" s="129">
        <f>B15+整車出口!B15</f>
        <v>6273</v>
      </c>
      <c r="F15" s="130">
        <f t="shared" si="1"/>
        <v>9.1253193061673361E-3</v>
      </c>
      <c r="G15" s="131">
        <f>C15+整車出口!C15</f>
        <v>6656999</v>
      </c>
      <c r="H15" s="130">
        <f t="shared" si="2"/>
        <v>1.5351561016002574E-2</v>
      </c>
      <c r="I15" s="132">
        <f t="shared" si="3"/>
        <v>1061.2145703809979</v>
      </c>
    </row>
    <row r="16" spans="1:9">
      <c r="A16" s="24" t="s">
        <v>14</v>
      </c>
      <c r="B16" s="25">
        <v>45127</v>
      </c>
      <c r="C16" s="25">
        <v>18026058</v>
      </c>
      <c r="D16" s="128">
        <f t="shared" si="0"/>
        <v>399.45172513129614</v>
      </c>
      <c r="E16" s="129">
        <f>B16+整車出口!B48</f>
        <v>49485</v>
      </c>
      <c r="F16" s="130">
        <f t="shared" si="1"/>
        <v>7.1985720686384605E-2</v>
      </c>
      <c r="G16" s="131">
        <f>C16+整車出口!C48</f>
        <v>22030937</v>
      </c>
      <c r="H16" s="130">
        <f t="shared" si="2"/>
        <v>5.0805066005749543E-2</v>
      </c>
      <c r="I16" s="132">
        <f t="shared" si="3"/>
        <v>445.20434475093464</v>
      </c>
    </row>
    <row r="17" spans="1:9">
      <c r="A17" s="24" t="s">
        <v>15</v>
      </c>
      <c r="B17" s="25">
        <v>4714</v>
      </c>
      <c r="C17" s="25">
        <v>5279501</v>
      </c>
      <c r="D17" s="128">
        <f t="shared" si="0"/>
        <v>1119.962028001697</v>
      </c>
      <c r="E17" s="129">
        <f>B17+整車出口!B16</f>
        <v>6228</v>
      </c>
      <c r="F17" s="130">
        <f t="shared" si="1"/>
        <v>9.05985790511879E-3</v>
      </c>
      <c r="G17" s="131">
        <f>C17+整車出口!C16</f>
        <v>8076119</v>
      </c>
      <c r="H17" s="130">
        <f t="shared" si="2"/>
        <v>1.8624162869935491E-2</v>
      </c>
      <c r="I17" s="132">
        <f t="shared" si="3"/>
        <v>1296.7435773924212</v>
      </c>
    </row>
    <row r="18" spans="1:9">
      <c r="A18" s="29" t="s">
        <v>16</v>
      </c>
      <c r="B18" s="25">
        <v>3982</v>
      </c>
      <c r="C18" s="25">
        <v>4561328</v>
      </c>
      <c r="D18" s="128">
        <f t="shared" si="0"/>
        <v>1145.4866901054747</v>
      </c>
      <c r="E18" s="129">
        <f>B18+整車出口!B17</f>
        <v>5215</v>
      </c>
      <c r="F18" s="130">
        <f t="shared" si="1"/>
        <v>7.5862490326259625E-3</v>
      </c>
      <c r="G18" s="131">
        <f>C18+整車出口!C17</f>
        <v>6088632</v>
      </c>
      <c r="H18" s="130">
        <f t="shared" si="2"/>
        <v>1.4040862204123176E-2</v>
      </c>
      <c r="I18" s="132">
        <f t="shared" si="3"/>
        <v>1167.5229146692234</v>
      </c>
    </row>
    <row r="19" spans="1:9">
      <c r="A19" s="29" t="s">
        <v>17</v>
      </c>
      <c r="B19" s="25">
        <v>29561</v>
      </c>
      <c r="C19" s="25">
        <v>24629307</v>
      </c>
      <c r="D19" s="128">
        <f t="shared" si="0"/>
        <v>833.16893880450596</v>
      </c>
      <c r="E19" s="129">
        <f>B19+整車出口!B18</f>
        <v>30194</v>
      </c>
      <c r="F19" s="130">
        <f t="shared" si="1"/>
        <v>4.3923145405773405E-2</v>
      </c>
      <c r="G19" s="131">
        <f>C19+整車出口!C18</f>
        <v>26000886</v>
      </c>
      <c r="H19" s="130">
        <f t="shared" si="2"/>
        <v>5.9960079293857049E-2</v>
      </c>
      <c r="I19" s="132">
        <f t="shared" si="3"/>
        <v>861.12757501490364</v>
      </c>
    </row>
    <row r="20" spans="1:9">
      <c r="A20" s="24" t="s">
        <v>18</v>
      </c>
      <c r="B20" s="25">
        <v>11670</v>
      </c>
      <c r="C20" s="25">
        <v>1520694</v>
      </c>
      <c r="D20" s="128">
        <f t="shared" si="0"/>
        <v>130.30796915167096</v>
      </c>
      <c r="E20" s="129">
        <f>B20+整車出口!B19</f>
        <v>11670</v>
      </c>
      <c r="F20" s="130">
        <f t="shared" si="1"/>
        <v>1.697632333858964E-2</v>
      </c>
      <c r="G20" s="131">
        <f>C20+整車出口!C19</f>
        <v>1520694</v>
      </c>
      <c r="H20" s="130">
        <f t="shared" si="2"/>
        <v>3.5068394523822249E-3</v>
      </c>
      <c r="I20" s="132">
        <f t="shared" si="3"/>
        <v>130.30796915167096</v>
      </c>
    </row>
    <row r="21" spans="1:9">
      <c r="A21" s="29" t="s">
        <v>67</v>
      </c>
      <c r="B21" s="25">
        <v>17</v>
      </c>
      <c r="C21" s="25">
        <v>30939</v>
      </c>
      <c r="D21" s="128">
        <f t="shared" si="0"/>
        <v>1819.9411764705883</v>
      </c>
      <c r="E21" s="129">
        <f>B21+整車出口!B20</f>
        <v>17</v>
      </c>
      <c r="F21" s="130">
        <f t="shared" si="1"/>
        <v>2.4729862618339667E-5</v>
      </c>
      <c r="G21" s="131">
        <f>C21+整車出口!C20</f>
        <v>30939</v>
      </c>
      <c r="H21" s="130">
        <f t="shared" si="2"/>
        <v>7.1347756890770701E-5</v>
      </c>
      <c r="I21" s="132">
        <f t="shared" si="3"/>
        <v>1819.9411764705883</v>
      </c>
    </row>
    <row r="22" spans="1:9">
      <c r="A22" s="24" t="s">
        <v>20</v>
      </c>
      <c r="B22" s="25">
        <v>5762</v>
      </c>
      <c r="C22" s="25">
        <v>358920</v>
      </c>
      <c r="D22" s="128">
        <f t="shared" si="0"/>
        <v>62.290871225269001</v>
      </c>
      <c r="E22" s="129">
        <f>B22+整車出口!B21</f>
        <v>5762</v>
      </c>
      <c r="F22" s="130">
        <f t="shared" si="1"/>
        <v>8.3819687298160687E-3</v>
      </c>
      <c r="G22" s="131">
        <f>C22+整車出口!C21</f>
        <v>358920</v>
      </c>
      <c r="H22" s="130">
        <f t="shared" si="2"/>
        <v>8.2769762769434752E-4</v>
      </c>
      <c r="I22" s="132">
        <f t="shared" si="3"/>
        <v>62.290871225269001</v>
      </c>
    </row>
    <row r="23" spans="1:9">
      <c r="A23" s="29" t="s">
        <v>21</v>
      </c>
      <c r="B23" s="25">
        <v>0</v>
      </c>
      <c r="C23" s="25">
        <v>0</v>
      </c>
      <c r="D23" s="128">
        <v>0</v>
      </c>
      <c r="E23" s="129">
        <f>B23+整車出口!B22</f>
        <v>0</v>
      </c>
      <c r="F23" s="130">
        <f t="shared" si="1"/>
        <v>0</v>
      </c>
      <c r="G23" s="131">
        <f>C23+整車出口!C22</f>
        <v>0</v>
      </c>
      <c r="H23" s="130">
        <f t="shared" si="2"/>
        <v>0</v>
      </c>
      <c r="I23" s="132">
        <v>0</v>
      </c>
    </row>
    <row r="24" spans="1:9">
      <c r="A24" s="29" t="s">
        <v>22</v>
      </c>
      <c r="B24" s="25">
        <v>119</v>
      </c>
      <c r="C24" s="25">
        <v>182952</v>
      </c>
      <c r="D24" s="128">
        <f t="shared" si="0"/>
        <v>1537.4117647058824</v>
      </c>
      <c r="E24" s="129">
        <f>B24+整車出口!B23</f>
        <v>119</v>
      </c>
      <c r="F24" s="130">
        <f t="shared" si="1"/>
        <v>1.7310903832837767E-4</v>
      </c>
      <c r="G24" s="131">
        <f>C24+整車出口!C23</f>
        <v>182952</v>
      </c>
      <c r="H24" s="130">
        <f t="shared" si="2"/>
        <v>4.21901639312204E-4</v>
      </c>
      <c r="I24" s="132">
        <f t="shared" si="3"/>
        <v>1537.4117647058824</v>
      </c>
    </row>
    <row r="25" spans="1:9">
      <c r="A25" s="29" t="s">
        <v>23</v>
      </c>
      <c r="B25" s="25">
        <v>334</v>
      </c>
      <c r="C25" s="25">
        <v>408467</v>
      </c>
      <c r="D25" s="128">
        <f t="shared" si="0"/>
        <v>1222.9550898203593</v>
      </c>
      <c r="E25" s="129">
        <f>B25+整車出口!B24</f>
        <v>334</v>
      </c>
      <c r="F25" s="130">
        <f t="shared" si="1"/>
        <v>4.8586906556032051E-4</v>
      </c>
      <c r="G25" s="131">
        <f>C25+整車出口!C24</f>
        <v>408467</v>
      </c>
      <c r="H25" s="130">
        <f t="shared" si="2"/>
        <v>9.419568898122898E-4</v>
      </c>
      <c r="I25" s="132">
        <f>G25/E25</f>
        <v>1222.9550898203593</v>
      </c>
    </row>
    <row r="26" spans="1:9">
      <c r="A26" s="24" t="s">
        <v>24</v>
      </c>
      <c r="B26" s="25">
        <v>47967</v>
      </c>
      <c r="C26" s="25">
        <v>6604866</v>
      </c>
      <c r="D26" s="128">
        <f t="shared" si="0"/>
        <v>137.69604102820691</v>
      </c>
      <c r="E26" s="129">
        <f>B26+整車出口!B25</f>
        <v>47967</v>
      </c>
      <c r="F26" s="130">
        <f t="shared" si="1"/>
        <v>6.9777489424346986E-2</v>
      </c>
      <c r="G26" s="131">
        <f>C26+整車出口!C25</f>
        <v>6604866</v>
      </c>
      <c r="H26" s="130">
        <f t="shared" si="2"/>
        <v>1.5231338235370151E-2</v>
      </c>
      <c r="I26" s="132">
        <f>G26/E26</f>
        <v>137.69604102820691</v>
      </c>
    </row>
    <row r="27" spans="1:9">
      <c r="A27" s="24" t="s">
        <v>25</v>
      </c>
      <c r="B27" s="25">
        <v>1021</v>
      </c>
      <c r="C27" s="25">
        <v>333058</v>
      </c>
      <c r="D27" s="128">
        <f>C27/B27</f>
        <v>326.20763956904995</v>
      </c>
      <c r="E27" s="129">
        <f>B27+整車出口!B26</f>
        <v>1021</v>
      </c>
      <c r="F27" s="130">
        <f t="shared" si="1"/>
        <v>1.4852464549014587E-3</v>
      </c>
      <c r="G27" s="131">
        <f>C27+整車出口!C26</f>
        <v>333058</v>
      </c>
      <c r="H27" s="130">
        <f t="shared" si="2"/>
        <v>7.6805783039291203E-4</v>
      </c>
      <c r="I27" s="132">
        <f>G27/E27</f>
        <v>326.20763956904995</v>
      </c>
    </row>
    <row r="28" spans="1:9">
      <c r="A28" s="29" t="s">
        <v>76</v>
      </c>
      <c r="B28" s="25">
        <v>4780</v>
      </c>
      <c r="C28" s="25">
        <v>1686638</v>
      </c>
      <c r="D28" s="128">
        <f t="shared" ref="D28:D40" si="4">C28/B28</f>
        <v>352.85313807531378</v>
      </c>
      <c r="E28" s="129">
        <f>B28+整車出口!B27</f>
        <v>5634</v>
      </c>
      <c r="F28" s="130">
        <f t="shared" si="1"/>
        <v>8.1957674112779818E-3</v>
      </c>
      <c r="G28" s="131">
        <f>C28+整車出口!C27</f>
        <v>2402875</v>
      </c>
      <c r="H28" s="130">
        <f t="shared" si="2"/>
        <v>5.5412179236210167E-3</v>
      </c>
      <c r="I28" s="132">
        <f t="shared" ref="I28:I40" si="5">G28/E28</f>
        <v>426.49538516151932</v>
      </c>
    </row>
    <row r="29" spans="1:9">
      <c r="A29" s="29" t="s">
        <v>77</v>
      </c>
      <c r="B29" s="25">
        <v>922</v>
      </c>
      <c r="C29" s="25">
        <v>594410</v>
      </c>
      <c r="D29" s="128">
        <f t="shared" si="4"/>
        <v>644.69631236442513</v>
      </c>
      <c r="E29" s="129">
        <f>B29+整車出口!B28</f>
        <v>1703</v>
      </c>
      <c r="F29" s="130">
        <f t="shared" si="1"/>
        <v>2.4773503552372031E-3</v>
      </c>
      <c r="G29" s="131">
        <f>C29+整車出口!C28</f>
        <v>823438</v>
      </c>
      <c r="H29" s="130">
        <f t="shared" si="2"/>
        <v>1.8989125129649453E-3</v>
      </c>
      <c r="I29" s="132">
        <f t="shared" si="5"/>
        <v>483.52201996476805</v>
      </c>
    </row>
    <row r="30" spans="1:9">
      <c r="A30" s="29" t="s">
        <v>26</v>
      </c>
      <c r="B30" s="25">
        <v>4410</v>
      </c>
      <c r="C30" s="25">
        <v>317156</v>
      </c>
      <c r="D30" s="128">
        <f t="shared" si="4"/>
        <v>71.917460317460311</v>
      </c>
      <c r="E30" s="129">
        <f>B30+整車出口!B29</f>
        <v>4843</v>
      </c>
      <c r="F30" s="130">
        <f t="shared" si="1"/>
        <v>7.0451014506246476E-3</v>
      </c>
      <c r="G30" s="131">
        <f>C30+整車出口!C29</f>
        <v>653042</v>
      </c>
      <c r="H30" s="130">
        <f t="shared" si="2"/>
        <v>1.5059659929365099E-3</v>
      </c>
      <c r="I30" s="132">
        <f t="shared" si="5"/>
        <v>134.84245302498451</v>
      </c>
    </row>
    <row r="31" spans="1:9">
      <c r="A31" s="29" t="s">
        <v>27</v>
      </c>
      <c r="B31" s="25">
        <v>40</v>
      </c>
      <c r="C31" s="25">
        <v>6163</v>
      </c>
      <c r="D31" s="128">
        <f t="shared" si="4"/>
        <v>154.07499999999999</v>
      </c>
      <c r="E31" s="129">
        <f>B31+整車出口!B30</f>
        <v>40</v>
      </c>
      <c r="F31" s="130">
        <f t="shared" si="1"/>
        <v>5.8187912043152153E-5</v>
      </c>
      <c r="G31" s="131">
        <f>C31+整車出口!C30</f>
        <v>6163</v>
      </c>
      <c r="H31" s="130">
        <f t="shared" si="2"/>
        <v>1.4212360636019903E-5</v>
      </c>
      <c r="I31" s="132">
        <f t="shared" si="5"/>
        <v>154.07499999999999</v>
      </c>
    </row>
    <row r="32" spans="1:9">
      <c r="A32" s="29" t="s">
        <v>28</v>
      </c>
      <c r="B32" s="25">
        <v>3960</v>
      </c>
      <c r="C32" s="25">
        <v>1053947</v>
      </c>
      <c r="D32" s="128">
        <f t="shared" si="4"/>
        <v>266.14823232323232</v>
      </c>
      <c r="E32" s="129">
        <f>B32+整車出口!B31</f>
        <v>3960</v>
      </c>
      <c r="F32" s="130">
        <f t="shared" si="1"/>
        <v>5.7606032922720637E-3</v>
      </c>
      <c r="G32" s="131">
        <f>C32+整車出口!C31</f>
        <v>1053947</v>
      </c>
      <c r="H32" s="130">
        <f t="shared" si="2"/>
        <v>2.4304843185544815E-3</v>
      </c>
      <c r="I32" s="132">
        <f t="shared" si="5"/>
        <v>266.14823232323232</v>
      </c>
    </row>
    <row r="33" spans="1:9">
      <c r="A33" s="29" t="s">
        <v>29</v>
      </c>
      <c r="B33" s="25">
        <v>50</v>
      </c>
      <c r="C33" s="25">
        <v>5012</v>
      </c>
      <c r="D33" s="128">
        <f t="shared" si="4"/>
        <v>100.24</v>
      </c>
      <c r="E33" s="129">
        <f>B33+整車出口!B32</f>
        <v>50</v>
      </c>
      <c r="F33" s="130">
        <f t="shared" si="1"/>
        <v>7.273489005394019E-5</v>
      </c>
      <c r="G33" s="131">
        <f>C33+整車出口!C32</f>
        <v>5012</v>
      </c>
      <c r="H33" s="130">
        <f t="shared" si="2"/>
        <v>1.1558064499064052E-5</v>
      </c>
      <c r="I33" s="132">
        <f t="shared" si="5"/>
        <v>100.24</v>
      </c>
    </row>
    <row r="34" spans="1:9">
      <c r="A34" s="29" t="s">
        <v>30</v>
      </c>
      <c r="B34" s="25">
        <v>1653</v>
      </c>
      <c r="C34" s="25">
        <v>396869</v>
      </c>
      <c r="D34" s="128">
        <f t="shared" si="4"/>
        <v>240.09013914095584</v>
      </c>
      <c r="E34" s="129">
        <f>B34+整車出口!B33</f>
        <v>1653</v>
      </c>
      <c r="F34" s="130">
        <f t="shared" si="1"/>
        <v>2.4046154651832627E-3</v>
      </c>
      <c r="G34" s="131">
        <f>C34+整車出口!C33</f>
        <v>396869</v>
      </c>
      <c r="H34" s="130">
        <f t="shared" si="2"/>
        <v>9.1521099355128721E-4</v>
      </c>
      <c r="I34" s="132">
        <f t="shared" si="5"/>
        <v>240.09013914095584</v>
      </c>
    </row>
    <row r="35" spans="1:9">
      <c r="A35" s="29" t="s">
        <v>31</v>
      </c>
      <c r="B35" s="25">
        <v>4285</v>
      </c>
      <c r="C35" s="25">
        <v>889054</v>
      </c>
      <c r="D35" s="128">
        <f t="shared" si="4"/>
        <v>207.48051341890314</v>
      </c>
      <c r="E35" s="129">
        <f>B35+整車出口!B34</f>
        <v>4500</v>
      </c>
      <c r="F35" s="130">
        <f t="shared" si="1"/>
        <v>6.5461401048546178E-3</v>
      </c>
      <c r="G35" s="131">
        <f>C35+整車出口!C34</f>
        <v>976518</v>
      </c>
      <c r="H35" s="130">
        <f t="shared" si="2"/>
        <v>2.2519269809451376E-3</v>
      </c>
      <c r="I35" s="132">
        <f t="shared" si="5"/>
        <v>217.00399999999999</v>
      </c>
    </row>
    <row r="36" spans="1:9">
      <c r="A36" s="29" t="s">
        <v>32</v>
      </c>
      <c r="B36" s="25">
        <v>349</v>
      </c>
      <c r="C36" s="25">
        <v>125664</v>
      </c>
      <c r="D36" s="128">
        <f t="shared" si="4"/>
        <v>360.06876790830944</v>
      </c>
      <c r="E36" s="129">
        <f>B36+整車出口!B35</f>
        <v>349</v>
      </c>
      <c r="F36" s="130">
        <f t="shared" si="1"/>
        <v>5.0768953257650251E-4</v>
      </c>
      <c r="G36" s="131">
        <f>C36+整車出口!C35</f>
        <v>125664</v>
      </c>
      <c r="H36" s="130">
        <f t="shared" si="2"/>
        <v>2.8979102498211996E-4</v>
      </c>
      <c r="I36" s="132">
        <f t="shared" si="5"/>
        <v>360.06876790830944</v>
      </c>
    </row>
    <row r="37" spans="1:9">
      <c r="A37" s="29" t="s">
        <v>78</v>
      </c>
      <c r="B37" s="25">
        <v>305</v>
      </c>
      <c r="C37" s="25">
        <v>42328</v>
      </c>
      <c r="D37" s="128">
        <f t="shared" si="4"/>
        <v>138.78032786885245</v>
      </c>
      <c r="E37" s="129">
        <f>B37+整車出口!B36</f>
        <v>305</v>
      </c>
      <c r="F37" s="130">
        <f t="shared" si="1"/>
        <v>4.4368282932903517E-4</v>
      </c>
      <c r="G37" s="131">
        <f>C37+整車出口!C36</f>
        <v>42328</v>
      </c>
      <c r="H37" s="130">
        <f t="shared" si="2"/>
        <v>9.7611682784593619E-5</v>
      </c>
      <c r="I37" s="132">
        <f t="shared" si="5"/>
        <v>138.78032786885245</v>
      </c>
    </row>
    <row r="38" spans="1:9">
      <c r="A38" s="29" t="s">
        <v>34</v>
      </c>
      <c r="B38" s="25">
        <v>118</v>
      </c>
      <c r="C38" s="25">
        <v>15185</v>
      </c>
      <c r="D38" s="128">
        <f t="shared" si="4"/>
        <v>128.68644067796609</v>
      </c>
      <c r="E38" s="129">
        <f>B38+整車出口!B37</f>
        <v>118</v>
      </c>
      <c r="F38" s="130">
        <f t="shared" si="1"/>
        <v>1.7165434052729886E-4</v>
      </c>
      <c r="G38" s="131">
        <f>C38+整車出口!C37</f>
        <v>15185</v>
      </c>
      <c r="H38" s="130">
        <f t="shared" si="2"/>
        <v>3.5017799165659945E-5</v>
      </c>
      <c r="I38" s="132">
        <f t="shared" si="5"/>
        <v>128.68644067796609</v>
      </c>
    </row>
    <row r="39" spans="1:9">
      <c r="A39" s="29" t="s">
        <v>35</v>
      </c>
      <c r="B39" s="25">
        <v>73</v>
      </c>
      <c r="C39" s="25">
        <v>14550</v>
      </c>
      <c r="D39" s="128">
        <f t="shared" si="4"/>
        <v>199.31506849315068</v>
      </c>
      <c r="E39" s="129">
        <f>B39+整車出口!B38</f>
        <v>73</v>
      </c>
      <c r="F39" s="130">
        <f t="shared" si="1"/>
        <v>1.0619293947875269E-4</v>
      </c>
      <c r="G39" s="131">
        <f>C39+整車出口!C38</f>
        <v>14550</v>
      </c>
      <c r="H39" s="130">
        <f t="shared" si="2"/>
        <v>3.3553439437626094E-5</v>
      </c>
      <c r="I39" s="132">
        <f t="shared" si="5"/>
        <v>199.31506849315068</v>
      </c>
    </row>
    <row r="40" spans="1:9">
      <c r="A40" s="29" t="s">
        <v>79</v>
      </c>
      <c r="B40" s="25">
        <v>901</v>
      </c>
      <c r="C40" s="25">
        <v>167846</v>
      </c>
      <c r="D40" s="128">
        <f t="shared" si="4"/>
        <v>186.28856825749168</v>
      </c>
      <c r="E40" s="129">
        <f>B40+整車出口!B39</f>
        <v>901</v>
      </c>
      <c r="F40" s="130">
        <f t="shared" si="1"/>
        <v>1.3106827187720023E-3</v>
      </c>
      <c r="G40" s="131">
        <f>C40+整車出口!C39</f>
        <v>167846</v>
      </c>
      <c r="H40" s="130">
        <f>G43/$G$67</f>
        <v>1.2621318802002094E-2</v>
      </c>
      <c r="I40" s="132">
        <f t="shared" si="5"/>
        <v>186.28856825749168</v>
      </c>
    </row>
    <row r="41" spans="1:9">
      <c r="A41" s="29"/>
      <c r="B41" s="25"/>
      <c r="C41" s="25"/>
      <c r="D41" s="128"/>
      <c r="E41" s="131"/>
      <c r="F41" s="130"/>
      <c r="G41" s="131"/>
      <c r="H41" s="130"/>
      <c r="I41" s="132"/>
    </row>
    <row r="42" spans="1:9">
      <c r="A42" s="32" t="s">
        <v>37</v>
      </c>
      <c r="B42" s="25">
        <f>SUM(B43:B46)</f>
        <v>18052</v>
      </c>
      <c r="C42" s="25">
        <f>SUM(C43:C46)</f>
        <v>11432688</v>
      </c>
      <c r="D42" s="124">
        <f>C42/B42</f>
        <v>633.31974296476847</v>
      </c>
      <c r="E42" s="134">
        <f>SUM(E43:E46)</f>
        <v>19681</v>
      </c>
      <c r="F42" s="126">
        <f>E42/$E$67</f>
        <v>2.8629907423031939E-2</v>
      </c>
      <c r="G42" s="134">
        <f>SUM(G43:G46)</f>
        <v>12574027</v>
      </c>
      <c r="H42" s="126">
        <f>G42/$G$67</f>
        <v>2.8996690957496584E-2</v>
      </c>
      <c r="I42" s="127">
        <f>G42/E42</f>
        <v>638.89167217112947</v>
      </c>
    </row>
    <row r="43" spans="1:9">
      <c r="A43" s="24" t="s">
        <v>38</v>
      </c>
      <c r="B43" s="25">
        <v>4913</v>
      </c>
      <c r="C43" s="25">
        <v>5199000</v>
      </c>
      <c r="D43" s="128">
        <f>C43/B43</f>
        <v>1058.2129045389781</v>
      </c>
      <c r="E43" s="129">
        <f>B43+整車出口!B42</f>
        <v>5107</v>
      </c>
      <c r="F43" s="130">
        <f>E43/$E$67</f>
        <v>7.4291416701094517E-3</v>
      </c>
      <c r="G43" s="131">
        <f>C43+整車出口!C42</f>
        <v>5473066</v>
      </c>
      <c r="H43" s="130">
        <f>G43/$G$67</f>
        <v>1.2621318802002094E-2</v>
      </c>
      <c r="I43" s="132">
        <f>G43/E43</f>
        <v>1071.6792637556296</v>
      </c>
    </row>
    <row r="44" spans="1:9">
      <c r="A44" s="24" t="s">
        <v>39</v>
      </c>
      <c r="B44" s="25">
        <v>12855</v>
      </c>
      <c r="C44" s="25">
        <v>6039744</v>
      </c>
      <c r="D44" s="128">
        <f>C44/B44</f>
        <v>469.83617269544925</v>
      </c>
      <c r="E44" s="129">
        <f>B44+整車出口!B43</f>
        <v>14290</v>
      </c>
      <c r="F44" s="130">
        <f>E44/$E$67</f>
        <v>2.0787631577416109E-2</v>
      </c>
      <c r="G44" s="131">
        <f>C44+整車出口!C43</f>
        <v>6907017</v>
      </c>
      <c r="H44" s="130">
        <f>G44/$G$67</f>
        <v>1.5928122103378271E-2</v>
      </c>
      <c r="I44" s="132">
        <f>G44/E44</f>
        <v>483.34618614415677</v>
      </c>
    </row>
    <row r="45" spans="1:9">
      <c r="A45" s="24" t="s">
        <v>40</v>
      </c>
      <c r="B45" s="25">
        <v>284</v>
      </c>
      <c r="C45" s="25">
        <v>193944</v>
      </c>
      <c r="D45" s="128">
        <f>C45/B45</f>
        <v>682.90140845070425</v>
      </c>
      <c r="E45" s="129">
        <f>B45+整車出口!B44</f>
        <v>284</v>
      </c>
      <c r="F45" s="130">
        <f>E45/$E$67</f>
        <v>4.1313417550638032E-4</v>
      </c>
      <c r="G45" s="131">
        <f>C45+整車出口!C44</f>
        <v>193944</v>
      </c>
      <c r="H45" s="130">
        <f>G45/$G$67</f>
        <v>4.4725005211621683E-4</v>
      </c>
      <c r="I45" s="132">
        <f>G45/E45</f>
        <v>682.90140845070425</v>
      </c>
    </row>
    <row r="46" spans="1:9">
      <c r="A46" s="29" t="s">
        <v>41</v>
      </c>
      <c r="B46" s="25">
        <v>0</v>
      </c>
      <c r="C46" s="25">
        <v>0</v>
      </c>
      <c r="D46" s="128">
        <v>0</v>
      </c>
      <c r="E46" s="129">
        <f>B46+整車出口!B45</f>
        <v>0</v>
      </c>
      <c r="F46" s="130">
        <f>E46/$E$67</f>
        <v>0</v>
      </c>
      <c r="G46" s="131">
        <f>C46+整車出口!C45</f>
        <v>0</v>
      </c>
      <c r="H46" s="130">
        <f>G46/$G$67</f>
        <v>0</v>
      </c>
      <c r="I46" s="132">
        <v>0</v>
      </c>
    </row>
    <row r="47" spans="1:9">
      <c r="A47" s="29"/>
      <c r="B47" s="25"/>
      <c r="C47" s="25"/>
      <c r="D47" s="128"/>
      <c r="E47" s="131"/>
      <c r="F47" s="130"/>
      <c r="G47" s="131"/>
      <c r="H47" s="130"/>
      <c r="I47" s="132"/>
    </row>
    <row r="48" spans="1:9">
      <c r="A48" s="32" t="s">
        <v>42</v>
      </c>
      <c r="B48" s="25">
        <f>SUM(B49:B65)</f>
        <v>88503</v>
      </c>
      <c r="C48" s="25">
        <f>SUM(C49:C65)</f>
        <v>72900258</v>
      </c>
      <c r="D48" s="124">
        <f>C48/B48</f>
        <v>823.70380665062203</v>
      </c>
      <c r="E48" s="134">
        <f>SUM(E49:E65)</f>
        <v>98166</v>
      </c>
      <c r="F48" s="126">
        <f t="shared" ref="F48:F66" si="6">E48/$E$67</f>
        <v>0.14280186434070186</v>
      </c>
      <c r="G48" s="134">
        <f>SUM(G49:G65)</f>
        <v>85284311</v>
      </c>
      <c r="H48" s="126">
        <f t="shared" ref="H48:H66" si="7">G48/$G$67</f>
        <v>0.19667229993939303</v>
      </c>
      <c r="I48" s="127">
        <f t="shared" ref="I48:I65" si="8">G48/E48</f>
        <v>868.77647046839024</v>
      </c>
    </row>
    <row r="49" spans="1:9">
      <c r="A49" s="24" t="s">
        <v>43</v>
      </c>
      <c r="B49" s="25">
        <v>29664</v>
      </c>
      <c r="C49" s="25">
        <v>18466754</v>
      </c>
      <c r="D49" s="128">
        <f>C49/B49</f>
        <v>622.5308117583603</v>
      </c>
      <c r="E49" s="129">
        <f>B49+整車出口!B49</f>
        <v>31650</v>
      </c>
      <c r="F49" s="130">
        <f t="shared" si="6"/>
        <v>4.604118540414414E-2</v>
      </c>
      <c r="G49" s="131">
        <f>C49+整車出口!C49</f>
        <v>20662575</v>
      </c>
      <c r="H49" s="130">
        <f t="shared" si="7"/>
        <v>4.7649516074770235E-2</v>
      </c>
      <c r="I49" s="132">
        <f t="shared" si="8"/>
        <v>652.84597156398104</v>
      </c>
    </row>
    <row r="50" spans="1:9">
      <c r="A50" s="24" t="s">
        <v>44</v>
      </c>
      <c r="B50" s="25">
        <v>180</v>
      </c>
      <c r="C50" s="25">
        <v>318478</v>
      </c>
      <c r="D50" s="128">
        <f t="shared" ref="D50:D65" si="9">C50/B50</f>
        <v>1769.3222222222223</v>
      </c>
      <c r="E50" s="129">
        <f>B50+整車出口!B50</f>
        <v>305</v>
      </c>
      <c r="F50" s="130">
        <f t="shared" si="6"/>
        <v>4.4368282932903517E-4</v>
      </c>
      <c r="G50" s="131">
        <f>C50+整車出口!C50</f>
        <v>530280</v>
      </c>
      <c r="H50" s="130">
        <f t="shared" si="7"/>
        <v>1.2228672072154203E-3</v>
      </c>
      <c r="I50" s="132">
        <f t="shared" si="8"/>
        <v>1738.622950819672</v>
      </c>
    </row>
    <row r="51" spans="1:9">
      <c r="A51" s="24" t="s">
        <v>45</v>
      </c>
      <c r="B51" s="25">
        <v>2544</v>
      </c>
      <c r="C51" s="25">
        <v>3564525</v>
      </c>
      <c r="D51" s="128">
        <f t="shared" si="9"/>
        <v>1401.1497641509434</v>
      </c>
      <c r="E51" s="129">
        <f>B51+整車出口!B51</f>
        <v>2729</v>
      </c>
      <c r="F51" s="130">
        <f t="shared" si="6"/>
        <v>3.9698702991440562E-3</v>
      </c>
      <c r="G51" s="131">
        <f>C51+整車出口!C51</f>
        <v>3777029</v>
      </c>
      <c r="H51" s="130">
        <f t="shared" si="7"/>
        <v>8.7101246601826408E-3</v>
      </c>
      <c r="I51" s="135">
        <f t="shared" si="8"/>
        <v>1384.0340784170025</v>
      </c>
    </row>
    <row r="52" spans="1:9">
      <c r="A52" s="29" t="s">
        <v>46</v>
      </c>
      <c r="B52" s="25">
        <v>388</v>
      </c>
      <c r="C52" s="25">
        <v>348522</v>
      </c>
      <c r="D52" s="128">
        <f t="shared" si="9"/>
        <v>898.25257731958766</v>
      </c>
      <c r="E52" s="129">
        <f>B52+整車出口!B52</f>
        <v>406</v>
      </c>
      <c r="F52" s="130">
        <f t="shared" si="6"/>
        <v>5.9060730723799442E-4</v>
      </c>
      <c r="G52" s="131">
        <f>C52+整車出口!C52</f>
        <v>378506</v>
      </c>
      <c r="H52" s="130">
        <f t="shared" si="7"/>
        <v>8.7286447751052244E-4</v>
      </c>
      <c r="I52" s="135">
        <f t="shared" si="8"/>
        <v>932.2807881773399</v>
      </c>
    </row>
    <row r="53" spans="1:9">
      <c r="A53" s="24" t="s">
        <v>47</v>
      </c>
      <c r="B53" s="25">
        <v>1618</v>
      </c>
      <c r="C53" s="25">
        <v>1660704</v>
      </c>
      <c r="D53" s="128">
        <f t="shared" si="9"/>
        <v>1026.3930778739184</v>
      </c>
      <c r="E53" s="129">
        <f>B53+整車出口!B53</f>
        <v>1860</v>
      </c>
      <c r="F53" s="130">
        <f t="shared" si="6"/>
        <v>2.705737910006575E-3</v>
      </c>
      <c r="G53" s="131">
        <f>C53+整車出口!C53</f>
        <v>2119683</v>
      </c>
      <c r="H53" s="130">
        <f t="shared" si="7"/>
        <v>4.8881549943275314E-3</v>
      </c>
      <c r="I53" s="135">
        <f t="shared" si="8"/>
        <v>1139.6145161290322</v>
      </c>
    </row>
    <row r="54" spans="1:9">
      <c r="A54" s="24" t="s">
        <v>80</v>
      </c>
      <c r="B54" s="25">
        <v>18670</v>
      </c>
      <c r="C54" s="25">
        <v>14403484</v>
      </c>
      <c r="D54" s="128">
        <f t="shared" si="9"/>
        <v>771.47745045527586</v>
      </c>
      <c r="E54" s="136">
        <f>B54+整車出口!B54</f>
        <v>23565</v>
      </c>
      <c r="F54" s="130">
        <f t="shared" si="6"/>
        <v>3.4279953682422017E-2</v>
      </c>
      <c r="G54" s="131">
        <f>C54+整車出口!C54</f>
        <v>19587314</v>
      </c>
      <c r="H54" s="130">
        <f t="shared" si="7"/>
        <v>4.516988000307668E-2</v>
      </c>
      <c r="I54" s="132">
        <f t="shared" si="8"/>
        <v>831.20364948016129</v>
      </c>
    </row>
    <row r="55" spans="1:9">
      <c r="A55" s="29" t="s">
        <v>49</v>
      </c>
      <c r="B55" s="25">
        <v>2265</v>
      </c>
      <c r="C55" s="25">
        <v>1613641</v>
      </c>
      <c r="D55" s="128">
        <f t="shared" si="9"/>
        <v>712.42428256070639</v>
      </c>
      <c r="E55" s="129">
        <f>B55+整車出口!B55</f>
        <v>2371</v>
      </c>
      <c r="F55" s="130">
        <f t="shared" si="6"/>
        <v>3.4490884863578441E-3</v>
      </c>
      <c r="G55" s="131">
        <f>C55+整車出口!C55</f>
        <v>1858936</v>
      </c>
      <c r="H55" s="130">
        <f t="shared" si="7"/>
        <v>4.2868519927438415E-3</v>
      </c>
      <c r="I55" s="132">
        <f t="shared" si="8"/>
        <v>784.03036693378317</v>
      </c>
    </row>
    <row r="56" spans="1:9">
      <c r="A56" s="29" t="s">
        <v>50</v>
      </c>
      <c r="B56" s="25">
        <v>7839</v>
      </c>
      <c r="C56" s="25">
        <v>8446993</v>
      </c>
      <c r="D56" s="128">
        <f t="shared" si="9"/>
        <v>1077.5600204107666</v>
      </c>
      <c r="E56" s="129">
        <f>B56+整車出口!B56</f>
        <v>8058</v>
      </c>
      <c r="F56" s="130">
        <f t="shared" si="6"/>
        <v>1.1721954881093002E-2</v>
      </c>
      <c r="G56" s="131">
        <f>C56+整車出口!C56</f>
        <v>8879115</v>
      </c>
      <c r="H56" s="130">
        <f t="shared" si="7"/>
        <v>2.0475934530049304E-2</v>
      </c>
      <c r="I56" s="132">
        <f t="shared" si="8"/>
        <v>1101.9005956813105</v>
      </c>
    </row>
    <row r="57" spans="1:9">
      <c r="A57" s="137" t="s">
        <v>81</v>
      </c>
      <c r="B57" s="25">
        <v>10507</v>
      </c>
      <c r="C57" s="25">
        <v>11117360</v>
      </c>
      <c r="D57" s="128">
        <f t="shared" si="9"/>
        <v>1058.0907966117827</v>
      </c>
      <c r="E57" s="129">
        <f>B57+整車出口!B57</f>
        <v>10548</v>
      </c>
      <c r="F57" s="130">
        <f t="shared" si="6"/>
        <v>1.5344152405779224E-2</v>
      </c>
      <c r="G57" s="131">
        <f>C57+整車出口!C57</f>
        <v>11197009</v>
      </c>
      <c r="H57" s="130">
        <f t="shared" si="7"/>
        <v>2.5821179612649778E-2</v>
      </c>
      <c r="I57" s="132">
        <f t="shared" si="8"/>
        <v>1061.5291050436101</v>
      </c>
    </row>
    <row r="58" spans="1:9">
      <c r="A58" s="137" t="s">
        <v>51</v>
      </c>
      <c r="B58" s="25">
        <v>5194</v>
      </c>
      <c r="C58" s="25">
        <v>2392803</v>
      </c>
      <c r="D58" s="128">
        <f t="shared" si="9"/>
        <v>460.68598382749326</v>
      </c>
      <c r="E58" s="129">
        <f>B58+整車出口!B58</f>
        <v>5194</v>
      </c>
      <c r="F58" s="130">
        <f t="shared" si="6"/>
        <v>7.5557003788033076E-3</v>
      </c>
      <c r="G58" s="131">
        <f>C58+整車出口!C58</f>
        <v>2392803</v>
      </c>
      <c r="H58" s="130">
        <f t="shared" si="7"/>
        <v>5.5179911028639195E-3</v>
      </c>
      <c r="I58" s="132">
        <f t="shared" si="8"/>
        <v>460.68598382749326</v>
      </c>
    </row>
    <row r="59" spans="1:9">
      <c r="A59" s="137" t="s">
        <v>52</v>
      </c>
      <c r="B59" s="25">
        <v>1150</v>
      </c>
      <c r="C59" s="25">
        <v>482542</v>
      </c>
      <c r="D59" s="128">
        <f t="shared" si="9"/>
        <v>419.60173913043479</v>
      </c>
      <c r="E59" s="129">
        <f>B59+整車出口!B59</f>
        <v>1150</v>
      </c>
      <c r="F59" s="130">
        <f t="shared" si="6"/>
        <v>1.6729024712406244E-3</v>
      </c>
      <c r="G59" s="131">
        <f>C59+整車出口!C59</f>
        <v>482542</v>
      </c>
      <c r="H59" s="130">
        <f t="shared" si="7"/>
        <v>1.1127796407636404E-3</v>
      </c>
      <c r="I59" s="132">
        <f t="shared" si="8"/>
        <v>419.60173913043479</v>
      </c>
    </row>
    <row r="60" spans="1:9">
      <c r="A60" s="137" t="s">
        <v>53</v>
      </c>
      <c r="B60" s="25">
        <v>3346</v>
      </c>
      <c r="C60" s="25">
        <v>3669100</v>
      </c>
      <c r="D60" s="128">
        <f t="shared" si="9"/>
        <v>1096.5630603705918</v>
      </c>
      <c r="E60" s="129">
        <f>B60+整車出口!B60</f>
        <v>3697</v>
      </c>
      <c r="F60" s="130">
        <f t="shared" si="6"/>
        <v>5.3780177705883376E-3</v>
      </c>
      <c r="G60" s="131">
        <f>C60+整車出口!C60</f>
        <v>4129864</v>
      </c>
      <c r="H60" s="130">
        <f t="shared" si="7"/>
        <v>9.5237898013492955E-3</v>
      </c>
      <c r="I60" s="132">
        <f t="shared" si="8"/>
        <v>1117.0852042196375</v>
      </c>
    </row>
    <row r="61" spans="1:9">
      <c r="A61" s="137" t="s">
        <v>82</v>
      </c>
      <c r="B61" s="25">
        <v>1205</v>
      </c>
      <c r="C61" s="25">
        <v>2102464</v>
      </c>
      <c r="D61" s="128">
        <f t="shared" si="9"/>
        <v>1744.7834024896265</v>
      </c>
      <c r="E61" s="129">
        <f>B61+整車出口!B61</f>
        <v>1684</v>
      </c>
      <c r="F61" s="130">
        <f t="shared" si="6"/>
        <v>2.4497110970167057E-3</v>
      </c>
      <c r="G61" s="131">
        <f>C61+整車出口!C61</f>
        <v>3101476</v>
      </c>
      <c r="H61" s="130">
        <f t="shared" si="7"/>
        <v>7.1522465383677541E-3</v>
      </c>
      <c r="I61" s="132">
        <f t="shared" si="8"/>
        <v>1841.7315914489311</v>
      </c>
    </row>
    <row r="62" spans="1:9">
      <c r="A62" s="137" t="s">
        <v>83</v>
      </c>
      <c r="B62" s="25">
        <v>1670</v>
      </c>
      <c r="C62" s="25">
        <v>1845506</v>
      </c>
      <c r="D62" s="128">
        <f t="shared" si="9"/>
        <v>1105.0934131736526</v>
      </c>
      <c r="E62" s="129">
        <f>B62+整車出口!B62</f>
        <v>2342</v>
      </c>
      <c r="F62" s="130">
        <f t="shared" si="6"/>
        <v>3.4069022501265586E-3</v>
      </c>
      <c r="G62" s="131">
        <f>C62+整車出口!C62</f>
        <v>3286559</v>
      </c>
      <c r="H62" s="130">
        <f t="shared" si="7"/>
        <v>7.5790624305625406E-3</v>
      </c>
      <c r="I62" s="132">
        <f t="shared" si="8"/>
        <v>1403.3129803586678</v>
      </c>
    </row>
    <row r="63" spans="1:9">
      <c r="A63" s="137" t="s">
        <v>84</v>
      </c>
      <c r="B63" s="25">
        <v>891</v>
      </c>
      <c r="C63" s="25">
        <v>940897</v>
      </c>
      <c r="D63" s="128">
        <f t="shared" si="9"/>
        <v>1056.0011223344557</v>
      </c>
      <c r="E63" s="129">
        <f>B63+整車出口!B63</f>
        <v>900</v>
      </c>
      <c r="F63" s="130">
        <f t="shared" si="6"/>
        <v>1.3092280209709235E-3</v>
      </c>
      <c r="G63" s="131">
        <f>C63+整車出口!C63</f>
        <v>963832</v>
      </c>
      <c r="H63" s="130">
        <f t="shared" si="7"/>
        <v>2.2226720714808267E-3</v>
      </c>
      <c r="I63" s="132">
        <f t="shared" si="8"/>
        <v>1070.9244444444444</v>
      </c>
    </row>
    <row r="64" spans="1:9">
      <c r="A64" s="137" t="s">
        <v>85</v>
      </c>
      <c r="B64" s="25">
        <v>810</v>
      </c>
      <c r="C64" s="25">
        <v>898428</v>
      </c>
      <c r="D64" s="128">
        <f t="shared" si="9"/>
        <v>1109.1703703703704</v>
      </c>
      <c r="E64" s="129">
        <f>B64+整車出口!B64</f>
        <v>878</v>
      </c>
      <c r="F64" s="130">
        <f t="shared" si="6"/>
        <v>1.2772246693471899E-3</v>
      </c>
      <c r="G64" s="131">
        <f>C64+整車出口!C64</f>
        <v>1058458</v>
      </c>
      <c r="H64" s="130">
        <f t="shared" si="7"/>
        <v>2.4408870378193016E-3</v>
      </c>
      <c r="I64" s="132">
        <f t="shared" si="8"/>
        <v>1205.5330296127563</v>
      </c>
    </row>
    <row r="65" spans="1:9">
      <c r="A65" s="137" t="s">
        <v>86</v>
      </c>
      <c r="B65" s="25">
        <v>562</v>
      </c>
      <c r="C65" s="25">
        <v>628057</v>
      </c>
      <c r="D65" s="128">
        <f t="shared" si="9"/>
        <v>1117.5391459074733</v>
      </c>
      <c r="E65" s="129">
        <f>B65+整車出口!B65</f>
        <v>829</v>
      </c>
      <c r="F65" s="130">
        <f t="shared" si="6"/>
        <v>1.2059444770943285E-3</v>
      </c>
      <c r="G65" s="131">
        <f>C65+整車出口!C65</f>
        <v>878330</v>
      </c>
      <c r="H65" s="130">
        <f t="shared" si="7"/>
        <v>2.0254977636598023E-3</v>
      </c>
      <c r="I65" s="132">
        <f t="shared" si="8"/>
        <v>1059.5054282267793</v>
      </c>
    </row>
    <row r="66" spans="1:9">
      <c r="A66" s="29" t="s">
        <v>56</v>
      </c>
      <c r="B66" s="25">
        <f>B67-B48-B42-B12-B7</f>
        <v>12180</v>
      </c>
      <c r="C66" s="25">
        <f>C67-C48-C42-C12-C7</f>
        <v>8183233</v>
      </c>
      <c r="D66" s="128">
        <f>C66/B66</f>
        <v>671.85821018062393</v>
      </c>
      <c r="E66" s="131">
        <f>E67-E48-E42-E12-E7</f>
        <v>14121</v>
      </c>
      <c r="F66" s="130">
        <f t="shared" si="6"/>
        <v>2.0541787649033791E-2</v>
      </c>
      <c r="G66" s="131">
        <f>G67-G48-G42-G12-G7</f>
        <v>12296953</v>
      </c>
      <c r="H66" s="130">
        <f t="shared" si="7"/>
        <v>2.8357736615315085E-2</v>
      </c>
      <c r="I66" s="132">
        <f>G66/E66</f>
        <v>870.8273493378656</v>
      </c>
    </row>
    <row r="67" spans="1:9">
      <c r="A67" s="30" t="s">
        <v>57</v>
      </c>
      <c r="B67" s="25">
        <v>631916</v>
      </c>
      <c r="C67" s="25">
        <v>372498462</v>
      </c>
      <c r="D67" s="124">
        <f>C67/B67</f>
        <v>589.47464852923486</v>
      </c>
      <c r="E67" s="129">
        <f>B67+整車出口!B67</f>
        <v>687428</v>
      </c>
      <c r="F67" s="126">
        <f>E67/$E$67</f>
        <v>1</v>
      </c>
      <c r="G67" s="131">
        <f>C67+整車出口!C67</f>
        <v>433636618</v>
      </c>
      <c r="H67" s="126">
        <f>G67/$G$67</f>
        <v>1</v>
      </c>
      <c r="I67" s="127">
        <f>G67/E67</f>
        <v>630.81023467184923</v>
      </c>
    </row>
    <row r="68" spans="1:9">
      <c r="A68" s="138"/>
      <c r="B68" s="35"/>
      <c r="C68" s="35"/>
      <c r="D68" s="139"/>
      <c r="E68" s="140"/>
      <c r="F68" s="36"/>
      <c r="G68" s="140"/>
      <c r="H68" s="141"/>
      <c r="I68" s="139"/>
    </row>
    <row r="69" spans="1:9">
      <c r="A69" s="142" t="s">
        <v>58</v>
      </c>
      <c r="B69" s="503"/>
      <c r="C69" s="503"/>
      <c r="D69" s="143"/>
      <c r="E69" s="144"/>
      <c r="F69" s="41"/>
      <c r="G69" s="144"/>
      <c r="H69" s="145"/>
      <c r="I69" s="146"/>
    </row>
    <row r="70" spans="1:9">
      <c r="A70" s="44" t="s">
        <v>281</v>
      </c>
      <c r="B70" s="504" t="s">
        <v>267</v>
      </c>
      <c r="C70" s="504" t="s">
        <v>268</v>
      </c>
      <c r="D70" s="147" t="s">
        <v>1</v>
      </c>
      <c r="E70" s="148" t="s">
        <v>279</v>
      </c>
      <c r="F70" s="46" t="s">
        <v>2</v>
      </c>
      <c r="G70" s="148" t="s">
        <v>280</v>
      </c>
      <c r="H70" s="47" t="s">
        <v>2</v>
      </c>
      <c r="I70" s="147" t="s">
        <v>1</v>
      </c>
    </row>
    <row r="71" spans="1:9">
      <c r="A71" s="48"/>
      <c r="B71" s="51" t="s">
        <v>5</v>
      </c>
      <c r="C71" s="52" t="s">
        <v>87</v>
      </c>
      <c r="D71" s="147" t="s">
        <v>4</v>
      </c>
      <c r="E71" s="109" t="s">
        <v>5</v>
      </c>
      <c r="F71" s="46" t="s">
        <v>5</v>
      </c>
      <c r="G71" s="149" t="s">
        <v>4</v>
      </c>
      <c r="H71" s="53" t="s">
        <v>4</v>
      </c>
      <c r="I71" s="147" t="s">
        <v>4</v>
      </c>
    </row>
    <row r="72" spans="1:9">
      <c r="A72" s="30" t="s">
        <v>57</v>
      </c>
      <c r="B72" s="25">
        <v>33851</v>
      </c>
      <c r="C72" s="25">
        <v>8030737</v>
      </c>
      <c r="D72" s="150">
        <f>C72/B72</f>
        <v>237.23780685947239</v>
      </c>
      <c r="E72" s="129">
        <f>B72+整車出口!B72</f>
        <v>34794</v>
      </c>
      <c r="F72" s="151">
        <v>1</v>
      </c>
      <c r="G72" s="131">
        <f>C72+整車出口!C72</f>
        <v>8221967</v>
      </c>
      <c r="H72" s="151">
        <v>1</v>
      </c>
      <c r="I72" s="150">
        <f>G72/E72</f>
        <v>236.30416163706386</v>
      </c>
    </row>
    <row r="73" spans="1:9">
      <c r="A73" s="57" t="s">
        <v>88</v>
      </c>
      <c r="B73" s="3"/>
      <c r="C73" s="35"/>
      <c r="D73" s="3"/>
      <c r="E73" s="152"/>
      <c r="F73" s="3"/>
      <c r="G73" s="152"/>
      <c r="H73" s="3"/>
      <c r="I73" s="3"/>
    </row>
    <row r="74" spans="1:9" ht="18">
      <c r="A74" s="153" t="s">
        <v>89</v>
      </c>
      <c r="B74" s="61"/>
      <c r="C74" s="62"/>
      <c r="D74" s="64"/>
      <c r="E74" s="62"/>
      <c r="F74" s="62"/>
      <c r="G74" s="62"/>
      <c r="H74" s="60"/>
      <c r="I74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zoomScale="115" zoomScaleNormal="115" workbookViewId="0">
      <selection activeCell="D15" sqref="D15"/>
    </sheetView>
  </sheetViews>
  <sheetFormatPr defaultRowHeight="16.5"/>
  <cols>
    <col min="1" max="1" width="16.125" customWidth="1"/>
    <col min="2" max="2" width="13.125" customWidth="1"/>
    <col min="3" max="3" width="12" customWidth="1"/>
    <col min="4" max="4" width="10.625" customWidth="1"/>
    <col min="5" max="5" width="12.125" customWidth="1"/>
    <col min="7" max="7" width="11.5" customWidth="1"/>
    <col min="9" max="9" width="12" customWidth="1"/>
  </cols>
  <sheetData>
    <row r="1" spans="1:9" ht="23.25">
      <c r="A1" s="765" t="s">
        <v>269</v>
      </c>
      <c r="B1" s="765"/>
      <c r="C1" s="765"/>
      <c r="D1" s="765"/>
      <c r="E1" s="765"/>
      <c r="F1" s="765"/>
      <c r="G1" s="765"/>
      <c r="H1" s="765"/>
      <c r="I1" s="765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14" t="s">
        <v>0</v>
      </c>
      <c r="B3" s="500"/>
      <c r="C3" s="500"/>
      <c r="D3" s="116"/>
      <c r="E3" s="115"/>
      <c r="F3" s="115"/>
      <c r="G3" s="115"/>
      <c r="H3" s="115"/>
      <c r="I3" s="116"/>
    </row>
    <row r="4" spans="1:9">
      <c r="A4" s="6" t="s">
        <v>285</v>
      </c>
      <c r="B4" s="6" t="s">
        <v>286</v>
      </c>
      <c r="C4" s="6" t="s">
        <v>287</v>
      </c>
      <c r="D4" s="10" t="s">
        <v>1</v>
      </c>
      <c r="E4" s="7" t="s">
        <v>282</v>
      </c>
      <c r="F4" s="10" t="s">
        <v>2</v>
      </c>
      <c r="G4" s="6" t="s">
        <v>283</v>
      </c>
      <c r="H4" s="10" t="s">
        <v>2</v>
      </c>
      <c r="I4" s="154" t="s">
        <v>90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19" t="s">
        <v>4</v>
      </c>
    </row>
    <row r="6" spans="1:9">
      <c r="A6" s="155" t="s">
        <v>6</v>
      </c>
      <c r="B6" s="501"/>
      <c r="C6" s="502"/>
      <c r="D6" s="16"/>
      <c r="E6" s="16"/>
      <c r="F6" s="16"/>
      <c r="G6" s="16"/>
      <c r="H6" s="16"/>
      <c r="I6" s="122"/>
    </row>
    <row r="7" spans="1:9">
      <c r="A7" s="19" t="s">
        <v>7</v>
      </c>
      <c r="B7" s="505">
        <f>SUM(B8:B10)</f>
        <v>6</v>
      </c>
      <c r="C7" s="26">
        <f>SUM(C8:C10)</f>
        <v>2754</v>
      </c>
      <c r="D7" s="124">
        <f>C7/B7</f>
        <v>459</v>
      </c>
      <c r="E7" s="21">
        <f>SUM(E8:E10)</f>
        <v>12</v>
      </c>
      <c r="F7" s="22">
        <f>E7/$E$66</f>
        <v>1.1403483764289991E-4</v>
      </c>
      <c r="G7" s="21">
        <f>SUM(G8:G10)</f>
        <v>4189</v>
      </c>
      <c r="H7" s="22">
        <f>G7/$G$66</f>
        <v>3.8482151502273744E-4</v>
      </c>
      <c r="I7" s="127">
        <f>G7/E7</f>
        <v>349.08333333333331</v>
      </c>
    </row>
    <row r="8" spans="1:9">
      <c r="A8" s="24" t="s">
        <v>66</v>
      </c>
      <c r="B8" s="25">
        <v>5</v>
      </c>
      <c r="C8" s="26">
        <v>700</v>
      </c>
      <c r="D8" s="124">
        <f>C8/B8</f>
        <v>140</v>
      </c>
      <c r="E8" s="26">
        <f>B8+整車進口!B8</f>
        <v>10</v>
      </c>
      <c r="F8" s="22">
        <f>E8/$E$66</f>
        <v>9.5029031369083249E-5</v>
      </c>
      <c r="G8" s="26">
        <f>C8+整車進口!C8</f>
        <v>2007</v>
      </c>
      <c r="H8" s="22">
        <f>G8/$G$66</f>
        <v>1.8437259027229269E-4</v>
      </c>
      <c r="I8" s="127">
        <f>G8/E8</f>
        <v>200.7</v>
      </c>
    </row>
    <row r="9" spans="1:9">
      <c r="A9" s="29" t="s">
        <v>8</v>
      </c>
      <c r="B9" s="25">
        <v>1</v>
      </c>
      <c r="C9" s="26">
        <v>2054</v>
      </c>
      <c r="D9" s="124">
        <f>C9/B9</f>
        <v>2054</v>
      </c>
      <c r="E9" s="26">
        <f>B9+整車進口!B9</f>
        <v>2</v>
      </c>
      <c r="F9" s="22">
        <f>E9/$E$66</f>
        <v>1.9005806273816651E-5</v>
      </c>
      <c r="G9" s="26">
        <f>C9+整車進口!C9</f>
        <v>2182</v>
      </c>
      <c r="H9" s="22">
        <f>G9/$G$66</f>
        <v>2.0044892475044477E-4</v>
      </c>
      <c r="I9" s="127">
        <f>G9/E9</f>
        <v>1091</v>
      </c>
    </row>
    <row r="10" spans="1:9">
      <c r="A10" s="29" t="s">
        <v>9</v>
      </c>
      <c r="B10" s="25">
        <v>0</v>
      </c>
      <c r="C10" s="26">
        <v>0</v>
      </c>
      <c r="D10" s="124">
        <v>0</v>
      </c>
      <c r="E10" s="26">
        <f>B10+整車進口!B10</f>
        <v>0</v>
      </c>
      <c r="F10" s="22">
        <f>E10/$E$66</f>
        <v>0</v>
      </c>
      <c r="G10" s="26">
        <f>C10+整車進口!C10</f>
        <v>0</v>
      </c>
      <c r="H10" s="22">
        <f>G10/$G$66</f>
        <v>0</v>
      </c>
      <c r="I10" s="127">
        <v>0</v>
      </c>
    </row>
    <row r="11" spans="1:9">
      <c r="A11" s="133"/>
      <c r="B11" s="25"/>
      <c r="C11" s="25"/>
      <c r="D11" s="128"/>
      <c r="E11" s="25"/>
      <c r="F11" s="28"/>
      <c r="G11" s="25"/>
      <c r="H11" s="28"/>
      <c r="I11" s="132"/>
    </row>
    <row r="12" spans="1:9">
      <c r="A12" s="30" t="s">
        <v>10</v>
      </c>
      <c r="B12" s="25">
        <f>SUM(B13:B40)</f>
        <v>177</v>
      </c>
      <c r="C12" s="25">
        <f>SUM(C13:C40)</f>
        <v>173236</v>
      </c>
      <c r="D12" s="124">
        <f>C12/B12</f>
        <v>978.73446327683621</v>
      </c>
      <c r="E12" s="31">
        <f>SUM(E13:E40)</f>
        <v>2154</v>
      </c>
      <c r="F12" s="22">
        <f t="shared" ref="F12:F40" si="0">E12/$E$66</f>
        <v>2.0469253356900533E-2</v>
      </c>
      <c r="G12" s="31">
        <f>SUM(G13:G40)</f>
        <v>443983</v>
      </c>
      <c r="H12" s="22">
        <f t="shared" ref="H12:H40" si="1">G12/$G$66</f>
        <v>4.0786395489219397E-2</v>
      </c>
      <c r="I12" s="127">
        <f>G12/E12</f>
        <v>206.12024141132775</v>
      </c>
    </row>
    <row r="13" spans="1:9">
      <c r="A13" s="24" t="s">
        <v>11</v>
      </c>
      <c r="B13" s="25">
        <v>0</v>
      </c>
      <c r="C13" s="25">
        <v>0</v>
      </c>
      <c r="D13" s="124">
        <v>0</v>
      </c>
      <c r="E13" s="26">
        <f>B13+整車進口!B13</f>
        <v>0</v>
      </c>
      <c r="F13" s="22">
        <f t="shared" si="0"/>
        <v>0</v>
      </c>
      <c r="G13" s="26">
        <f>C13+整車進口!C13</f>
        <v>0</v>
      </c>
      <c r="H13" s="22">
        <f t="shared" si="1"/>
        <v>0</v>
      </c>
      <c r="I13" s="127">
        <v>0</v>
      </c>
    </row>
    <row r="14" spans="1:9">
      <c r="A14" s="24" t="s">
        <v>12</v>
      </c>
      <c r="B14" s="25">
        <v>9</v>
      </c>
      <c r="C14" s="25">
        <v>17809</v>
      </c>
      <c r="D14" s="124">
        <f>C14/B14</f>
        <v>1978.7777777777778</v>
      </c>
      <c r="E14" s="26">
        <f>B14+整車進口!B14</f>
        <v>24</v>
      </c>
      <c r="F14" s="22">
        <f t="shared" si="0"/>
        <v>2.2806967528579981E-4</v>
      </c>
      <c r="G14" s="26">
        <f>C14+整車進口!C14</f>
        <v>96373</v>
      </c>
      <c r="H14" s="22">
        <f t="shared" si="1"/>
        <v>8.8532833295025728E-3</v>
      </c>
      <c r="I14" s="127">
        <f>G14/E14</f>
        <v>4015.5416666666665</v>
      </c>
    </row>
    <row r="15" spans="1:9">
      <c r="A15" s="29" t="s">
        <v>13</v>
      </c>
      <c r="B15" s="25">
        <v>0</v>
      </c>
      <c r="C15" s="25">
        <v>0</v>
      </c>
      <c r="D15" s="124">
        <v>0</v>
      </c>
      <c r="E15" s="26">
        <f>B15+整車進口!B15</f>
        <v>0</v>
      </c>
      <c r="F15" s="22">
        <f t="shared" si="0"/>
        <v>0</v>
      </c>
      <c r="G15" s="26">
        <f>C15+整車進口!C15</f>
        <v>0</v>
      </c>
      <c r="H15" s="22">
        <f t="shared" si="1"/>
        <v>0</v>
      </c>
      <c r="I15" s="127">
        <v>0</v>
      </c>
    </row>
    <row r="16" spans="1:9">
      <c r="A16" s="24" t="s">
        <v>14</v>
      </c>
      <c r="B16" s="25">
        <v>163</v>
      </c>
      <c r="C16" s="25">
        <v>134185</v>
      </c>
      <c r="D16" s="124">
        <f>C16/B16</f>
        <v>823.22085889570553</v>
      </c>
      <c r="E16" s="26">
        <f>B16+整車進口!B48</f>
        <v>170</v>
      </c>
      <c r="F16" s="22">
        <f t="shared" si="0"/>
        <v>1.6154935332744153E-3</v>
      </c>
      <c r="G16" s="26">
        <f>C16+整車進口!C48</f>
        <v>137470</v>
      </c>
      <c r="H16" s="22">
        <f t="shared" si="1"/>
        <v>1.2628649718351806E-2</v>
      </c>
      <c r="I16" s="127">
        <f>G16/E16</f>
        <v>808.64705882352939</v>
      </c>
    </row>
    <row r="17" spans="1:9">
      <c r="A17" s="24" t="s">
        <v>15</v>
      </c>
      <c r="B17" s="25">
        <v>2</v>
      </c>
      <c r="C17" s="25">
        <v>16595</v>
      </c>
      <c r="D17" s="124">
        <f>C17/B17</f>
        <v>8297.5</v>
      </c>
      <c r="E17" s="26">
        <f>B17+整車進口!B16</f>
        <v>2</v>
      </c>
      <c r="F17" s="22">
        <f t="shared" si="0"/>
        <v>1.9005806273816651E-5</v>
      </c>
      <c r="G17" s="26">
        <f>C17+整車進口!C16</f>
        <v>16595</v>
      </c>
      <c r="H17" s="22">
        <f t="shared" si="1"/>
        <v>1.52449583237105E-3</v>
      </c>
      <c r="I17" s="127">
        <f>G17/E17</f>
        <v>8297.5</v>
      </c>
    </row>
    <row r="18" spans="1:9">
      <c r="A18" s="29" t="s">
        <v>16</v>
      </c>
      <c r="B18" s="25">
        <v>2</v>
      </c>
      <c r="C18" s="25">
        <v>3686</v>
      </c>
      <c r="D18" s="124">
        <f>C18/B18</f>
        <v>1843</v>
      </c>
      <c r="E18" s="26">
        <f>B18+整車進口!B17</f>
        <v>30</v>
      </c>
      <c r="F18" s="22">
        <f t="shared" si="0"/>
        <v>2.8508709410724977E-4</v>
      </c>
      <c r="G18" s="26">
        <f>C18+整車進口!C17</f>
        <v>147799</v>
      </c>
      <c r="H18" s="22">
        <f t="shared" si="1"/>
        <v>1.3577520911636566E-2</v>
      </c>
      <c r="I18" s="127">
        <f>G18/E18</f>
        <v>4926.6333333333332</v>
      </c>
    </row>
    <row r="19" spans="1:9">
      <c r="A19" s="29" t="s">
        <v>17</v>
      </c>
      <c r="B19" s="25">
        <v>0</v>
      </c>
      <c r="C19" s="25">
        <v>0</v>
      </c>
      <c r="D19" s="124">
        <v>0</v>
      </c>
      <c r="E19" s="26">
        <f>B19+整車進口!B18</f>
        <v>0</v>
      </c>
      <c r="F19" s="22">
        <f t="shared" si="0"/>
        <v>0</v>
      </c>
      <c r="G19" s="26">
        <f>C19+整車進口!C18</f>
        <v>0</v>
      </c>
      <c r="H19" s="22">
        <f t="shared" si="1"/>
        <v>0</v>
      </c>
      <c r="I19" s="127">
        <v>0</v>
      </c>
    </row>
    <row r="20" spans="1:9">
      <c r="A20" s="24" t="s">
        <v>18</v>
      </c>
      <c r="B20" s="25">
        <v>0</v>
      </c>
      <c r="C20" s="25">
        <v>0</v>
      </c>
      <c r="D20" s="124">
        <v>0</v>
      </c>
      <c r="E20" s="26">
        <f>B20+整車進口!B19</f>
        <v>0</v>
      </c>
      <c r="F20" s="22">
        <f t="shared" si="0"/>
        <v>0</v>
      </c>
      <c r="G20" s="26">
        <f>C20+整車進口!C19</f>
        <v>0</v>
      </c>
      <c r="H20" s="22">
        <f t="shared" si="1"/>
        <v>0</v>
      </c>
      <c r="I20" s="127">
        <v>0</v>
      </c>
    </row>
    <row r="21" spans="1:9">
      <c r="A21" s="29" t="s">
        <v>67</v>
      </c>
      <c r="B21" s="25">
        <v>0</v>
      </c>
      <c r="C21" s="25">
        <v>0</v>
      </c>
      <c r="D21" s="124">
        <v>0</v>
      </c>
      <c r="E21" s="26">
        <f>B21+整車進口!B20</f>
        <v>0</v>
      </c>
      <c r="F21" s="22">
        <f t="shared" si="0"/>
        <v>0</v>
      </c>
      <c r="G21" s="26">
        <f>C21+整車進口!C20</f>
        <v>0</v>
      </c>
      <c r="H21" s="22">
        <f t="shared" si="1"/>
        <v>0</v>
      </c>
      <c r="I21" s="127" t="e">
        <f>G21/E21</f>
        <v>#DIV/0!</v>
      </c>
    </row>
    <row r="22" spans="1:9">
      <c r="A22" s="24" t="s">
        <v>20</v>
      </c>
      <c r="B22" s="25">
        <v>1</v>
      </c>
      <c r="C22" s="25">
        <v>961</v>
      </c>
      <c r="D22" s="124">
        <f t="shared" ref="D22" si="2">C22/B22</f>
        <v>961</v>
      </c>
      <c r="E22" s="26">
        <f>B22+整車進口!B21</f>
        <v>1</v>
      </c>
      <c r="F22" s="22">
        <f t="shared" si="0"/>
        <v>9.5029031369083256E-6</v>
      </c>
      <c r="G22" s="26">
        <f>C22+整車進口!C21</f>
        <v>961</v>
      </c>
      <c r="H22" s="22">
        <f t="shared" si="1"/>
        <v>8.8282042477166552E-5</v>
      </c>
      <c r="I22" s="127">
        <f>G22/E22</f>
        <v>961</v>
      </c>
    </row>
    <row r="23" spans="1:9">
      <c r="A23" s="29" t="s">
        <v>21</v>
      </c>
      <c r="B23" s="25">
        <v>0</v>
      </c>
      <c r="C23" s="25">
        <v>0</v>
      </c>
      <c r="D23" s="124">
        <v>0</v>
      </c>
      <c r="E23" s="26">
        <f>B23+整車進口!B22</f>
        <v>0</v>
      </c>
      <c r="F23" s="22">
        <f t="shared" si="0"/>
        <v>0</v>
      </c>
      <c r="G23" s="26">
        <f>C23+整車進口!C22</f>
        <v>0</v>
      </c>
      <c r="H23" s="22">
        <f t="shared" si="1"/>
        <v>0</v>
      </c>
      <c r="I23" s="127">
        <v>0</v>
      </c>
    </row>
    <row r="24" spans="1:9">
      <c r="A24" s="29" t="s">
        <v>22</v>
      </c>
      <c r="B24" s="25">
        <v>0</v>
      </c>
      <c r="C24" s="25">
        <v>0</v>
      </c>
      <c r="D24" s="124">
        <v>0</v>
      </c>
      <c r="E24" s="26">
        <f>B24+整車進口!B23</f>
        <v>0</v>
      </c>
      <c r="F24" s="22">
        <f t="shared" si="0"/>
        <v>0</v>
      </c>
      <c r="G24" s="26">
        <f>C24+整車進口!C23</f>
        <v>0</v>
      </c>
      <c r="H24" s="22">
        <f t="shared" si="1"/>
        <v>0</v>
      </c>
      <c r="I24" s="127">
        <v>0</v>
      </c>
    </row>
    <row r="25" spans="1:9">
      <c r="A25" s="29" t="s">
        <v>23</v>
      </c>
      <c r="B25" s="25">
        <v>0</v>
      </c>
      <c r="C25" s="25">
        <v>0</v>
      </c>
      <c r="D25" s="124">
        <v>0</v>
      </c>
      <c r="E25" s="26">
        <f>B25+整車進口!B24</f>
        <v>1</v>
      </c>
      <c r="F25" s="22">
        <f t="shared" si="0"/>
        <v>9.5029031369083256E-6</v>
      </c>
      <c r="G25" s="26">
        <f>C25+整車進口!C24</f>
        <v>3445</v>
      </c>
      <c r="H25" s="22">
        <f t="shared" si="1"/>
        <v>3.1647412729847945E-4</v>
      </c>
      <c r="I25" s="127">
        <v>0</v>
      </c>
    </row>
    <row r="26" spans="1:9">
      <c r="A26" s="24" t="s">
        <v>24</v>
      </c>
      <c r="B26" s="25">
        <v>0</v>
      </c>
      <c r="C26" s="25">
        <v>0</v>
      </c>
      <c r="D26" s="124">
        <v>0</v>
      </c>
      <c r="E26" s="26">
        <f>B26+整車進口!B25</f>
        <v>0</v>
      </c>
      <c r="F26" s="22">
        <f t="shared" si="0"/>
        <v>0</v>
      </c>
      <c r="G26" s="26">
        <f>C26+整車進口!C25</f>
        <v>0</v>
      </c>
      <c r="H26" s="22">
        <f t="shared" si="1"/>
        <v>0</v>
      </c>
      <c r="I26" s="127">
        <v>0</v>
      </c>
    </row>
    <row r="27" spans="1:9">
      <c r="A27" s="24" t="s">
        <v>25</v>
      </c>
      <c r="B27" s="25">
        <v>0</v>
      </c>
      <c r="C27" s="25">
        <v>0</v>
      </c>
      <c r="D27" s="124">
        <v>0</v>
      </c>
      <c r="E27" s="26">
        <f>B27+整車進口!B26</f>
        <v>0</v>
      </c>
      <c r="F27" s="22">
        <f t="shared" si="0"/>
        <v>0</v>
      </c>
      <c r="G27" s="26">
        <f>C27+整車進口!C26</f>
        <v>0</v>
      </c>
      <c r="H27" s="22">
        <f t="shared" si="1"/>
        <v>0</v>
      </c>
      <c r="I27" s="127">
        <v>0</v>
      </c>
    </row>
    <row r="28" spans="1:9">
      <c r="A28" s="165" t="s">
        <v>99</v>
      </c>
      <c r="B28" s="25">
        <v>0</v>
      </c>
      <c r="C28" s="25">
        <v>0</v>
      </c>
      <c r="D28" s="124">
        <v>0</v>
      </c>
      <c r="E28" s="26">
        <f>B28+整車進口!B27</f>
        <v>0</v>
      </c>
      <c r="F28" s="22">
        <f t="shared" si="0"/>
        <v>0</v>
      </c>
      <c r="G28" s="26">
        <f>C28+整車進口!C27</f>
        <v>0</v>
      </c>
      <c r="H28" s="22">
        <f t="shared" si="1"/>
        <v>0</v>
      </c>
      <c r="I28" s="127">
        <v>0</v>
      </c>
    </row>
    <row r="29" spans="1:9">
      <c r="A29" s="165" t="s">
        <v>100</v>
      </c>
      <c r="B29" s="25">
        <v>0</v>
      </c>
      <c r="C29" s="25">
        <v>0</v>
      </c>
      <c r="D29" s="124">
        <v>0</v>
      </c>
      <c r="E29" s="26">
        <f>B29+整車進口!B28</f>
        <v>1926</v>
      </c>
      <c r="F29" s="22">
        <f t="shared" si="0"/>
        <v>1.8302591441685435E-2</v>
      </c>
      <c r="G29" s="26">
        <f>C29+整車進口!C28</f>
        <v>41340</v>
      </c>
      <c r="H29" s="22">
        <f t="shared" si="1"/>
        <v>3.7976895275817538E-3</v>
      </c>
      <c r="I29" s="127">
        <v>0</v>
      </c>
    </row>
    <row r="30" spans="1:9">
      <c r="A30" s="165" t="s">
        <v>68</v>
      </c>
      <c r="B30" s="25">
        <v>0</v>
      </c>
      <c r="C30" s="25">
        <v>0</v>
      </c>
      <c r="D30" s="124">
        <v>0</v>
      </c>
      <c r="E30" s="26">
        <f>B30+整車進口!B29</f>
        <v>0</v>
      </c>
      <c r="F30" s="22">
        <f t="shared" si="0"/>
        <v>0</v>
      </c>
      <c r="G30" s="26">
        <f>C30+整車進口!C29</f>
        <v>0</v>
      </c>
      <c r="H30" s="22">
        <f t="shared" si="1"/>
        <v>0</v>
      </c>
      <c r="I30" s="127">
        <v>0</v>
      </c>
    </row>
    <row r="31" spans="1:9">
      <c r="A31" s="165" t="s">
        <v>69</v>
      </c>
      <c r="B31" s="25">
        <v>0</v>
      </c>
      <c r="C31" s="25">
        <v>0</v>
      </c>
      <c r="D31" s="124">
        <v>0</v>
      </c>
      <c r="E31" s="26">
        <f>B31+整車進口!B30</f>
        <v>0</v>
      </c>
      <c r="F31" s="22">
        <f t="shared" si="0"/>
        <v>0</v>
      </c>
      <c r="G31" s="26">
        <f>C31+整車進口!C30</f>
        <v>0</v>
      </c>
      <c r="H31" s="22">
        <f t="shared" si="1"/>
        <v>0</v>
      </c>
      <c r="I31" s="127">
        <v>0</v>
      </c>
    </row>
    <row r="32" spans="1:9">
      <c r="A32" s="165" t="s">
        <v>101</v>
      </c>
      <c r="B32" s="25">
        <v>0</v>
      </c>
      <c r="C32" s="25">
        <v>0</v>
      </c>
      <c r="D32" s="124">
        <v>0</v>
      </c>
      <c r="E32" s="26">
        <f>B32+整車進口!B31</f>
        <v>0</v>
      </c>
      <c r="F32" s="22">
        <f t="shared" si="0"/>
        <v>0</v>
      </c>
      <c r="G32" s="26">
        <f>C32+整車進口!C31</f>
        <v>0</v>
      </c>
      <c r="H32" s="22">
        <f t="shared" si="1"/>
        <v>0</v>
      </c>
      <c r="I32" s="127">
        <v>0</v>
      </c>
    </row>
    <row r="33" spans="1:9">
      <c r="A33" s="29" t="s">
        <v>29</v>
      </c>
      <c r="B33" s="25">
        <v>0</v>
      </c>
      <c r="C33" s="25">
        <v>0</v>
      </c>
      <c r="D33" s="124">
        <v>0</v>
      </c>
      <c r="E33" s="26">
        <f>B33+整車進口!B32</f>
        <v>0</v>
      </c>
      <c r="F33" s="22">
        <f t="shared" si="0"/>
        <v>0</v>
      </c>
      <c r="G33" s="26">
        <f>C33+整車進口!C32</f>
        <v>0</v>
      </c>
      <c r="H33" s="22">
        <f t="shared" si="1"/>
        <v>0</v>
      </c>
      <c r="I33" s="127">
        <v>0</v>
      </c>
    </row>
    <row r="34" spans="1:9">
      <c r="A34" s="165" t="s">
        <v>71</v>
      </c>
      <c r="B34" s="25">
        <v>0</v>
      </c>
      <c r="C34" s="25">
        <v>0</v>
      </c>
      <c r="D34" s="124">
        <v>0</v>
      </c>
      <c r="E34" s="26">
        <f>B34+整車進口!B33</f>
        <v>0</v>
      </c>
      <c r="F34" s="22">
        <f t="shared" si="0"/>
        <v>0</v>
      </c>
      <c r="G34" s="26">
        <f>C34+整車進口!C33</f>
        <v>0</v>
      </c>
      <c r="H34" s="22">
        <f t="shared" si="1"/>
        <v>0</v>
      </c>
      <c r="I34" s="127">
        <v>0</v>
      </c>
    </row>
    <row r="35" spans="1:9">
      <c r="A35" s="166" t="s">
        <v>72</v>
      </c>
      <c r="B35" s="25">
        <v>0</v>
      </c>
      <c r="C35" s="25">
        <v>0</v>
      </c>
      <c r="D35" s="124">
        <v>0</v>
      </c>
      <c r="E35" s="26">
        <f>B35+整車進口!B34</f>
        <v>0</v>
      </c>
      <c r="F35" s="22">
        <f t="shared" si="0"/>
        <v>0</v>
      </c>
      <c r="G35" s="26">
        <f>C35+整車進口!C34</f>
        <v>0</v>
      </c>
      <c r="H35" s="22">
        <f t="shared" si="1"/>
        <v>0</v>
      </c>
      <c r="I35" s="127">
        <v>0</v>
      </c>
    </row>
    <row r="36" spans="1:9">
      <c r="A36" s="165" t="s">
        <v>73</v>
      </c>
      <c r="B36" s="25">
        <v>0</v>
      </c>
      <c r="C36" s="25">
        <v>0</v>
      </c>
      <c r="D36" s="124">
        <v>0</v>
      </c>
      <c r="E36" s="26">
        <f>B36+整車進口!B35</f>
        <v>0</v>
      </c>
      <c r="F36" s="22">
        <f t="shared" si="0"/>
        <v>0</v>
      </c>
      <c r="G36" s="26">
        <f>C36+整車進口!C35</f>
        <v>0</v>
      </c>
      <c r="H36" s="22">
        <f t="shared" si="1"/>
        <v>0</v>
      </c>
      <c r="I36" s="127">
        <v>0</v>
      </c>
    </row>
    <row r="37" spans="1:9">
      <c r="A37" s="165" t="s">
        <v>74</v>
      </c>
      <c r="B37" s="25">
        <v>0</v>
      </c>
      <c r="C37" s="25">
        <v>0</v>
      </c>
      <c r="D37" s="124">
        <v>0</v>
      </c>
      <c r="E37" s="26">
        <f>B37+整車進口!B36</f>
        <v>0</v>
      </c>
      <c r="F37" s="22">
        <f t="shared" si="0"/>
        <v>0</v>
      </c>
      <c r="G37" s="26">
        <f>C37+整車進口!C36</f>
        <v>0</v>
      </c>
      <c r="H37" s="22">
        <f t="shared" si="1"/>
        <v>0</v>
      </c>
      <c r="I37" s="127">
        <v>0</v>
      </c>
    </row>
    <row r="38" spans="1:9">
      <c r="A38" s="165" t="s">
        <v>91</v>
      </c>
      <c r="B38" s="25">
        <v>0</v>
      </c>
      <c r="C38" s="25">
        <v>0</v>
      </c>
      <c r="D38" s="124">
        <v>0</v>
      </c>
      <c r="E38" s="26">
        <f>B38+整車進口!B37</f>
        <v>0</v>
      </c>
      <c r="F38" s="22">
        <f t="shared" si="0"/>
        <v>0</v>
      </c>
      <c r="G38" s="26">
        <f>C38+整車進口!C37</f>
        <v>0</v>
      </c>
      <c r="H38" s="22">
        <f t="shared" si="1"/>
        <v>0</v>
      </c>
      <c r="I38" s="127">
        <v>0</v>
      </c>
    </row>
    <row r="39" spans="1:9">
      <c r="A39" s="165" t="s">
        <v>92</v>
      </c>
      <c r="B39" s="25">
        <v>0</v>
      </c>
      <c r="C39" s="25">
        <v>0</v>
      </c>
      <c r="D39" s="124">
        <v>0</v>
      </c>
      <c r="E39" s="26">
        <f>B39+整車進口!B38</f>
        <v>0</v>
      </c>
      <c r="F39" s="22">
        <f t="shared" si="0"/>
        <v>0</v>
      </c>
      <c r="G39" s="26">
        <f>C39+整車進口!C38</f>
        <v>0</v>
      </c>
      <c r="H39" s="22">
        <f t="shared" si="1"/>
        <v>0</v>
      </c>
      <c r="I39" s="127">
        <v>0</v>
      </c>
    </row>
    <row r="40" spans="1:9">
      <c r="A40" s="29" t="s">
        <v>79</v>
      </c>
      <c r="B40" s="25">
        <v>0</v>
      </c>
      <c r="C40" s="25">
        <v>0</v>
      </c>
      <c r="D40" s="124">
        <v>0</v>
      </c>
      <c r="E40" s="26">
        <f>B40+整車進口!B39</f>
        <v>0</v>
      </c>
      <c r="F40" s="22">
        <f t="shared" si="0"/>
        <v>0</v>
      </c>
      <c r="G40" s="26">
        <f>C40+整車進口!C39</f>
        <v>0</v>
      </c>
      <c r="H40" s="22">
        <f t="shared" si="1"/>
        <v>0</v>
      </c>
      <c r="I40" s="127">
        <v>0</v>
      </c>
    </row>
    <row r="41" spans="1:9">
      <c r="A41" s="29"/>
      <c r="B41" s="25"/>
      <c r="C41" s="25"/>
      <c r="D41" s="128"/>
      <c r="E41" s="26"/>
      <c r="F41" s="22"/>
      <c r="G41" s="25"/>
      <c r="H41" s="28"/>
      <c r="I41" s="132"/>
    </row>
    <row r="42" spans="1:9">
      <c r="A42" s="32" t="s">
        <v>37</v>
      </c>
      <c r="B42" s="25">
        <f>SUM(B43:B46)</f>
        <v>2</v>
      </c>
      <c r="C42" s="25">
        <f>SUM(C43:C46)</f>
        <v>13757</v>
      </c>
      <c r="D42" s="124">
        <f>C42/B42</f>
        <v>6878.5</v>
      </c>
      <c r="E42" s="31">
        <f>SUM(E43:E46)</f>
        <v>2</v>
      </c>
      <c r="F42" s="22">
        <f>E42/$E$66</f>
        <v>1.9005806273816651E-5</v>
      </c>
      <c r="G42" s="31">
        <f>SUM(G43:G46)</f>
        <v>13757</v>
      </c>
      <c r="H42" s="22">
        <f>G42/$G$66</f>
        <v>1.2637836195196464E-3</v>
      </c>
      <c r="I42" s="127">
        <f>G42/E42</f>
        <v>6878.5</v>
      </c>
    </row>
    <row r="43" spans="1:9">
      <c r="A43" s="24" t="s">
        <v>38</v>
      </c>
      <c r="B43" s="25">
        <v>2</v>
      </c>
      <c r="C43" s="25">
        <v>13757</v>
      </c>
      <c r="D43" s="124">
        <f>C43/B43</f>
        <v>6878.5</v>
      </c>
      <c r="E43" s="26">
        <f>B43+[7]整車進口!B43</f>
        <v>2</v>
      </c>
      <c r="F43" s="22">
        <f>E43/$E$66</f>
        <v>1.9005806273816651E-5</v>
      </c>
      <c r="G43" s="26">
        <f>C43+[7]整車進口!C43</f>
        <v>13757</v>
      </c>
      <c r="H43" s="22">
        <f>G43/$G$66</f>
        <v>1.2637836195196464E-3</v>
      </c>
      <c r="I43" s="127">
        <f>G43/E43</f>
        <v>6878.5</v>
      </c>
    </row>
    <row r="44" spans="1:9">
      <c r="A44" s="24" t="s">
        <v>39</v>
      </c>
      <c r="B44" s="25">
        <v>0</v>
      </c>
      <c r="C44" s="25">
        <v>0</v>
      </c>
      <c r="D44" s="124">
        <v>0</v>
      </c>
      <c r="E44" s="26">
        <f>B44+[7]整車進口!B44</f>
        <v>0</v>
      </c>
      <c r="F44" s="22">
        <f>E44/$E$66</f>
        <v>0</v>
      </c>
      <c r="G44" s="26">
        <f>C44+[7]整車進口!C44</f>
        <v>0</v>
      </c>
      <c r="H44" s="22">
        <f>G44/$G$66</f>
        <v>0</v>
      </c>
      <c r="I44" s="127">
        <v>0</v>
      </c>
    </row>
    <row r="45" spans="1:9">
      <c r="A45" s="24" t="s">
        <v>40</v>
      </c>
      <c r="B45" s="25">
        <v>0</v>
      </c>
      <c r="C45" s="25">
        <v>0</v>
      </c>
      <c r="D45" s="124">
        <v>0</v>
      </c>
      <c r="E45" s="26">
        <f>B45+[7]整車進口!B45</f>
        <v>0</v>
      </c>
      <c r="F45" s="22">
        <f>E45/$E$66</f>
        <v>0</v>
      </c>
      <c r="G45" s="26">
        <f>C45+[7]整車進口!C45</f>
        <v>0</v>
      </c>
      <c r="H45" s="22">
        <f>G45/$G$66</f>
        <v>0</v>
      </c>
      <c r="I45" s="127">
        <v>0</v>
      </c>
    </row>
    <row r="46" spans="1:9">
      <c r="A46" s="29" t="s">
        <v>41</v>
      </c>
      <c r="B46" s="25">
        <v>0</v>
      </c>
      <c r="C46" s="25">
        <v>0</v>
      </c>
      <c r="D46" s="124">
        <v>0</v>
      </c>
      <c r="E46" s="26">
        <f>B46+[7]整車進口!B46</f>
        <v>0</v>
      </c>
      <c r="F46" s="22">
        <f>E46/$E$66</f>
        <v>0</v>
      </c>
      <c r="G46" s="26">
        <f>C46+[7]整車進口!C46</f>
        <v>0</v>
      </c>
      <c r="H46" s="22">
        <f>G46/$G$66</f>
        <v>0</v>
      </c>
      <c r="I46" s="127">
        <v>0</v>
      </c>
    </row>
    <row r="47" spans="1:9">
      <c r="A47" s="29"/>
      <c r="B47" s="25"/>
      <c r="C47" s="25"/>
      <c r="D47" s="128"/>
      <c r="E47" s="25"/>
      <c r="F47" s="28"/>
      <c r="G47" s="25"/>
      <c r="H47" s="28"/>
      <c r="I47" s="132"/>
    </row>
    <row r="48" spans="1:9">
      <c r="A48" s="32" t="s">
        <v>42</v>
      </c>
      <c r="B48" s="25">
        <f>SUM(B49:B64)</f>
        <v>85531</v>
      </c>
      <c r="C48" s="25">
        <f>SUM(C49:C64)</f>
        <v>7057670</v>
      </c>
      <c r="D48" s="124">
        <f>C48/B48</f>
        <v>82.515929896762572</v>
      </c>
      <c r="E48" s="31">
        <f>SUM(E49:E64)</f>
        <v>102815</v>
      </c>
      <c r="F48" s="22">
        <f>E48/$E$66</f>
        <v>0.97704098602122946</v>
      </c>
      <c r="G48" s="31">
        <f>SUM(G49:G64)</f>
        <v>10246340</v>
      </c>
      <c r="H48" s="22">
        <f>G48/$G$66</f>
        <v>0.94127765152496434</v>
      </c>
      <c r="I48" s="127">
        <f>G48/E48</f>
        <v>99.658026552545834</v>
      </c>
    </row>
    <row r="49" spans="1:9">
      <c r="A49" s="24" t="s">
        <v>43</v>
      </c>
      <c r="B49" s="506">
        <v>31</v>
      </c>
      <c r="C49" s="506">
        <v>1994</v>
      </c>
      <c r="D49" s="124">
        <f>C49/B49</f>
        <v>64.322580645161295</v>
      </c>
      <c r="E49" s="26">
        <f>B49+整車進口!B49</f>
        <v>48</v>
      </c>
      <c r="F49" s="22">
        <f>E49/$E$66</f>
        <v>4.5613935057159963E-4</v>
      </c>
      <c r="G49" s="26">
        <f>C49+整車進口!C49</f>
        <v>4674</v>
      </c>
      <c r="H49" s="22">
        <f>G49/$G$66</f>
        <v>4.2937592771933035E-4</v>
      </c>
      <c r="I49" s="127">
        <f>G49/E49</f>
        <v>97.375</v>
      </c>
    </row>
    <row r="50" spans="1:9">
      <c r="A50" s="24" t="s">
        <v>44</v>
      </c>
      <c r="B50" s="506">
        <v>0</v>
      </c>
      <c r="C50" s="506">
        <v>0</v>
      </c>
      <c r="D50" s="124">
        <v>0</v>
      </c>
      <c r="E50" s="26">
        <f>B50+整車進口!B50</f>
        <v>0</v>
      </c>
      <c r="F50" s="22">
        <f t="shared" ref="F50:F64" si="3">E50/$E$66</f>
        <v>0</v>
      </c>
      <c r="G50" s="26">
        <f>C50+整車進口!C50</f>
        <v>0</v>
      </c>
      <c r="H50" s="22">
        <f t="shared" ref="H50:H64" si="4">G50/$G$66</f>
        <v>0</v>
      </c>
      <c r="I50" s="127">
        <v>0</v>
      </c>
    </row>
    <row r="51" spans="1:9">
      <c r="A51" s="24" t="s">
        <v>45</v>
      </c>
      <c r="B51" s="506">
        <v>0</v>
      </c>
      <c r="C51" s="506">
        <v>0</v>
      </c>
      <c r="D51" s="124">
        <v>0</v>
      </c>
      <c r="E51" s="26">
        <f>B51+整車進口!B51</f>
        <v>0</v>
      </c>
      <c r="F51" s="22">
        <f t="shared" si="3"/>
        <v>0</v>
      </c>
      <c r="G51" s="26">
        <f>C51+整車進口!C51</f>
        <v>0</v>
      </c>
      <c r="H51" s="22">
        <f t="shared" si="4"/>
        <v>0</v>
      </c>
      <c r="I51" s="127">
        <v>0</v>
      </c>
    </row>
    <row r="52" spans="1:9">
      <c r="A52" s="29" t="s">
        <v>46</v>
      </c>
      <c r="B52" s="506">
        <v>0</v>
      </c>
      <c r="C52" s="506">
        <v>0</v>
      </c>
      <c r="D52" s="124">
        <v>0</v>
      </c>
      <c r="E52" s="26">
        <f>B52+整車進口!B52</f>
        <v>0</v>
      </c>
      <c r="F52" s="22">
        <f t="shared" si="3"/>
        <v>0</v>
      </c>
      <c r="G52" s="26">
        <f>C52+整車進口!C52</f>
        <v>0</v>
      </c>
      <c r="H52" s="22">
        <f t="shared" si="4"/>
        <v>0</v>
      </c>
      <c r="I52" s="127">
        <v>0</v>
      </c>
    </row>
    <row r="53" spans="1:9">
      <c r="A53" s="24" t="s">
        <v>47</v>
      </c>
      <c r="B53" s="506">
        <v>0</v>
      </c>
      <c r="C53" s="506">
        <v>0</v>
      </c>
      <c r="D53" s="124">
        <v>0</v>
      </c>
      <c r="E53" s="26">
        <f>B53+整車進口!B53</f>
        <v>0</v>
      </c>
      <c r="F53" s="22">
        <f t="shared" si="3"/>
        <v>0</v>
      </c>
      <c r="G53" s="26">
        <f>C53+整車進口!C53</f>
        <v>0</v>
      </c>
      <c r="H53" s="22">
        <f t="shared" si="4"/>
        <v>0</v>
      </c>
      <c r="I53" s="127">
        <v>0</v>
      </c>
    </row>
    <row r="54" spans="1:9">
      <c r="A54" s="24" t="s">
        <v>80</v>
      </c>
      <c r="B54" s="506">
        <v>0</v>
      </c>
      <c r="C54" s="506">
        <v>0</v>
      </c>
      <c r="D54" s="124">
        <v>0</v>
      </c>
      <c r="E54" s="26">
        <f>B54+整車進口!B54</f>
        <v>8</v>
      </c>
      <c r="F54" s="22">
        <f t="shared" si="3"/>
        <v>7.6023225095266605E-5</v>
      </c>
      <c r="G54" s="26">
        <f>C54+整車進口!C54</f>
        <v>43636</v>
      </c>
      <c r="H54" s="22">
        <f t="shared" si="4"/>
        <v>4.0086110359351087E-3</v>
      </c>
      <c r="I54" s="127">
        <v>0</v>
      </c>
    </row>
    <row r="55" spans="1:9">
      <c r="A55" s="29" t="s">
        <v>49</v>
      </c>
      <c r="B55" s="506">
        <v>0</v>
      </c>
      <c r="C55" s="506">
        <v>0</v>
      </c>
      <c r="D55" s="124">
        <v>0</v>
      </c>
      <c r="E55" s="26">
        <f>B55+整車進口!B55</f>
        <v>0</v>
      </c>
      <c r="F55" s="22">
        <f t="shared" si="3"/>
        <v>0</v>
      </c>
      <c r="G55" s="26">
        <f>C55+整車進口!C55</f>
        <v>0</v>
      </c>
      <c r="H55" s="22">
        <f t="shared" si="4"/>
        <v>0</v>
      </c>
      <c r="I55" s="127">
        <v>0</v>
      </c>
    </row>
    <row r="56" spans="1:9">
      <c r="A56" s="29" t="s">
        <v>102</v>
      </c>
      <c r="B56" s="506">
        <v>0</v>
      </c>
      <c r="C56" s="506">
        <v>0</v>
      </c>
      <c r="D56" s="124">
        <v>0</v>
      </c>
      <c r="E56" s="26">
        <f>B56+整車進口!B56</f>
        <v>0</v>
      </c>
      <c r="F56" s="22">
        <f t="shared" si="3"/>
        <v>0</v>
      </c>
      <c r="G56" s="26">
        <f>C56+整車進口!C56</f>
        <v>0</v>
      </c>
      <c r="H56" s="22">
        <f t="shared" si="4"/>
        <v>0</v>
      </c>
      <c r="I56" s="127">
        <v>0</v>
      </c>
    </row>
    <row r="57" spans="1:9">
      <c r="A57" s="137" t="s">
        <v>81</v>
      </c>
      <c r="B57" s="506">
        <v>100</v>
      </c>
      <c r="C57" s="506">
        <v>15057</v>
      </c>
      <c r="D57" s="124">
        <f>C57/B57</f>
        <v>150.57</v>
      </c>
      <c r="E57" s="26">
        <f>B57+整車進口!B57</f>
        <v>100</v>
      </c>
      <c r="F57" s="22">
        <f t="shared" si="3"/>
        <v>9.5029031369083254E-4</v>
      </c>
      <c r="G57" s="26">
        <f>C57+整車進口!C57</f>
        <v>15057</v>
      </c>
      <c r="H57" s="22">
        <f t="shared" si="4"/>
        <v>1.3832078185002047E-3</v>
      </c>
      <c r="I57" s="127">
        <f>G57/E57</f>
        <v>150.57</v>
      </c>
    </row>
    <row r="58" spans="1:9">
      <c r="A58" s="137" t="s">
        <v>93</v>
      </c>
      <c r="B58" s="506">
        <v>361</v>
      </c>
      <c r="C58" s="506">
        <v>92817</v>
      </c>
      <c r="D58" s="124">
        <f>C58/B58</f>
        <v>257.11080332409972</v>
      </c>
      <c r="E58" s="26">
        <f>B58+整車進口!B58</f>
        <v>386</v>
      </c>
      <c r="F58" s="22">
        <f t="shared" si="3"/>
        <v>3.6681206108466137E-3</v>
      </c>
      <c r="G58" s="26">
        <f>C58+整車進口!C58</f>
        <v>111924</v>
      </c>
      <c r="H58" s="22">
        <f t="shared" si="4"/>
        <v>1.0281872343615389E-2</v>
      </c>
      <c r="I58" s="127">
        <f>G58/E58</f>
        <v>289.95854922279796</v>
      </c>
    </row>
    <row r="59" spans="1:9">
      <c r="A59" s="137" t="s">
        <v>94</v>
      </c>
      <c r="B59" s="506">
        <v>193</v>
      </c>
      <c r="C59" s="506">
        <v>26289</v>
      </c>
      <c r="D59" s="124">
        <f>C59/B59</f>
        <v>136.21243523316062</v>
      </c>
      <c r="E59" s="26">
        <f>B59+整車進口!B59</f>
        <v>301</v>
      </c>
      <c r="F59" s="22">
        <f t="shared" si="3"/>
        <v>2.8603738442094058E-3</v>
      </c>
      <c r="G59" s="26">
        <f>C59+整車進口!C59</f>
        <v>182079</v>
      </c>
      <c r="H59" s="22">
        <f t="shared" si="4"/>
        <v>1.6726645173985442E-2</v>
      </c>
      <c r="I59" s="127">
        <f>G59/E59</f>
        <v>604.91362126245849</v>
      </c>
    </row>
    <row r="60" spans="1:9">
      <c r="A60" s="137" t="s">
        <v>55</v>
      </c>
      <c r="B60" s="506">
        <v>0</v>
      </c>
      <c r="C60" s="506">
        <v>0</v>
      </c>
      <c r="D60" s="124">
        <v>0</v>
      </c>
      <c r="E60" s="26">
        <f>B60+整車進口!B60</f>
        <v>0</v>
      </c>
      <c r="F60" s="22">
        <f t="shared" si="3"/>
        <v>0</v>
      </c>
      <c r="G60" s="26">
        <f>C60+整車進口!C60</f>
        <v>0</v>
      </c>
      <c r="H60" s="22">
        <f t="shared" si="4"/>
        <v>0</v>
      </c>
      <c r="I60" s="127">
        <v>0</v>
      </c>
    </row>
    <row r="61" spans="1:9">
      <c r="A61" s="137" t="s">
        <v>95</v>
      </c>
      <c r="B61" s="506">
        <v>84846</v>
      </c>
      <c r="C61" s="506">
        <v>6921513</v>
      </c>
      <c r="D61" s="124">
        <f>C61/B61</f>
        <v>81.57736369422247</v>
      </c>
      <c r="E61" s="26">
        <f>B61+整車進口!B61</f>
        <v>101187</v>
      </c>
      <c r="F61" s="22">
        <f t="shared" si="3"/>
        <v>0.96157025971434273</v>
      </c>
      <c r="G61" s="26">
        <f>C61+整車進口!C61</f>
        <v>9222749</v>
      </c>
      <c r="H61" s="22">
        <f t="shared" si="4"/>
        <v>0.84724570132595767</v>
      </c>
      <c r="I61" s="127">
        <f>G61/E61</f>
        <v>91.145591825036817</v>
      </c>
    </row>
    <row r="62" spans="1:9">
      <c r="A62" s="137" t="s">
        <v>86</v>
      </c>
      <c r="B62" s="506">
        <v>0</v>
      </c>
      <c r="C62" s="506">
        <v>0</v>
      </c>
      <c r="D62" s="124">
        <v>0</v>
      </c>
      <c r="E62" s="26">
        <f>B62+整車進口!B62</f>
        <v>0</v>
      </c>
      <c r="F62" s="22">
        <f t="shared" si="3"/>
        <v>0</v>
      </c>
      <c r="G62" s="26">
        <f>C62+整車進口!C62</f>
        <v>0</v>
      </c>
      <c r="H62" s="22">
        <f t="shared" si="4"/>
        <v>0</v>
      </c>
      <c r="I62" s="127">
        <v>0</v>
      </c>
    </row>
    <row r="63" spans="1:9">
      <c r="A63" s="137" t="s">
        <v>96</v>
      </c>
      <c r="B63" s="506">
        <v>0</v>
      </c>
      <c r="C63" s="506">
        <v>0</v>
      </c>
      <c r="D63" s="124">
        <v>0</v>
      </c>
      <c r="E63" s="26">
        <f>B63+整車進口!B63</f>
        <v>0</v>
      </c>
      <c r="F63" s="22">
        <f t="shared" si="3"/>
        <v>0</v>
      </c>
      <c r="G63" s="26">
        <f>C63+整車進口!C63</f>
        <v>0</v>
      </c>
      <c r="H63" s="22">
        <f t="shared" si="4"/>
        <v>0</v>
      </c>
      <c r="I63" s="127">
        <v>0</v>
      </c>
    </row>
    <row r="64" spans="1:9">
      <c r="A64" s="137" t="s">
        <v>103</v>
      </c>
      <c r="B64" s="506">
        <v>0</v>
      </c>
      <c r="C64" s="506">
        <v>0</v>
      </c>
      <c r="D64" s="124">
        <v>0</v>
      </c>
      <c r="E64" s="26">
        <f>B64+整車進口!B64</f>
        <v>785</v>
      </c>
      <c r="F64" s="22">
        <f t="shared" si="3"/>
        <v>7.4597789624730355E-3</v>
      </c>
      <c r="G64" s="26">
        <f>C64+整車進口!C64</f>
        <v>666221</v>
      </c>
      <c r="H64" s="22">
        <f t="shared" si="4"/>
        <v>6.1202237899251173E-2</v>
      </c>
      <c r="I64" s="127">
        <f t="shared" ref="I64" si="5">G64/E64</f>
        <v>848.68917197452231</v>
      </c>
    </row>
    <row r="65" spans="1:9">
      <c r="A65" s="29" t="s">
        <v>56</v>
      </c>
      <c r="B65" s="25">
        <f>B66-B48-B42-B12-B7</f>
        <v>247</v>
      </c>
      <c r="C65" s="25">
        <f>C66-C48-C42-C12-C7</f>
        <v>177201</v>
      </c>
      <c r="D65" s="124">
        <f>C65/B65</f>
        <v>717.41295546558706</v>
      </c>
      <c r="E65" s="25">
        <f>E66-E48-E42-E12-E7</f>
        <v>248</v>
      </c>
      <c r="F65" s="22">
        <f>E65/$E$66</f>
        <v>2.3567199779532646E-3</v>
      </c>
      <c r="G65" s="25">
        <f>G66-G48-G42-G12-G7</f>
        <v>177297</v>
      </c>
      <c r="H65" s="22">
        <f>G65/$G$66</f>
        <v>1.6287347851273878E-2</v>
      </c>
      <c r="I65" s="127">
        <f>G65/E65</f>
        <v>714.9072580645161</v>
      </c>
    </row>
    <row r="66" spans="1:9" ht="17.25" thickBot="1">
      <c r="A66" s="156" t="s">
        <v>57</v>
      </c>
      <c r="B66" s="158">
        <v>85963</v>
      </c>
      <c r="C66" s="158">
        <v>7424618</v>
      </c>
      <c r="D66" s="157">
        <f>C66/B66</f>
        <v>86.369926596326323</v>
      </c>
      <c r="E66" s="158">
        <f>B66+整車進口!B65</f>
        <v>105231</v>
      </c>
      <c r="F66" s="159">
        <f>E66/$E$66</f>
        <v>1</v>
      </c>
      <c r="G66" s="158">
        <f>C66+整車進口!C65</f>
        <v>10885566</v>
      </c>
      <c r="H66" s="159">
        <f>G66/$G$66</f>
        <v>1</v>
      </c>
      <c r="I66" s="160">
        <f>G66/E66</f>
        <v>103.44447928842261</v>
      </c>
    </row>
    <row r="67" spans="1:9" ht="17.25" thickTop="1">
      <c r="A67" s="161"/>
      <c r="B67" s="35"/>
      <c r="C67" s="35"/>
      <c r="D67" s="162"/>
      <c r="E67" s="58"/>
      <c r="F67" s="163"/>
      <c r="G67" s="58"/>
      <c r="H67" s="163"/>
      <c r="I67" s="162"/>
    </row>
    <row r="68" spans="1:9">
      <c r="A68" s="138"/>
      <c r="B68" s="35"/>
      <c r="C68" s="35"/>
      <c r="D68" s="139"/>
      <c r="E68" s="35"/>
      <c r="F68" s="36"/>
      <c r="G68" s="35"/>
      <c r="H68" s="37"/>
      <c r="I68" s="139"/>
    </row>
    <row r="69" spans="1:9">
      <c r="A69" s="142" t="s">
        <v>58</v>
      </c>
      <c r="B69" s="503"/>
      <c r="C69" s="503"/>
      <c r="D69" s="143"/>
      <c r="E69" s="39"/>
      <c r="F69" s="41"/>
      <c r="G69" s="39"/>
      <c r="H69" s="42"/>
      <c r="I69" s="146"/>
    </row>
    <row r="70" spans="1:9">
      <c r="A70" s="44" t="s">
        <v>285</v>
      </c>
      <c r="B70" s="507" t="s">
        <v>271</v>
      </c>
      <c r="C70" s="507" t="s">
        <v>270</v>
      </c>
      <c r="D70" s="147" t="s">
        <v>1</v>
      </c>
      <c r="E70" s="164" t="s">
        <v>284</v>
      </c>
      <c r="F70" s="46" t="s">
        <v>2</v>
      </c>
      <c r="G70" s="164" t="s">
        <v>283</v>
      </c>
      <c r="H70" s="47" t="s">
        <v>2</v>
      </c>
      <c r="I70" s="147" t="s">
        <v>1</v>
      </c>
    </row>
    <row r="71" spans="1:9">
      <c r="A71" s="48"/>
      <c r="B71" s="49" t="s">
        <v>5</v>
      </c>
      <c r="C71" s="50" t="s">
        <v>4</v>
      </c>
      <c r="D71" s="147" t="s">
        <v>4</v>
      </c>
      <c r="E71" s="51" t="s">
        <v>5</v>
      </c>
      <c r="F71" s="46" t="s">
        <v>5</v>
      </c>
      <c r="G71" s="50" t="s">
        <v>4</v>
      </c>
      <c r="H71" s="53" t="s">
        <v>4</v>
      </c>
      <c r="I71" s="147" t="s">
        <v>4</v>
      </c>
    </row>
    <row r="72" spans="1:9">
      <c r="A72" s="30" t="s">
        <v>57</v>
      </c>
      <c r="B72" s="25">
        <v>313</v>
      </c>
      <c r="C72" s="25">
        <v>183709</v>
      </c>
      <c r="D72" s="150">
        <f>C72/B72</f>
        <v>586.92971246006391</v>
      </c>
      <c r="E72" s="25">
        <f>B72+整車進口!B70</f>
        <v>720</v>
      </c>
      <c r="F72" s="56">
        <v>1</v>
      </c>
      <c r="G72" s="26">
        <f>C72+整車進口!C70</f>
        <v>394330</v>
      </c>
      <c r="H72" s="56">
        <v>1</v>
      </c>
      <c r="I72" s="150">
        <f>G72/E72</f>
        <v>547.68055555555554</v>
      </c>
    </row>
    <row r="73" spans="1:9">
      <c r="A73" s="161"/>
      <c r="B73" s="35"/>
      <c r="C73" s="35"/>
      <c r="D73" s="162"/>
      <c r="E73" s="58"/>
      <c r="F73" s="163"/>
      <c r="G73" s="58"/>
      <c r="H73" s="163"/>
      <c r="I73" s="162"/>
    </row>
    <row r="74" spans="1:9">
      <c r="A74" s="57" t="s">
        <v>104</v>
      </c>
      <c r="B74" s="3"/>
      <c r="C74" s="35"/>
      <c r="D74" s="3"/>
      <c r="E74" s="3"/>
      <c r="F74" s="3"/>
      <c r="G74" s="3"/>
      <c r="H74" s="3"/>
      <c r="I74" s="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3"/>
  <sheetViews>
    <sheetView zoomScaleNormal="100" workbookViewId="0">
      <selection activeCell="A2" sqref="A2"/>
    </sheetView>
  </sheetViews>
  <sheetFormatPr defaultRowHeight="16.5"/>
  <cols>
    <col min="1" max="1" width="19.25" customWidth="1"/>
    <col min="2" max="2" width="14.5" customWidth="1"/>
    <col min="3" max="3" width="14.75" customWidth="1"/>
    <col min="4" max="4" width="14.875" customWidth="1"/>
    <col min="5" max="5" width="16.125" customWidth="1"/>
    <col min="6" max="6" width="13.875" hidden="1" customWidth="1"/>
    <col min="7" max="7" width="15.875" customWidth="1"/>
    <col min="8" max="8" width="15.25" customWidth="1"/>
    <col min="9" max="9" width="13.875" customWidth="1"/>
  </cols>
  <sheetData>
    <row r="1" spans="1:9" ht="23.25">
      <c r="A1" s="765" t="s">
        <v>513</v>
      </c>
      <c r="B1" s="765"/>
      <c r="C1" s="765"/>
      <c r="D1" s="765"/>
      <c r="E1" s="765"/>
      <c r="F1" s="765"/>
      <c r="G1" s="765"/>
      <c r="H1" s="765"/>
      <c r="I1" s="765"/>
    </row>
    <row r="2" spans="1:9" ht="7.5" customHeight="1">
      <c r="A2" s="3"/>
      <c r="B2" s="4"/>
      <c r="C2" s="4"/>
      <c r="D2" s="4"/>
      <c r="E2" s="4"/>
      <c r="F2" s="4"/>
      <c r="G2" s="4"/>
      <c r="H2" s="4"/>
      <c r="I2" s="4"/>
    </row>
    <row r="3" spans="1:9">
      <c r="A3" s="759" t="s">
        <v>0</v>
      </c>
      <c r="B3" s="760"/>
      <c r="C3" s="760"/>
      <c r="D3" s="760"/>
      <c r="E3" s="760"/>
      <c r="F3" s="760"/>
      <c r="G3" s="760"/>
      <c r="H3" s="760"/>
      <c r="I3" s="761"/>
    </row>
    <row r="4" spans="1:9" ht="19.5">
      <c r="A4" s="6" t="s">
        <v>505</v>
      </c>
      <c r="B4" s="7" t="s">
        <v>506</v>
      </c>
      <c r="C4" s="7" t="s">
        <v>507</v>
      </c>
      <c r="D4" s="8" t="s">
        <v>1</v>
      </c>
      <c r="E4" s="9" t="s">
        <v>508</v>
      </c>
      <c r="F4" s="10" t="s">
        <v>2</v>
      </c>
      <c r="G4" s="9" t="s">
        <v>509</v>
      </c>
      <c r="H4" s="10" t="s">
        <v>2</v>
      </c>
      <c r="I4" s="11" t="s">
        <v>410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87</v>
      </c>
      <c r="H5" s="6" t="s">
        <v>4</v>
      </c>
      <c r="I5" s="119" t="s">
        <v>4</v>
      </c>
    </row>
    <row r="6" spans="1:9">
      <c r="A6" s="155" t="s">
        <v>6</v>
      </c>
      <c r="B6" s="15"/>
      <c r="C6" s="16"/>
      <c r="D6" s="16"/>
      <c r="E6" s="16"/>
      <c r="F6" s="16"/>
      <c r="G6" s="16"/>
      <c r="H6" s="16"/>
      <c r="I6" s="122"/>
    </row>
    <row r="7" spans="1:9">
      <c r="A7" s="19" t="s">
        <v>7</v>
      </c>
      <c r="B7" s="20">
        <f>SUM(B8:B10)</f>
        <v>6</v>
      </c>
      <c r="C7" s="21">
        <f>SUM(C8:C10)</f>
        <v>1435</v>
      </c>
      <c r="D7" s="124">
        <f>IF(B7,C7/B7,0)</f>
        <v>239.16666666666666</v>
      </c>
      <c r="E7" s="21">
        <f>SUM(E8:E10)</f>
        <v>56</v>
      </c>
      <c r="F7" s="22">
        <f>E7/$E$65</f>
        <v>2.8857649338335324E-4</v>
      </c>
      <c r="G7" s="21">
        <f>SUM(G8:G10)</f>
        <v>89690</v>
      </c>
      <c r="H7" s="22">
        <f>G7/$G$65</f>
        <v>3.1267273870222651E-3</v>
      </c>
      <c r="I7" s="127">
        <f>IF(E7,G7/E7,0)</f>
        <v>1601.6071428571429</v>
      </c>
    </row>
    <row r="8" spans="1:9">
      <c r="A8" s="24" t="s">
        <v>340</v>
      </c>
      <c r="B8" s="25">
        <f>VLOOKUP(A8,[8]進出口值表查詢結果!$A$10:$C$25,3,0)</f>
        <v>5</v>
      </c>
      <c r="C8" s="26">
        <f>VLOOKUP(A8,[8]進出口值表查詢結果!$A$10:$C$25,2,0)</f>
        <v>1307</v>
      </c>
      <c r="D8" s="124">
        <f t="shared" ref="D8:D64" si="0">IF(B8,C8/B8,0)</f>
        <v>261.39999999999998</v>
      </c>
      <c r="E8" s="26">
        <f>VLOOKUP(A8,[9]進出口值表查詢結果!$A$10:$C$35,3,0)</f>
        <v>53</v>
      </c>
      <c r="F8" s="22">
        <f>E8/$E$65</f>
        <v>2.7311703838067361E-4</v>
      </c>
      <c r="G8" s="26">
        <f>VLOOKUP(A8,[9]進出口值表查詢結果!$A$10:$C$35,2,0)</f>
        <v>80284</v>
      </c>
      <c r="H8" s="22">
        <f>G8/$G$65</f>
        <v>2.7988201754899711E-3</v>
      </c>
      <c r="I8" s="127">
        <f t="shared" ref="I8:I64" si="1">IF(E8,G8/E8,0)</f>
        <v>1514.7924528301887</v>
      </c>
    </row>
    <row r="9" spans="1:9">
      <c r="A9" s="29" t="s">
        <v>8</v>
      </c>
      <c r="B9" s="25">
        <f>VLOOKUP(A9,[8]進出口值表查詢結果!$A$10:$C$25,3,0)</f>
        <v>1</v>
      </c>
      <c r="C9" s="26">
        <f>VLOOKUP(A9,[8]進出口值表查詢結果!$A$10:$C$25,2,0)</f>
        <v>128</v>
      </c>
      <c r="D9" s="124">
        <f t="shared" ref="D9:D10" si="2">IF(B9,C9/B9,0)</f>
        <v>128</v>
      </c>
      <c r="E9" s="26">
        <f>VLOOKUP(A9,[9]進出口值表查詢結果!$A$10:$C$35,3,0)</f>
        <v>3</v>
      </c>
      <c r="F9" s="22">
        <f t="shared" ref="F9:F10" si="3">E9/$E$65</f>
        <v>1.545945500267964E-5</v>
      </c>
      <c r="G9" s="26">
        <f>VLOOKUP(A9,[9]進出口值表查詢結果!$A$10:$C$35,2,0)</f>
        <v>9406</v>
      </c>
      <c r="H9" s="22">
        <f>G9/$G$65</f>
        <v>3.2790721153229375E-4</v>
      </c>
      <c r="I9" s="127">
        <f t="shared" si="1"/>
        <v>3135.3333333333335</v>
      </c>
    </row>
    <row r="10" spans="1:9">
      <c r="A10" s="29" t="s">
        <v>9</v>
      </c>
      <c r="B10" s="25">
        <v>0</v>
      </c>
      <c r="C10" s="26">
        <f>_xlfn.IFNA(VLOOKUP(A10,[10]進出口值表查詢結果!$C$11:$G$188,3,0),-[4]整車!$B$22)</f>
        <v>0</v>
      </c>
      <c r="D10" s="124">
        <f t="shared" si="2"/>
        <v>0</v>
      </c>
      <c r="E10" s="26">
        <v>0</v>
      </c>
      <c r="F10" s="22">
        <f t="shared" si="3"/>
        <v>0</v>
      </c>
      <c r="G10" s="26">
        <f>_xlfn.IFNA(VLOOKUP(A10,[5]進!$C$11:$J$387,4,0),-[4]整車!$B$22)</f>
        <v>0</v>
      </c>
      <c r="H10" s="22">
        <f>G10/$G$65</f>
        <v>0</v>
      </c>
      <c r="I10" s="127">
        <f t="shared" si="1"/>
        <v>0</v>
      </c>
    </row>
    <row r="11" spans="1:9">
      <c r="A11" s="29"/>
      <c r="B11" s="25"/>
      <c r="C11" s="25"/>
      <c r="D11" s="124"/>
      <c r="E11" s="25"/>
      <c r="F11" s="28"/>
      <c r="G11" s="25"/>
      <c r="H11" s="28"/>
      <c r="I11" s="127"/>
    </row>
    <row r="12" spans="1:9">
      <c r="A12" s="30" t="s">
        <v>10</v>
      </c>
      <c r="B12" s="31">
        <f>SUM(B13:B39)</f>
        <v>1970</v>
      </c>
      <c r="C12" s="31">
        <f>SUM(C13:C39)</f>
        <v>267462</v>
      </c>
      <c r="D12" s="124">
        <f t="shared" si="0"/>
        <v>135.76751269035532</v>
      </c>
      <c r="E12" s="31">
        <f>SUM(E13:E39)</f>
        <v>2241</v>
      </c>
      <c r="F12" s="22">
        <f t="shared" ref="F12:F13" si="4">E12/$E$65</f>
        <v>1.154821288700169E-2</v>
      </c>
      <c r="G12" s="31">
        <f>SUM(G13:G39)</f>
        <v>1416652</v>
      </c>
      <c r="H12" s="22">
        <f t="shared" ref="H12:H39" si="5">G12/$G$65</f>
        <v>4.9386605042701148E-2</v>
      </c>
      <c r="I12" s="127">
        <f t="shared" si="1"/>
        <v>632.15171798304334</v>
      </c>
    </row>
    <row r="13" spans="1:9">
      <c r="A13" s="24" t="s">
        <v>320</v>
      </c>
      <c r="B13" s="25">
        <v>0</v>
      </c>
      <c r="C13" s="26">
        <v>0</v>
      </c>
      <c r="D13" s="124">
        <f t="shared" si="0"/>
        <v>0</v>
      </c>
      <c r="E13" s="26">
        <f>VLOOKUP(A13,[9]進出口值表查詢結果!$A$10:$C$35,3,0)</f>
        <v>1</v>
      </c>
      <c r="F13" s="22">
        <f t="shared" si="4"/>
        <v>5.1531516675598796E-6</v>
      </c>
      <c r="G13" s="26">
        <f>VLOOKUP(A13,[9]進出口值表查詢結果!$A$10:$C$35,2,0)</f>
        <v>5329</v>
      </c>
      <c r="H13" s="22">
        <f t="shared" si="5"/>
        <v>1.8577690094148344E-4</v>
      </c>
      <c r="I13" s="127">
        <f t="shared" si="1"/>
        <v>5329</v>
      </c>
    </row>
    <row r="14" spans="1:9">
      <c r="A14" s="24" t="s">
        <v>321</v>
      </c>
      <c r="B14" s="25">
        <f>VLOOKUP(A14,[8]進出口值表查詢結果!$A$10:$C$25,3,0)</f>
        <v>15</v>
      </c>
      <c r="C14" s="26">
        <f>VLOOKUP(A14,[8]進出口值表查詢結果!$A$10:$C$25,2,0)</f>
        <v>78564</v>
      </c>
      <c r="D14" s="124">
        <f t="shared" ref="D14:D39" si="6">IF(B14,C14/B14,0)</f>
        <v>5237.6000000000004</v>
      </c>
      <c r="E14" s="26">
        <f>VLOOKUP(A14,[9]進出口值表查詢結果!$A$10:$C$35,3,0)</f>
        <v>116</v>
      </c>
      <c r="F14" s="22">
        <f t="shared" ref="F14:F39" si="7">E14/$E$65</f>
        <v>5.9776559343694606E-4</v>
      </c>
      <c r="G14" s="26">
        <f>VLOOKUP(A14,[9]進出口值表查詢結果!$A$10:$C$35,2,0)</f>
        <v>624453</v>
      </c>
      <c r="H14" s="22">
        <f t="shared" si="5"/>
        <v>2.1769364444288265E-2</v>
      </c>
      <c r="I14" s="127">
        <f t="shared" si="1"/>
        <v>5383.2155172413795</v>
      </c>
    </row>
    <row r="15" spans="1:9">
      <c r="A15" s="29" t="s">
        <v>13</v>
      </c>
      <c r="B15" s="25">
        <v>0</v>
      </c>
      <c r="C15" s="26">
        <v>0</v>
      </c>
      <c r="D15" s="124">
        <f t="shared" si="6"/>
        <v>0</v>
      </c>
      <c r="E15" s="26">
        <f>VLOOKUP(A15,[9]進出口值表查詢結果!$A$10:$C$35,3,0)</f>
        <v>18</v>
      </c>
      <c r="F15" s="22">
        <f t="shared" si="7"/>
        <v>9.2756730016077839E-5</v>
      </c>
      <c r="G15" s="26">
        <f>VLOOKUP(A15,[9]進出口值表查詢結果!$A$10:$C$35,2,0)</f>
        <v>29294</v>
      </c>
      <c r="H15" s="22">
        <f t="shared" si="5"/>
        <v>1.021232602022859E-3</v>
      </c>
      <c r="I15" s="127">
        <f t="shared" si="1"/>
        <v>1627.4444444444443</v>
      </c>
    </row>
    <row r="16" spans="1:9">
      <c r="A16" s="24" t="s">
        <v>323</v>
      </c>
      <c r="B16" s="25">
        <v>0</v>
      </c>
      <c r="C16" s="26">
        <v>0</v>
      </c>
      <c r="D16" s="124">
        <f t="shared" si="6"/>
        <v>0</v>
      </c>
      <c r="E16" s="26">
        <f>VLOOKUP(A16,[9]進出口值表查詢結果!$A$10:$C$35,3,0)</f>
        <v>36</v>
      </c>
      <c r="F16" s="22">
        <f t="shared" si="7"/>
        <v>1.8551346003215568E-4</v>
      </c>
      <c r="G16" s="26">
        <f>VLOOKUP(A16,[9]進出口值表查詢結果!$A$10:$C$35,2,0)</f>
        <v>165407</v>
      </c>
      <c r="H16" s="22">
        <f t="shared" si="5"/>
        <v>5.7663351199151724E-3</v>
      </c>
      <c r="I16" s="127">
        <f t="shared" si="1"/>
        <v>4594.6388888888887</v>
      </c>
    </row>
    <row r="17" spans="1:9">
      <c r="A17" s="29" t="s">
        <v>16</v>
      </c>
      <c r="B17" s="25">
        <f>VLOOKUP(A17,[8]進出口值表查詢結果!$A$10:$C$25,3,0)</f>
        <v>28</v>
      </c>
      <c r="C17" s="26">
        <f>VLOOKUP(A17,[8]進出口值表查詢結果!$A$10:$C$25,2,0)</f>
        <v>144113</v>
      </c>
      <c r="D17" s="124">
        <f t="shared" si="6"/>
        <v>5146.8928571428569</v>
      </c>
      <c r="E17" s="26">
        <f>VLOOKUP(A17,[9]進出口值表查詢結果!$A$10:$C$35,3,0)</f>
        <v>137</v>
      </c>
      <c r="F17" s="22">
        <f t="shared" si="7"/>
        <v>7.0598177845570349E-4</v>
      </c>
      <c r="G17" s="26">
        <f>VLOOKUP(A17,[9]進出口值表查詢結果!$A$10:$C$35,2,0)</f>
        <v>538771</v>
      </c>
      <c r="H17" s="22">
        <f t="shared" si="5"/>
        <v>1.878236192477838E-2</v>
      </c>
      <c r="I17" s="127">
        <f t="shared" si="1"/>
        <v>3932.6350364963505</v>
      </c>
    </row>
    <row r="18" spans="1:9">
      <c r="A18" s="29" t="s">
        <v>17</v>
      </c>
      <c r="B18" s="25">
        <v>0</v>
      </c>
      <c r="C18" s="25">
        <f>_xlfn.IFNA(VLOOKUP(A18,[10]進出口值表查詢結果!$C$11:$G$718,3,0),-[4]整車!$B$22)</f>
        <v>0</v>
      </c>
      <c r="D18" s="124">
        <f t="shared" si="6"/>
        <v>0</v>
      </c>
      <c r="E18" s="26">
        <f>VLOOKUP(A18,[9]進出口值表查詢結果!$A$10:$C$35,3,0)</f>
        <v>1</v>
      </c>
      <c r="F18" s="22">
        <f t="shared" si="7"/>
        <v>5.1531516675598796E-6</v>
      </c>
      <c r="G18" s="26">
        <f>VLOOKUP(A18,[9]進出口值表查詢結果!$A$10:$C$35,2,0)</f>
        <v>269</v>
      </c>
      <c r="H18" s="22">
        <f t="shared" si="5"/>
        <v>9.3777418564944735E-6</v>
      </c>
      <c r="I18" s="127">
        <f t="shared" si="1"/>
        <v>269</v>
      </c>
    </row>
    <row r="19" spans="1:9">
      <c r="A19" s="24" t="s">
        <v>324</v>
      </c>
      <c r="B19" s="25">
        <v>0</v>
      </c>
      <c r="C19" s="25">
        <f>_xlfn.IFNA(VLOOKUP(A19,[10]進出口值表查詢結果!$C$11:$G$718,3,0),-[4]整車!$B$22)</f>
        <v>0</v>
      </c>
      <c r="D19" s="124">
        <f t="shared" si="6"/>
        <v>0</v>
      </c>
      <c r="E19" s="26">
        <f>VLOOKUP(A19,[9]進出口值表查詢結果!$A$10:$C$35,3,0)</f>
        <v>3</v>
      </c>
      <c r="F19" s="22">
        <f t="shared" si="7"/>
        <v>1.545945500267964E-5</v>
      </c>
      <c r="G19" s="26">
        <f>VLOOKUP(A19,[9]進出口值表查詢結果!$A$10:$C$35,2,0)</f>
        <v>4867</v>
      </c>
      <c r="H19" s="22">
        <f t="shared" si="5"/>
        <v>1.6967089076415836E-4</v>
      </c>
      <c r="I19" s="127">
        <f t="shared" si="1"/>
        <v>1622.3333333333333</v>
      </c>
    </row>
    <row r="20" spans="1:9">
      <c r="A20" s="29" t="s">
        <v>67</v>
      </c>
      <c r="B20" s="25">
        <v>0</v>
      </c>
      <c r="C20" s="25">
        <f>_xlfn.IFNA(VLOOKUP(A20,[10]進出口值表查詢結果!$C$11:$G$718,3,0),-[4]整車!$B$22)</f>
        <v>0</v>
      </c>
      <c r="D20" s="124">
        <f t="shared" si="6"/>
        <v>0</v>
      </c>
      <c r="E20" s="26">
        <v>0</v>
      </c>
      <c r="F20" s="22">
        <f t="shared" si="7"/>
        <v>0</v>
      </c>
      <c r="G20" s="26">
        <v>0</v>
      </c>
      <c r="H20" s="22">
        <f t="shared" si="5"/>
        <v>0</v>
      </c>
      <c r="I20" s="127">
        <f t="shared" si="1"/>
        <v>0</v>
      </c>
    </row>
    <row r="21" spans="1:9">
      <c r="A21" s="24" t="s">
        <v>325</v>
      </c>
      <c r="B21" s="25">
        <v>0</v>
      </c>
      <c r="C21" s="25">
        <f>_xlfn.IFNA(VLOOKUP(A21,[10]進出口值表查詢結果!$C$11:$G$718,3,0),-[4]整車!$B$22)</f>
        <v>0</v>
      </c>
      <c r="D21" s="124">
        <f t="shared" si="6"/>
        <v>0</v>
      </c>
      <c r="E21" s="26">
        <v>0</v>
      </c>
      <c r="F21" s="22">
        <f t="shared" si="7"/>
        <v>0</v>
      </c>
      <c r="G21" s="26">
        <v>0</v>
      </c>
      <c r="H21" s="22">
        <f t="shared" si="5"/>
        <v>0</v>
      </c>
      <c r="I21" s="127">
        <f t="shared" si="1"/>
        <v>0</v>
      </c>
    </row>
    <row r="22" spans="1:9">
      <c r="A22" s="29" t="s">
        <v>21</v>
      </c>
      <c r="B22" s="25">
        <v>0</v>
      </c>
      <c r="C22" s="25">
        <f>_xlfn.IFNA(VLOOKUP(A22,[10]進出口值表查詢結果!$C$11:$G$718,3,0),-[4]整車!$B$22)</f>
        <v>0</v>
      </c>
      <c r="D22" s="124">
        <f t="shared" si="6"/>
        <v>0</v>
      </c>
      <c r="E22" s="26">
        <v>0</v>
      </c>
      <c r="F22" s="22">
        <f t="shared" si="7"/>
        <v>0</v>
      </c>
      <c r="G22" s="26">
        <v>0</v>
      </c>
      <c r="H22" s="22">
        <f t="shared" si="5"/>
        <v>0</v>
      </c>
      <c r="I22" s="127">
        <f t="shared" si="1"/>
        <v>0</v>
      </c>
    </row>
    <row r="23" spans="1:9">
      <c r="A23" s="29" t="s">
        <v>22</v>
      </c>
      <c r="B23" s="25">
        <v>0</v>
      </c>
      <c r="C23" s="25">
        <f>_xlfn.IFNA(VLOOKUP(A23,[10]進出口值表查詢結果!$C$11:$G$718,3,0),-[4]整車!$B$22)</f>
        <v>0</v>
      </c>
      <c r="D23" s="124">
        <f t="shared" si="6"/>
        <v>0</v>
      </c>
      <c r="E23" s="26">
        <v>0</v>
      </c>
      <c r="F23" s="22">
        <f t="shared" si="7"/>
        <v>0</v>
      </c>
      <c r="G23" s="26">
        <v>0</v>
      </c>
      <c r="H23" s="22">
        <f t="shared" si="5"/>
        <v>0</v>
      </c>
      <c r="I23" s="127">
        <f t="shared" si="1"/>
        <v>0</v>
      </c>
    </row>
    <row r="24" spans="1:9">
      <c r="A24" s="29" t="s">
        <v>23</v>
      </c>
      <c r="B24" s="25">
        <f>VLOOKUP(A24,[8]進出口值表查詢結果!$A$10:$C$25,3,0)</f>
        <v>1</v>
      </c>
      <c r="C24" s="26">
        <f>VLOOKUP(A24,[8]進出口值表查詢結果!$A$10:$C$25,2,0)</f>
        <v>3445</v>
      </c>
      <c r="D24" s="124">
        <f t="shared" si="6"/>
        <v>3445</v>
      </c>
      <c r="E24" s="26">
        <f>VLOOKUP(A24,[9]進出口值表查詢結果!$A$10:$C$35,3,0)</f>
        <v>2</v>
      </c>
      <c r="F24" s="22">
        <f t="shared" si="7"/>
        <v>1.0306303335119759E-5</v>
      </c>
      <c r="G24" s="26">
        <f>VLOOKUP(A24,[9]進出口值表查詢結果!$A$10:$C$35,2,0)</f>
        <v>6760</v>
      </c>
      <c r="H24" s="22">
        <f t="shared" si="5"/>
        <v>2.3566369869852281E-4</v>
      </c>
      <c r="I24" s="127">
        <f t="shared" si="1"/>
        <v>3380</v>
      </c>
    </row>
    <row r="25" spans="1:9">
      <c r="A25" s="24" t="s">
        <v>326</v>
      </c>
      <c r="B25" s="25">
        <v>0</v>
      </c>
      <c r="C25" s="25">
        <f>_xlfn.IFNA(VLOOKUP(A25,[10]進出口值表查詢結果!$C$11:$G$718,3,0),-[4]整車!$B$22)</f>
        <v>0</v>
      </c>
      <c r="D25" s="124">
        <f t="shared" si="6"/>
        <v>0</v>
      </c>
      <c r="E25" s="26">
        <f>VLOOKUP(A25,[9]進出口值表查詢結果!$A$10:$C$35,3,0)</f>
        <v>1</v>
      </c>
      <c r="F25" s="22">
        <f t="shared" si="7"/>
        <v>5.1531516675598796E-6</v>
      </c>
      <c r="G25" s="26">
        <f>VLOOKUP(A25,[9]進出口值表查詢結果!$A$10:$C$35,2,0)</f>
        <v>162</v>
      </c>
      <c r="H25" s="22">
        <f t="shared" si="5"/>
        <v>5.6475620102308724E-6</v>
      </c>
      <c r="I25" s="127">
        <f t="shared" si="1"/>
        <v>162</v>
      </c>
    </row>
    <row r="26" spans="1:9">
      <c r="A26" s="24" t="s">
        <v>327</v>
      </c>
      <c r="B26" s="25">
        <v>0</v>
      </c>
      <c r="C26" s="25">
        <f>_xlfn.IFNA(VLOOKUP(A26,[10]進出口值表查詢結果!$C$11:$G$718,3,0),-[4]整車!$B$22)</f>
        <v>0</v>
      </c>
      <c r="D26" s="124">
        <f t="shared" si="6"/>
        <v>0</v>
      </c>
      <c r="E26" s="26">
        <v>0</v>
      </c>
      <c r="F26" s="22">
        <f t="shared" si="7"/>
        <v>0</v>
      </c>
      <c r="G26" s="26">
        <v>0</v>
      </c>
      <c r="H26" s="22">
        <f t="shared" si="5"/>
        <v>0</v>
      </c>
      <c r="I26" s="127">
        <f t="shared" si="1"/>
        <v>0</v>
      </c>
    </row>
    <row r="27" spans="1:9">
      <c r="A27" s="523" t="s">
        <v>342</v>
      </c>
      <c r="B27" s="25">
        <v>0</v>
      </c>
      <c r="C27" s="25">
        <f>_xlfn.IFNA(VLOOKUP(A27,[10]進出口值表查詢結果!$C$11:$G$718,3,0),-[4]整車!$B$22)</f>
        <v>0</v>
      </c>
      <c r="D27" s="124">
        <f t="shared" si="6"/>
        <v>0</v>
      </c>
      <c r="E27" s="26">
        <v>0</v>
      </c>
      <c r="F27" s="22">
        <f t="shared" si="7"/>
        <v>0</v>
      </c>
      <c r="G27" s="26">
        <v>0</v>
      </c>
      <c r="H27" s="22">
        <f t="shared" si="5"/>
        <v>0</v>
      </c>
      <c r="I27" s="127">
        <f t="shared" si="1"/>
        <v>0</v>
      </c>
    </row>
    <row r="28" spans="1:9">
      <c r="A28" s="523" t="s">
        <v>341</v>
      </c>
      <c r="B28" s="25">
        <f>VLOOKUP(A28,[8]進出口值表查詢結果!$A$10:$C$25,3,0)</f>
        <v>1926</v>
      </c>
      <c r="C28" s="26">
        <f>VLOOKUP(A28,[8]進出口值表查詢結果!$A$10:$C$25,2,0)</f>
        <v>41340</v>
      </c>
      <c r="D28" s="124">
        <f t="shared" si="6"/>
        <v>21.464174454828662</v>
      </c>
      <c r="E28" s="26">
        <f>VLOOKUP(A28,[9]進出口值表查詢結果!$A$10:$C$35,3,0)</f>
        <v>1926</v>
      </c>
      <c r="F28" s="22">
        <f t="shared" si="7"/>
        <v>9.9249701117203274E-3</v>
      </c>
      <c r="G28" s="26">
        <f>VLOOKUP(A28,[9]進出口值表查詢結果!$A$10:$C$35,2,0)</f>
        <v>41340</v>
      </c>
      <c r="H28" s="22">
        <f t="shared" si="5"/>
        <v>1.4411741574255818E-3</v>
      </c>
      <c r="I28" s="127">
        <f t="shared" si="1"/>
        <v>21.464174454828662</v>
      </c>
    </row>
    <row r="29" spans="1:9">
      <c r="A29" s="99" t="s">
        <v>68</v>
      </c>
      <c r="B29" s="25">
        <v>0</v>
      </c>
      <c r="C29" s="25">
        <f>_xlfn.IFNA(VLOOKUP(A29,[10]進出口值表查詢結果!$C$11:$G$718,3,0),-[4]整車!$B$22)</f>
        <v>0</v>
      </c>
      <c r="D29" s="124">
        <f t="shared" si="6"/>
        <v>0</v>
      </c>
      <c r="E29" s="26">
        <v>0</v>
      </c>
      <c r="F29" s="22">
        <f t="shared" si="7"/>
        <v>0</v>
      </c>
      <c r="G29" s="26">
        <v>0</v>
      </c>
      <c r="H29" s="22">
        <f t="shared" si="5"/>
        <v>0</v>
      </c>
      <c r="I29" s="127">
        <f t="shared" si="1"/>
        <v>0</v>
      </c>
    </row>
    <row r="30" spans="1:9">
      <c r="A30" s="99" t="s">
        <v>69</v>
      </c>
      <c r="B30" s="25">
        <v>0</v>
      </c>
      <c r="C30" s="25">
        <f>_xlfn.IFNA(VLOOKUP(A30,[10]進出口值表查詢結果!$C$11:$G$718,3,0),-[4]整車!$B$22)</f>
        <v>0</v>
      </c>
      <c r="D30" s="124">
        <f t="shared" si="6"/>
        <v>0</v>
      </c>
      <c r="E30" s="26">
        <v>0</v>
      </c>
      <c r="F30" s="22">
        <f t="shared" si="7"/>
        <v>0</v>
      </c>
      <c r="G30" s="26">
        <v>0</v>
      </c>
      <c r="H30" s="22">
        <f t="shared" si="5"/>
        <v>0</v>
      </c>
      <c r="I30" s="127">
        <f t="shared" si="1"/>
        <v>0</v>
      </c>
    </row>
    <row r="31" spans="1:9">
      <c r="A31" s="99" t="s">
        <v>70</v>
      </c>
      <c r="B31" s="25">
        <v>0</v>
      </c>
      <c r="C31" s="25">
        <f>_xlfn.IFNA(VLOOKUP(A31,[10]進出口值表查詢結果!$C$11:$G$718,3,0),-[4]整車!$B$22)</f>
        <v>0</v>
      </c>
      <c r="D31" s="124">
        <f t="shared" si="6"/>
        <v>0</v>
      </c>
      <c r="E31" s="26">
        <v>0</v>
      </c>
      <c r="F31" s="22">
        <f t="shared" si="7"/>
        <v>0</v>
      </c>
      <c r="G31" s="26">
        <v>0</v>
      </c>
      <c r="H31" s="22">
        <f t="shared" si="5"/>
        <v>0</v>
      </c>
      <c r="I31" s="127">
        <f t="shared" si="1"/>
        <v>0</v>
      </c>
    </row>
    <row r="32" spans="1:9">
      <c r="A32" s="29" t="s">
        <v>29</v>
      </c>
      <c r="B32" s="25">
        <v>0</v>
      </c>
      <c r="C32" s="25">
        <f>_xlfn.IFNA(VLOOKUP(A32,[10]進出口值表查詢結果!$C$11:$G$718,3,0),-[4]整車!$B$22)</f>
        <v>0</v>
      </c>
      <c r="D32" s="124">
        <f t="shared" si="6"/>
        <v>0</v>
      </c>
      <c r="E32" s="26">
        <v>0</v>
      </c>
      <c r="F32" s="22">
        <f t="shared" si="7"/>
        <v>0</v>
      </c>
      <c r="G32" s="26">
        <v>0</v>
      </c>
      <c r="H32" s="22">
        <f t="shared" si="5"/>
        <v>0</v>
      </c>
      <c r="I32" s="127">
        <f t="shared" si="1"/>
        <v>0</v>
      </c>
    </row>
    <row r="33" spans="1:9">
      <c r="A33" s="99" t="s">
        <v>71</v>
      </c>
      <c r="B33" s="25">
        <v>0</v>
      </c>
      <c r="C33" s="25">
        <f>_xlfn.IFNA(VLOOKUP(A33,[10]進出口值表查詢結果!$C$11:$G$718,3,0),-[4]整車!$B$22)</f>
        <v>0</v>
      </c>
      <c r="D33" s="124">
        <f t="shared" si="6"/>
        <v>0</v>
      </c>
      <c r="E33" s="26">
        <v>0</v>
      </c>
      <c r="F33" s="22">
        <f t="shared" si="7"/>
        <v>0</v>
      </c>
      <c r="G33" s="26">
        <v>0</v>
      </c>
      <c r="H33" s="22">
        <f t="shared" si="5"/>
        <v>0</v>
      </c>
      <c r="I33" s="127">
        <f t="shared" si="1"/>
        <v>0</v>
      </c>
    </row>
    <row r="34" spans="1:9">
      <c r="A34" s="100" t="s">
        <v>72</v>
      </c>
      <c r="B34" s="25">
        <v>0</v>
      </c>
      <c r="C34" s="25">
        <f>_xlfn.IFNA(VLOOKUP(A34,[10]進出口值表查詢結果!$C$11:$G$718,3,0),-[4]整車!$B$22)</f>
        <v>0</v>
      </c>
      <c r="D34" s="124">
        <f t="shared" si="6"/>
        <v>0</v>
      </c>
      <c r="E34" s="26">
        <v>0</v>
      </c>
      <c r="F34" s="22">
        <f t="shared" si="7"/>
        <v>0</v>
      </c>
      <c r="G34" s="26">
        <v>0</v>
      </c>
      <c r="H34" s="22">
        <f t="shared" si="5"/>
        <v>0</v>
      </c>
      <c r="I34" s="127">
        <f t="shared" si="1"/>
        <v>0</v>
      </c>
    </row>
    <row r="35" spans="1:9">
      <c r="A35" s="99" t="s">
        <v>73</v>
      </c>
      <c r="B35" s="25">
        <v>0</v>
      </c>
      <c r="C35" s="25">
        <f>_xlfn.IFNA(VLOOKUP(A35,[10]進出口值表查詢結果!$C$11:$G$718,3,0),-[4]整車!$B$22)</f>
        <v>0</v>
      </c>
      <c r="D35" s="124">
        <f t="shared" si="6"/>
        <v>0</v>
      </c>
      <c r="E35" s="26">
        <v>0</v>
      </c>
      <c r="F35" s="22">
        <f t="shared" si="7"/>
        <v>0</v>
      </c>
      <c r="G35" s="26">
        <v>0</v>
      </c>
      <c r="H35" s="22">
        <f t="shared" si="5"/>
        <v>0</v>
      </c>
      <c r="I35" s="127">
        <f t="shared" si="1"/>
        <v>0</v>
      </c>
    </row>
    <row r="36" spans="1:9">
      <c r="A36" s="99" t="s">
        <v>74</v>
      </c>
      <c r="B36" s="25">
        <v>0</v>
      </c>
      <c r="C36" s="25">
        <f>_xlfn.IFNA(VLOOKUP(A36,[10]進出口值表查詢結果!$C$11:$G$718,3,0),-[4]整車!$B$22)</f>
        <v>0</v>
      </c>
      <c r="D36" s="124">
        <f t="shared" si="6"/>
        <v>0</v>
      </c>
      <c r="E36" s="26">
        <v>0</v>
      </c>
      <c r="F36" s="22">
        <f t="shared" si="7"/>
        <v>0</v>
      </c>
      <c r="G36" s="26">
        <v>0</v>
      </c>
      <c r="H36" s="22">
        <f t="shared" si="5"/>
        <v>0</v>
      </c>
      <c r="I36" s="127">
        <f t="shared" si="1"/>
        <v>0</v>
      </c>
    </row>
    <row r="37" spans="1:9">
      <c r="A37" s="99" t="s">
        <v>91</v>
      </c>
      <c r="B37" s="25">
        <v>0</v>
      </c>
      <c r="C37" s="25">
        <f>_xlfn.IFNA(VLOOKUP(A37,[10]進出口值表查詢結果!$C$11:$G$718,3,0),-[4]整車!$B$22)</f>
        <v>0</v>
      </c>
      <c r="D37" s="124">
        <f t="shared" si="6"/>
        <v>0</v>
      </c>
      <c r="E37" s="26">
        <v>0</v>
      </c>
      <c r="F37" s="22">
        <f t="shared" si="7"/>
        <v>0</v>
      </c>
      <c r="G37" s="26">
        <v>0</v>
      </c>
      <c r="H37" s="22">
        <f t="shared" si="5"/>
        <v>0</v>
      </c>
      <c r="I37" s="127">
        <f t="shared" si="1"/>
        <v>0</v>
      </c>
    </row>
    <row r="38" spans="1:9">
      <c r="A38" s="99" t="s">
        <v>92</v>
      </c>
      <c r="B38" s="25">
        <v>0</v>
      </c>
      <c r="C38" s="25">
        <f>_xlfn.IFNA(VLOOKUP(A38,[10]進出口值表查詢結果!$C$11:$G$718,3,0),-[4]整車!$B$22)</f>
        <v>0</v>
      </c>
      <c r="D38" s="124">
        <f t="shared" si="6"/>
        <v>0</v>
      </c>
      <c r="E38" s="26">
        <v>0</v>
      </c>
      <c r="F38" s="22">
        <f t="shared" si="7"/>
        <v>0</v>
      </c>
      <c r="G38" s="26">
        <v>0</v>
      </c>
      <c r="H38" s="22">
        <f t="shared" si="5"/>
        <v>0</v>
      </c>
      <c r="I38" s="127">
        <f t="shared" si="1"/>
        <v>0</v>
      </c>
    </row>
    <row r="39" spans="1:9">
      <c r="A39" s="29" t="s">
        <v>36</v>
      </c>
      <c r="B39" s="25">
        <v>0</v>
      </c>
      <c r="C39" s="25">
        <f>_xlfn.IFNA(VLOOKUP(A39,[10]進出口值表查詢結果!$C$11:$G$718,3,0),-[4]整車!$B$22)</f>
        <v>0</v>
      </c>
      <c r="D39" s="124">
        <f t="shared" si="6"/>
        <v>0</v>
      </c>
      <c r="E39" s="26">
        <v>0</v>
      </c>
      <c r="F39" s="22">
        <f t="shared" si="7"/>
        <v>0</v>
      </c>
      <c r="G39" s="26">
        <v>0</v>
      </c>
      <c r="H39" s="22">
        <f t="shared" si="5"/>
        <v>0</v>
      </c>
      <c r="I39" s="127">
        <f t="shared" si="1"/>
        <v>0</v>
      </c>
    </row>
    <row r="40" spans="1:9">
      <c r="A40" s="29"/>
      <c r="B40" s="25"/>
      <c r="C40" s="25"/>
      <c r="D40" s="124"/>
      <c r="E40" s="25"/>
      <c r="F40" s="22"/>
      <c r="G40" s="25"/>
      <c r="H40" s="28"/>
      <c r="I40" s="127"/>
    </row>
    <row r="41" spans="1:9">
      <c r="A41" s="32" t="s">
        <v>37</v>
      </c>
      <c r="B41" s="31">
        <f>SUM(B42:B45)</f>
        <v>1</v>
      </c>
      <c r="C41" s="31">
        <f>SUM(C42:C45)</f>
        <v>96</v>
      </c>
      <c r="D41" s="124">
        <f t="shared" si="0"/>
        <v>96</v>
      </c>
      <c r="E41" s="31">
        <f>SUM(E42:E45)</f>
        <v>2</v>
      </c>
      <c r="F41" s="22">
        <f>E41/$E$65</f>
        <v>1.0306303335119759E-5</v>
      </c>
      <c r="G41" s="31">
        <f>SUM(G42:G45)</f>
        <v>2695</v>
      </c>
      <c r="H41" s="22">
        <f>G41/$G$65</f>
        <v>9.3951726034396309E-5</v>
      </c>
      <c r="I41" s="127">
        <f t="shared" si="1"/>
        <v>1347.5</v>
      </c>
    </row>
    <row r="42" spans="1:9">
      <c r="A42" s="24" t="s">
        <v>330</v>
      </c>
      <c r="B42" s="25">
        <f>VLOOKUP(A42,[8]進出口值表查詢結果!$A$10:$C$25,3,0)</f>
        <v>1</v>
      </c>
      <c r="C42" s="26">
        <f>VLOOKUP(A42,[8]進出口值表查詢結果!$A$10:$C$25,2,0)</f>
        <v>96</v>
      </c>
      <c r="D42" s="124">
        <f t="shared" si="0"/>
        <v>96</v>
      </c>
      <c r="E42" s="26">
        <f>VLOOKUP(A42,[9]進出口值表查詢結果!$A$10:$C$35,3,0)</f>
        <v>2</v>
      </c>
      <c r="F42" s="22">
        <f t="shared" ref="F42" si="8">E42/$E$65</f>
        <v>1.0306303335119759E-5</v>
      </c>
      <c r="G42" s="26">
        <f>VLOOKUP(A42,[9]進出口值表查詢結果!$A$10:$C$35,2,0)</f>
        <v>2695</v>
      </c>
      <c r="H42" s="22">
        <f>G42/$G$65</f>
        <v>9.3951726034396309E-5</v>
      </c>
      <c r="I42" s="127">
        <f t="shared" si="1"/>
        <v>1347.5</v>
      </c>
    </row>
    <row r="43" spans="1:9">
      <c r="A43" s="24" t="s">
        <v>331</v>
      </c>
      <c r="B43" s="25">
        <v>0</v>
      </c>
      <c r="C43" s="25">
        <f>_xlfn.IFNA(VLOOKUP(A43,[10]進出口值表查詢結果!$C$11:$G$158,3,0),-[4]整車!$B$22)</f>
        <v>0</v>
      </c>
      <c r="D43" s="124">
        <f t="shared" si="0"/>
        <v>0</v>
      </c>
      <c r="E43" s="26">
        <v>0</v>
      </c>
      <c r="F43" s="22">
        <f t="shared" ref="F43:F45" si="9">E43/$E$65</f>
        <v>0</v>
      </c>
      <c r="G43" s="26">
        <v>0</v>
      </c>
      <c r="H43" s="22">
        <f>G43/$G$65</f>
        <v>0</v>
      </c>
      <c r="I43" s="127">
        <f t="shared" si="1"/>
        <v>0</v>
      </c>
    </row>
    <row r="44" spans="1:9">
      <c r="A44" s="24" t="s">
        <v>332</v>
      </c>
      <c r="B44" s="25">
        <v>0</v>
      </c>
      <c r="C44" s="25">
        <f>_xlfn.IFNA(VLOOKUP(A44,[10]進出口值表查詢結果!$C$11:$G$158,3,0),-[4]整車!$B$22)</f>
        <v>0</v>
      </c>
      <c r="D44" s="124">
        <f t="shared" si="0"/>
        <v>0</v>
      </c>
      <c r="E44" s="26">
        <v>0</v>
      </c>
      <c r="F44" s="22">
        <f t="shared" si="9"/>
        <v>0</v>
      </c>
      <c r="G44" s="26">
        <v>0</v>
      </c>
      <c r="H44" s="22">
        <f>G44/$G$65</f>
        <v>0</v>
      </c>
      <c r="I44" s="127">
        <f t="shared" si="1"/>
        <v>0</v>
      </c>
    </row>
    <row r="45" spans="1:9">
      <c r="A45" s="29" t="s">
        <v>41</v>
      </c>
      <c r="B45" s="25">
        <v>0</v>
      </c>
      <c r="C45" s="25">
        <f>_xlfn.IFNA(VLOOKUP(A45,[10]進出口值表查詢結果!$C$11:$G$158,3,0),-[4]整車!$B$22)</f>
        <v>0</v>
      </c>
      <c r="D45" s="124">
        <f t="shared" si="0"/>
        <v>0</v>
      </c>
      <c r="E45" s="26">
        <v>0</v>
      </c>
      <c r="F45" s="22">
        <f t="shared" si="9"/>
        <v>0</v>
      </c>
      <c r="G45" s="26">
        <v>0</v>
      </c>
      <c r="H45" s="22">
        <f>G45/$G$65</f>
        <v>0</v>
      </c>
      <c r="I45" s="127">
        <f t="shared" si="1"/>
        <v>0</v>
      </c>
    </row>
    <row r="46" spans="1:9">
      <c r="A46" s="29"/>
      <c r="B46" s="25"/>
      <c r="C46" s="25"/>
      <c r="D46" s="124"/>
      <c r="E46" s="25"/>
      <c r="F46" s="28"/>
      <c r="G46" s="25"/>
      <c r="H46" s="28"/>
      <c r="I46" s="127"/>
    </row>
    <row r="47" spans="1:9">
      <c r="A47" s="32" t="s">
        <v>42</v>
      </c>
      <c r="B47" s="31">
        <f>SUM(B48:B63)</f>
        <v>16506</v>
      </c>
      <c r="C47" s="31">
        <f>SUM(C48:C63)</f>
        <v>2525734</v>
      </c>
      <c r="D47" s="124">
        <f t="shared" si="0"/>
        <v>153.01914455349569</v>
      </c>
      <c r="E47" s="31">
        <f>SUM(E48:E63)</f>
        <v>190143</v>
      </c>
      <c r="F47" s="22">
        <f t="shared" ref="F47:F65" si="10">E47/$E$65</f>
        <v>0.97983571752483822</v>
      </c>
      <c r="G47" s="31">
        <f>SUM(G48:G63)</f>
        <v>25685686</v>
      </c>
      <c r="H47" s="22">
        <f t="shared" ref="H47:H65" si="11">G47/$G$65</f>
        <v>0.89544138555752451</v>
      </c>
      <c r="I47" s="127">
        <f t="shared" si="1"/>
        <v>135.08615094954851</v>
      </c>
    </row>
    <row r="48" spans="1:9">
      <c r="A48" s="24" t="s">
        <v>322</v>
      </c>
      <c r="B48" s="25">
        <f>VLOOKUP(A48,[8]進出口值表查詢結果!$A$10:$C$25,3,0)</f>
        <v>7</v>
      </c>
      <c r="C48" s="26">
        <f>VLOOKUP(A48,[8]進出口值表查詢結果!$A$10:$C$25,2,0)</f>
        <v>3285</v>
      </c>
      <c r="D48" s="124">
        <f t="shared" si="0"/>
        <v>469.28571428571428</v>
      </c>
      <c r="E48" s="26">
        <f>VLOOKUP(A48,[9]進出口值表查詢結果!$A$10:$C$35,3,0)</f>
        <v>402</v>
      </c>
      <c r="F48" s="22">
        <f t="shared" si="10"/>
        <v>2.0715669703590717E-3</v>
      </c>
      <c r="G48" s="26">
        <f>VLOOKUP(A48,[9]進出口值表查詢結果!$A$10:$C$35,2,0)</f>
        <v>680265</v>
      </c>
      <c r="H48" s="22">
        <f t="shared" si="11"/>
        <v>2.3715054141294472E-2</v>
      </c>
      <c r="I48" s="127">
        <f t="shared" si="1"/>
        <v>1692.2014925373135</v>
      </c>
    </row>
    <row r="49" spans="1:9">
      <c r="A49" s="24" t="s">
        <v>333</v>
      </c>
      <c r="B49" s="25">
        <f>VLOOKUP(A49,[8]進出口值表查詢結果!$A$10:$C$25,3,0)</f>
        <v>17</v>
      </c>
      <c r="C49" s="26">
        <f>VLOOKUP(A49,[8]進出口值表查詢結果!$A$10:$C$25,2,0)</f>
        <v>2680</v>
      </c>
      <c r="D49" s="124">
        <f t="shared" ref="D49:D63" si="12">IF(B49,C49/B49,0)</f>
        <v>157.64705882352942</v>
      </c>
      <c r="E49" s="26">
        <f>VLOOKUP(A49,[9]進出口值表查詢結果!$A$10:$C$35,3,0)</f>
        <v>104</v>
      </c>
      <c r="F49" s="22">
        <f t="shared" ref="F49:F63" si="13">E49/$E$65</f>
        <v>5.3592777342622753E-4</v>
      </c>
      <c r="G49" s="26">
        <f>VLOOKUP(A49,[9]進出口值表查詢結果!$A$10:$C$35,2,0)</f>
        <v>20362</v>
      </c>
      <c r="H49" s="22">
        <f t="shared" si="11"/>
        <v>7.098497385945742E-4</v>
      </c>
      <c r="I49" s="127">
        <f t="shared" si="1"/>
        <v>195.78846153846155</v>
      </c>
    </row>
    <row r="50" spans="1:9">
      <c r="A50" s="24" t="s">
        <v>339</v>
      </c>
      <c r="B50" s="25">
        <v>0</v>
      </c>
      <c r="C50" s="25">
        <f>_xlfn.IFNA(VLOOKUP(A50,[10]進出口值表查詢結果!$C$11:$G$188,3,0),-[4]整車!$B$22)</f>
        <v>0</v>
      </c>
      <c r="D50" s="124">
        <f t="shared" si="12"/>
        <v>0</v>
      </c>
      <c r="E50" s="26">
        <v>0</v>
      </c>
      <c r="F50" s="22">
        <f t="shared" si="13"/>
        <v>0</v>
      </c>
      <c r="G50" s="26">
        <v>0</v>
      </c>
      <c r="H50" s="22">
        <f t="shared" si="11"/>
        <v>0</v>
      </c>
      <c r="I50" s="127">
        <f t="shared" si="1"/>
        <v>0</v>
      </c>
    </row>
    <row r="51" spans="1:9">
      <c r="A51" s="24" t="s">
        <v>334</v>
      </c>
      <c r="B51" s="25">
        <v>0</v>
      </c>
      <c r="C51" s="25">
        <f>_xlfn.IFNA(VLOOKUP(A51,[10]進出口值表查詢結果!$C$11:$G$188,3,0),-[4]整車!$B$22)</f>
        <v>0</v>
      </c>
      <c r="D51" s="124">
        <f t="shared" si="12"/>
        <v>0</v>
      </c>
      <c r="E51" s="26">
        <v>0</v>
      </c>
      <c r="F51" s="22">
        <f t="shared" si="13"/>
        <v>0</v>
      </c>
      <c r="G51" s="26">
        <v>0</v>
      </c>
      <c r="H51" s="22">
        <f t="shared" si="11"/>
        <v>0</v>
      </c>
      <c r="I51" s="127">
        <f t="shared" si="1"/>
        <v>0</v>
      </c>
    </row>
    <row r="52" spans="1:9">
      <c r="A52" s="29" t="s">
        <v>46</v>
      </c>
      <c r="B52" s="25">
        <v>0</v>
      </c>
      <c r="C52" s="25">
        <f>_xlfn.IFNA(VLOOKUP(A52,[10]進出口值表查詢結果!$C$11:$G$188,3,0),-[4]整車!$B$22)</f>
        <v>0</v>
      </c>
      <c r="D52" s="124">
        <f t="shared" si="12"/>
        <v>0</v>
      </c>
      <c r="E52" s="26">
        <v>0</v>
      </c>
      <c r="F52" s="22">
        <f t="shared" si="13"/>
        <v>0</v>
      </c>
      <c r="G52" s="26">
        <v>0</v>
      </c>
      <c r="H52" s="22">
        <f t="shared" si="11"/>
        <v>0</v>
      </c>
      <c r="I52" s="127">
        <f t="shared" si="1"/>
        <v>0</v>
      </c>
    </row>
    <row r="53" spans="1:9">
      <c r="A53" s="24" t="s">
        <v>335</v>
      </c>
      <c r="B53" s="25">
        <v>0</v>
      </c>
      <c r="C53" s="25">
        <f>_xlfn.IFNA(VLOOKUP(A53,[10]進出口值表查詢結果!$C$11:$G$188,3,0),-[4]整車!$B$22)</f>
        <v>0</v>
      </c>
      <c r="D53" s="124">
        <f t="shared" si="12"/>
        <v>0</v>
      </c>
      <c r="E53" s="26">
        <v>0</v>
      </c>
      <c r="F53" s="22">
        <f t="shared" si="13"/>
        <v>0</v>
      </c>
      <c r="G53" s="26">
        <v>0</v>
      </c>
      <c r="H53" s="22">
        <f t="shared" si="11"/>
        <v>0</v>
      </c>
      <c r="I53" s="127">
        <f t="shared" si="1"/>
        <v>0</v>
      </c>
    </row>
    <row r="54" spans="1:9">
      <c r="A54" s="29" t="s">
        <v>48</v>
      </c>
      <c r="B54" s="25">
        <f>VLOOKUP(A54,[8]進出口值表查詢結果!$A$10:$C$25,3,0)</f>
        <v>8</v>
      </c>
      <c r="C54" s="26">
        <f>VLOOKUP(A54,[8]進出口值表查詢結果!$A$10:$C$25,2,0)</f>
        <v>43636</v>
      </c>
      <c r="D54" s="124">
        <f t="shared" si="12"/>
        <v>5454.5</v>
      </c>
      <c r="E54" s="26">
        <f>VLOOKUP(A54,[9]進出口值表查詢結果!$A$10:$C$35,3,0)</f>
        <v>11</v>
      </c>
      <c r="F54" s="22">
        <f t="shared" si="13"/>
        <v>5.6684668343158677E-5</v>
      </c>
      <c r="G54" s="26">
        <f>VLOOKUP(A54,[9]進出口值表查詢結果!$A$10:$C$35,2,0)</f>
        <v>96618</v>
      </c>
      <c r="H54" s="22">
        <f t="shared" si="11"/>
        <v>3.3682478166943606E-3</v>
      </c>
      <c r="I54" s="127">
        <f t="shared" si="1"/>
        <v>8783.454545454546</v>
      </c>
    </row>
    <row r="55" spans="1:9">
      <c r="A55" s="29" t="s">
        <v>49</v>
      </c>
      <c r="B55" s="25">
        <v>0</v>
      </c>
      <c r="C55" s="25">
        <f>_xlfn.IFNA(VLOOKUP(A55,[10]進出口值表查詢結果!$C$11:$G$188,3,0),-[4]整車!$B$22)</f>
        <v>0</v>
      </c>
      <c r="D55" s="124">
        <f t="shared" si="12"/>
        <v>0</v>
      </c>
      <c r="E55" s="26">
        <v>0</v>
      </c>
      <c r="F55" s="22">
        <f t="shared" si="13"/>
        <v>0</v>
      </c>
      <c r="G55" s="26">
        <v>0</v>
      </c>
      <c r="H55" s="22">
        <f t="shared" si="11"/>
        <v>0</v>
      </c>
      <c r="I55" s="127">
        <f t="shared" si="1"/>
        <v>0</v>
      </c>
    </row>
    <row r="56" spans="1:9">
      <c r="A56" s="520" t="s">
        <v>102</v>
      </c>
      <c r="B56" s="25">
        <v>0</v>
      </c>
      <c r="C56" s="25">
        <f>_xlfn.IFNA(VLOOKUP(A56,[10]進出口值表查詢結果!$C$11:$G$188,3,0),-[4]整車!$B$22)</f>
        <v>0</v>
      </c>
      <c r="D56" s="124">
        <f t="shared" si="12"/>
        <v>0</v>
      </c>
      <c r="E56" s="26">
        <f>VLOOKUP(A56,[9]進出口值表查詢結果!$A$10:$C$35,3,0)</f>
        <v>9</v>
      </c>
      <c r="F56" s="22">
        <f t="shared" si="13"/>
        <v>4.6378365008038919E-5</v>
      </c>
      <c r="G56" s="26">
        <f>VLOOKUP(A56,[9]進出口值表查詢結果!$A$10:$C$35,2,0)</f>
        <v>8947</v>
      </c>
      <c r="H56" s="22">
        <f t="shared" si="11"/>
        <v>3.1190578583663959E-4</v>
      </c>
      <c r="I56" s="127">
        <f t="shared" si="1"/>
        <v>994.11111111111109</v>
      </c>
    </row>
    <row r="57" spans="1:9">
      <c r="A57" s="521" t="s">
        <v>338</v>
      </c>
      <c r="B57" s="25">
        <v>0</v>
      </c>
      <c r="C57" s="25">
        <f>_xlfn.IFNA(VLOOKUP(A57,[10]進出口值表查詢結果!$C$11:$G$188,3,0),-[4]整車!$B$22)</f>
        <v>0</v>
      </c>
      <c r="D57" s="124">
        <f t="shared" si="12"/>
        <v>0</v>
      </c>
      <c r="E57" s="26">
        <f>VLOOKUP(A57,[9]進出口值表查詢結果!$A$10:$C$35,3,0)</f>
        <v>1</v>
      </c>
      <c r="F57" s="22">
        <f t="shared" si="13"/>
        <v>5.1531516675598796E-6</v>
      </c>
      <c r="G57" s="26">
        <f>VLOOKUP(A57,[9]進出口值表查詢結果!$A$10:$C$35,2,0)</f>
        <v>92</v>
      </c>
      <c r="H57" s="22">
        <f t="shared" si="11"/>
        <v>3.2072574379088903E-6</v>
      </c>
      <c r="I57" s="127">
        <f t="shared" si="1"/>
        <v>92</v>
      </c>
    </row>
    <row r="58" spans="1:9">
      <c r="A58" s="520" t="s">
        <v>343</v>
      </c>
      <c r="B58" s="25">
        <f>VLOOKUP(A58,[8]進出口值表查詢結果!$A$10:$C$25,3,0)</f>
        <v>25</v>
      </c>
      <c r="C58" s="26">
        <f>VLOOKUP(A58,[8]進出口值表查詢結果!$A$10:$C$25,2,0)</f>
        <v>19107</v>
      </c>
      <c r="D58" s="124">
        <f t="shared" si="12"/>
        <v>764.28</v>
      </c>
      <c r="E58" s="26">
        <f>VLOOKUP(A58,[9]進出口值表查詢結果!$A$10:$C$35,3,0)</f>
        <v>2233</v>
      </c>
      <c r="F58" s="22">
        <f t="shared" si="13"/>
        <v>1.1506987673661212E-2</v>
      </c>
      <c r="G58" s="26">
        <f>VLOOKUP(A58,[9]進出口值表查詢結果!$A$10:$C$35,2,0)</f>
        <v>1808598</v>
      </c>
      <c r="H58" s="22">
        <f t="shared" si="11"/>
        <v>6.3050428127034167E-2</v>
      </c>
      <c r="I58" s="127">
        <f t="shared" si="1"/>
        <v>809.94088669950736</v>
      </c>
    </row>
    <row r="59" spans="1:9">
      <c r="A59" s="29" t="s">
        <v>94</v>
      </c>
      <c r="B59" s="25">
        <f>VLOOKUP(A59,[8]進出口值表查詢結果!$A$10:$C$25,3,0)</f>
        <v>108</v>
      </c>
      <c r="C59" s="26">
        <f>VLOOKUP(A59,[8]進出口值表查詢結果!$A$10:$C$25,2,0)</f>
        <v>155790</v>
      </c>
      <c r="D59" s="124">
        <f t="shared" si="12"/>
        <v>1442.5</v>
      </c>
      <c r="E59" s="26">
        <f>VLOOKUP(A59,[9]進出口值表查詢結果!$A$10:$C$35,3,0)</f>
        <v>1004</v>
      </c>
      <c r="F59" s="22">
        <f t="shared" si="13"/>
        <v>5.1737642742301195E-3</v>
      </c>
      <c r="G59" s="26">
        <f>VLOOKUP(A59,[9]進出口值表查詢結果!$A$10:$C$35,2,0)</f>
        <v>624505</v>
      </c>
      <c r="H59" s="22">
        <f t="shared" si="11"/>
        <v>2.1771177241970561E-2</v>
      </c>
      <c r="I59" s="127">
        <f t="shared" si="1"/>
        <v>622.0169322709163</v>
      </c>
    </row>
    <row r="60" spans="1:9">
      <c r="A60" s="29" t="s">
        <v>55</v>
      </c>
      <c r="B60" s="25">
        <v>0</v>
      </c>
      <c r="C60" s="25">
        <f>_xlfn.IFNA(VLOOKUP(A60,[10]進出口值表查詢結果!$C$11:$G$188,3,0),-[4]整車!$B$22)</f>
        <v>0</v>
      </c>
      <c r="D60" s="124">
        <f t="shared" si="12"/>
        <v>0</v>
      </c>
      <c r="E60" s="26">
        <v>0</v>
      </c>
      <c r="F60" s="22">
        <f t="shared" si="13"/>
        <v>0</v>
      </c>
      <c r="G60" s="26">
        <v>0</v>
      </c>
      <c r="H60" s="22">
        <f t="shared" si="11"/>
        <v>0</v>
      </c>
      <c r="I60" s="127">
        <f t="shared" si="1"/>
        <v>0</v>
      </c>
    </row>
    <row r="61" spans="1:9">
      <c r="A61" s="29" t="s">
        <v>95</v>
      </c>
      <c r="B61" s="25">
        <f>VLOOKUP(A61,[8]進出口值表查詢結果!$A$10:$C$25,3,0)</f>
        <v>16341</v>
      </c>
      <c r="C61" s="26">
        <f>VLOOKUP(A61,[8]進出口值表查詢結果!$A$10:$C$25,2,0)</f>
        <v>2301236</v>
      </c>
      <c r="D61" s="124">
        <f t="shared" si="12"/>
        <v>140.82589804785508</v>
      </c>
      <c r="E61" s="26">
        <f>VLOOKUP(A61,[9]進出口值表查詢結果!$A$10:$C$35,3,0)</f>
        <v>186379</v>
      </c>
      <c r="F61" s="22">
        <f t="shared" si="13"/>
        <v>0.96043925464814284</v>
      </c>
      <c r="G61" s="26">
        <f>VLOOKUP(A61,[9]進出口值表查詢結果!$A$10:$C$35,2,0)</f>
        <v>22446299</v>
      </c>
      <c r="H61" s="22">
        <f t="shared" si="11"/>
        <v>0.78251151544866182</v>
      </c>
      <c r="I61" s="127">
        <f t="shared" si="1"/>
        <v>120.43362717902768</v>
      </c>
    </row>
    <row r="62" spans="1:9">
      <c r="A62" s="520" t="s">
        <v>108</v>
      </c>
      <c r="B62" s="25">
        <v>0</v>
      </c>
      <c r="C62" s="25">
        <f>_xlfn.IFNA(VLOOKUP(A62,[10]進出口值表查詢結果!$C$11:$G$188,3,0),-[4]整車!$B$22)</f>
        <v>0</v>
      </c>
      <c r="D62" s="124">
        <f t="shared" si="12"/>
        <v>0</v>
      </c>
      <c r="E62" s="26">
        <v>0</v>
      </c>
      <c r="F62" s="22">
        <f t="shared" si="13"/>
        <v>0</v>
      </c>
      <c r="G62" s="26">
        <v>0</v>
      </c>
      <c r="H62" s="22">
        <f t="shared" si="11"/>
        <v>0</v>
      </c>
      <c r="I62" s="127">
        <f t="shared" si="1"/>
        <v>0</v>
      </c>
    </row>
    <row r="63" spans="1:9">
      <c r="A63" s="520" t="s">
        <v>344</v>
      </c>
      <c r="B63" s="25">
        <v>0</v>
      </c>
      <c r="C63" s="25">
        <f>_xlfn.IFNA(VLOOKUP(A63,[10]進出口值表查詢結果!$C$11:$G$188,3,0),-[4]整車!$B$22)</f>
        <v>0</v>
      </c>
      <c r="D63" s="124">
        <f t="shared" si="12"/>
        <v>0</v>
      </c>
      <c r="E63" s="26">
        <v>0</v>
      </c>
      <c r="F63" s="22">
        <f t="shared" si="13"/>
        <v>0</v>
      </c>
      <c r="G63" s="26">
        <v>0</v>
      </c>
      <c r="H63" s="22">
        <f t="shared" si="11"/>
        <v>0</v>
      </c>
      <c r="I63" s="127">
        <f t="shared" si="1"/>
        <v>0</v>
      </c>
    </row>
    <row r="64" spans="1:9">
      <c r="A64" s="29" t="s">
        <v>97</v>
      </c>
      <c r="B64" s="25">
        <f>B65-B47-B41-B12-B7</f>
        <v>785</v>
      </c>
      <c r="C64" s="25">
        <f>C65-C47-C41-C12-C7</f>
        <v>666221</v>
      </c>
      <c r="D64" s="124">
        <f t="shared" si="0"/>
        <v>848.68917197452231</v>
      </c>
      <c r="E64" s="25">
        <f>E65-E47-E41-E12-E7</f>
        <v>1614</v>
      </c>
      <c r="F64" s="22">
        <f t="shared" si="10"/>
        <v>8.3171867914416456E-3</v>
      </c>
      <c r="G64" s="25">
        <f>G65-G47-G41-G12-G7</f>
        <v>1490221</v>
      </c>
      <c r="H64" s="22">
        <f t="shared" si="11"/>
        <v>5.195133028671766E-2</v>
      </c>
      <c r="I64" s="127">
        <f t="shared" si="1"/>
        <v>923.30916976456012</v>
      </c>
    </row>
    <row r="65" spans="1:9">
      <c r="A65" s="30" t="s">
        <v>396</v>
      </c>
      <c r="B65" s="25">
        <f>VLOOKUP(A65,[8]進出口值表查詢結果!$A$10:$C$25,3,0)</f>
        <v>19268</v>
      </c>
      <c r="C65" s="26">
        <f>VLOOKUP(A65,[8]進出口值表查詢結果!$A$10:$C$25,2,0)</f>
        <v>3460948</v>
      </c>
      <c r="D65" s="729">
        <f>C65/B65</f>
        <v>179.62154868175213</v>
      </c>
      <c r="E65" s="26">
        <f>VLOOKUP(A65,[9]進出口值表查詢結果!$A$10:$C$35,3,0)</f>
        <v>194056</v>
      </c>
      <c r="F65" s="22">
        <f t="shared" si="10"/>
        <v>1</v>
      </c>
      <c r="G65" s="26">
        <f>VLOOKUP(A65,[9]進出口值表查詢結果!$A$10:$C$35,2,0)</f>
        <v>28684944</v>
      </c>
      <c r="H65" s="56">
        <f t="shared" si="11"/>
        <v>1</v>
      </c>
      <c r="I65" s="150">
        <f t="shared" ref="I65" si="14">G65/E65</f>
        <v>147.81786700746176</v>
      </c>
    </row>
    <row r="66" spans="1:9" ht="13.5" customHeight="1">
      <c r="A66" s="161"/>
      <c r="B66" s="58"/>
      <c r="C66" s="58"/>
      <c r="D66" s="162"/>
      <c r="E66" s="58"/>
      <c r="F66" s="163"/>
      <c r="G66" s="58"/>
      <c r="H66" s="163"/>
      <c r="I66" s="162"/>
    </row>
    <row r="67" spans="1:9">
      <c r="A67" s="38" t="s">
        <v>308</v>
      </c>
      <c r="B67" s="39"/>
      <c r="C67" s="39"/>
      <c r="D67" s="143"/>
      <c r="E67" s="39"/>
      <c r="F67" s="41"/>
      <c r="G67" s="39"/>
      <c r="H67" s="42"/>
      <c r="I67" s="146"/>
    </row>
    <row r="68" spans="1:9" ht="19.5">
      <c r="A68" s="6" t="s">
        <v>505</v>
      </c>
      <c r="B68" s="7" t="s">
        <v>506</v>
      </c>
      <c r="C68" s="7" t="s">
        <v>507</v>
      </c>
      <c r="D68" s="8" t="s">
        <v>1</v>
      </c>
      <c r="E68" s="9" t="s">
        <v>508</v>
      </c>
      <c r="F68" s="10" t="s">
        <v>2</v>
      </c>
      <c r="G68" s="9" t="s">
        <v>509</v>
      </c>
      <c r="H68" s="10" t="s">
        <v>2</v>
      </c>
      <c r="I68" s="11" t="s">
        <v>410</v>
      </c>
    </row>
    <row r="69" spans="1:9">
      <c r="A69" s="48"/>
      <c r="B69" s="49" t="s">
        <v>5</v>
      </c>
      <c r="C69" s="50" t="s">
        <v>4</v>
      </c>
      <c r="D69" s="147" t="s">
        <v>4</v>
      </c>
      <c r="E69" s="49" t="s">
        <v>5</v>
      </c>
      <c r="F69" s="46" t="s">
        <v>5</v>
      </c>
      <c r="G69" s="52" t="s">
        <v>4</v>
      </c>
      <c r="H69" s="53" t="s">
        <v>4</v>
      </c>
      <c r="I69" s="147" t="s">
        <v>4</v>
      </c>
    </row>
    <row r="70" spans="1:9">
      <c r="A70" s="30" t="s">
        <v>57</v>
      </c>
      <c r="B70" s="31">
        <v>407</v>
      </c>
      <c r="C70" s="31">
        <v>210621</v>
      </c>
      <c r="D70" s="150">
        <f>C70/B70</f>
        <v>517.49631449631454</v>
      </c>
      <c r="E70" s="25">
        <v>2345</v>
      </c>
      <c r="F70" s="56">
        <v>1</v>
      </c>
      <c r="G70" s="25">
        <v>770178</v>
      </c>
      <c r="H70" s="56">
        <v>1</v>
      </c>
      <c r="I70" s="150">
        <f>G70/E70</f>
        <v>328.43411513859274</v>
      </c>
    </row>
    <row r="71" spans="1:9" ht="9" customHeight="1">
      <c r="A71" s="161"/>
      <c r="B71" s="58"/>
      <c r="C71" s="58"/>
      <c r="D71" s="162"/>
      <c r="E71" s="58"/>
      <c r="F71" s="163"/>
      <c r="G71" s="58"/>
      <c r="H71" s="163"/>
      <c r="I71" s="162"/>
    </row>
    <row r="72" spans="1:9">
      <c r="A72" s="57" t="s">
        <v>98</v>
      </c>
      <c r="B72" s="3"/>
      <c r="C72" s="58"/>
      <c r="D72" s="3"/>
      <c r="E72" s="3"/>
      <c r="F72" s="3"/>
      <c r="G72" s="3"/>
      <c r="H72" s="3"/>
      <c r="I72" s="3"/>
    </row>
    <row r="73" spans="1:9">
      <c r="A73" s="60" t="s">
        <v>60</v>
      </c>
      <c r="B73" s="61"/>
      <c r="C73" s="62"/>
      <c r="D73" s="64"/>
      <c r="E73" s="61"/>
      <c r="F73" s="62"/>
      <c r="G73" s="64"/>
      <c r="H73" s="60"/>
      <c r="I73" s="60"/>
    </row>
  </sheetData>
  <mergeCells count="2">
    <mergeCell ref="A1:I1"/>
    <mergeCell ref="A3:I3"/>
  </mergeCells>
  <phoneticPr fontId="3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3.25" customWidth="1"/>
    <col min="3" max="3" width="13.5" customWidth="1"/>
    <col min="4" max="4" width="12.5" customWidth="1"/>
    <col min="5" max="5" width="13.375" customWidth="1"/>
    <col min="6" max="6" width="16.5" bestFit="1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19.5" customHeight="1">
      <c r="A1" s="1" t="s">
        <v>514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8.2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2" t="s">
        <v>0</v>
      </c>
      <c r="B3" s="763"/>
      <c r="C3" s="763"/>
      <c r="D3" s="763"/>
      <c r="E3" s="763"/>
      <c r="F3" s="763"/>
      <c r="G3" s="763"/>
      <c r="H3" s="763"/>
      <c r="I3" s="763"/>
      <c r="J3" s="764"/>
    </row>
    <row r="4" spans="1:10">
      <c r="A4" s="75" t="s">
        <v>512</v>
      </c>
      <c r="B4" s="6" t="s">
        <v>497</v>
      </c>
      <c r="C4" s="76" t="s">
        <v>500</v>
      </c>
      <c r="D4" s="77" t="s">
        <v>61</v>
      </c>
      <c r="E4" s="6" t="s">
        <v>497</v>
      </c>
      <c r="F4" s="76" t="s">
        <v>500</v>
      </c>
      <c r="G4" s="78" t="s">
        <v>411</v>
      </c>
      <c r="H4" s="6" t="s">
        <v>497</v>
      </c>
      <c r="I4" s="76" t="s">
        <v>500</v>
      </c>
      <c r="J4" s="78" t="s">
        <v>412</v>
      </c>
    </row>
    <row r="5" spans="1:10">
      <c r="A5" s="12"/>
      <c r="B5" s="6" t="s">
        <v>62</v>
      </c>
      <c r="C5" s="79" t="s">
        <v>62</v>
      </c>
      <c r="D5" s="516" t="s">
        <v>2</v>
      </c>
      <c r="E5" s="81" t="s">
        <v>63</v>
      </c>
      <c r="F5" s="79" t="s">
        <v>63</v>
      </c>
      <c r="G5" s="517" t="s">
        <v>2</v>
      </c>
      <c r="H5" s="82" t="s">
        <v>64</v>
      </c>
      <c r="I5" s="83" t="s">
        <v>65</v>
      </c>
      <c r="J5" s="516" t="s">
        <v>2</v>
      </c>
    </row>
    <row r="6" spans="1:10" ht="17.25" customHeight="1">
      <c r="A6" s="84" t="s">
        <v>6</v>
      </c>
      <c r="B6" s="16"/>
      <c r="C6" s="85"/>
      <c r="D6" s="86"/>
      <c r="E6" s="16"/>
      <c r="F6" s="85"/>
      <c r="G6" s="86"/>
      <c r="H6" s="87"/>
      <c r="I6" s="88"/>
      <c r="J6" s="86"/>
    </row>
    <row r="7" spans="1:10" ht="17.25" customHeight="1">
      <c r="A7" s="84" t="s">
        <v>7</v>
      </c>
      <c r="B7" s="21">
        <f>SUM(B8:B10)</f>
        <v>56</v>
      </c>
      <c r="C7" s="89">
        <f>SUM(C8:C10)</f>
        <v>63</v>
      </c>
      <c r="D7" s="614">
        <f>IF(C7,(B7-C7)/C7,0)</f>
        <v>-0.1111111111111111</v>
      </c>
      <c r="E7" s="21">
        <f>SUM(E8:E10)</f>
        <v>89690</v>
      </c>
      <c r="F7" s="89">
        <f>SUM(F8:F10)</f>
        <v>194690</v>
      </c>
      <c r="G7" s="613">
        <f t="shared" ref="G7:G65" si="0">IF(F7,(E7-F7)/F7,0)</f>
        <v>-0.53931891725306902</v>
      </c>
      <c r="H7" s="91">
        <f>IF(B7,E7/B7,0)</f>
        <v>1601.6071428571429</v>
      </c>
      <c r="I7" s="92">
        <f>IF(C7,F7/C7,0)</f>
        <v>3090.3174603174602</v>
      </c>
      <c r="J7" s="613">
        <f>IF(I7,(H7-I7)/I7,0)</f>
        <v>-0.48173378190970256</v>
      </c>
    </row>
    <row r="8" spans="1:10">
      <c r="A8" s="24" t="s">
        <v>340</v>
      </c>
      <c r="B8" s="26">
        <f>整車進口!E8</f>
        <v>53</v>
      </c>
      <c r="C8" s="93">
        <f>VLOOKUP(A8,[11]進出口值表查詢結果!$A$10:$C$30,3,0)</f>
        <v>63</v>
      </c>
      <c r="D8" s="614">
        <f t="shared" ref="D8:D65" si="1">IF(C8,(B8-C8)/C8,0)</f>
        <v>-0.15873015873015872</v>
      </c>
      <c r="E8" s="26">
        <f>整車進口!G8</f>
        <v>80284</v>
      </c>
      <c r="F8" s="93">
        <f>VLOOKUP(A8,[11]進出口值表查詢結果!$A$10:$C$30,2,0)</f>
        <v>194690</v>
      </c>
      <c r="G8" s="613">
        <f t="shared" si="0"/>
        <v>-0.58763161949766296</v>
      </c>
      <c r="H8" s="91">
        <f t="shared" ref="H8:H64" si="2">IF(B8,E8/B8,0)</f>
        <v>1514.7924528301887</v>
      </c>
      <c r="I8" s="92">
        <f t="shared" ref="I8:I64" si="3">IF(C8,F8/C8,0)</f>
        <v>3090.3174603174602</v>
      </c>
      <c r="J8" s="613">
        <f t="shared" ref="J8:J70" si="4">IF(I8,(H8-I8)/I8,0)</f>
        <v>-0.5098262646859012</v>
      </c>
    </row>
    <row r="9" spans="1:10">
      <c r="A9" s="29" t="s">
        <v>8</v>
      </c>
      <c r="B9" s="26">
        <f>整車進口!E9</f>
        <v>3</v>
      </c>
      <c r="C9" s="93">
        <v>0</v>
      </c>
      <c r="D9" s="614">
        <f t="shared" si="1"/>
        <v>0</v>
      </c>
      <c r="E9" s="26">
        <f>整車進口!G9</f>
        <v>9406</v>
      </c>
      <c r="F9" s="93">
        <f>_xlfn.IFNA(VLOOKUP(A9,[5]進!$C$11:$J$387,3,0),-[4]整車!$B$22)</f>
        <v>0</v>
      </c>
      <c r="G9" s="613">
        <f t="shared" si="0"/>
        <v>0</v>
      </c>
      <c r="H9" s="91">
        <f t="shared" si="2"/>
        <v>3135.3333333333335</v>
      </c>
      <c r="I9" s="92">
        <f t="shared" si="3"/>
        <v>0</v>
      </c>
      <c r="J9" s="613">
        <f t="shared" si="4"/>
        <v>0</v>
      </c>
    </row>
    <row r="10" spans="1:10">
      <c r="A10" s="29" t="s">
        <v>9</v>
      </c>
      <c r="B10" s="26">
        <f>整車進口!E10</f>
        <v>0</v>
      </c>
      <c r="C10" s="93">
        <v>0</v>
      </c>
      <c r="D10" s="614">
        <f t="shared" si="1"/>
        <v>0</v>
      </c>
      <c r="E10" s="26">
        <f>整車進口!G10</f>
        <v>0</v>
      </c>
      <c r="F10" s="93">
        <f>_xlfn.IFNA(VLOOKUP(A10,[5]進!$C$11:$J$387,3,0),-[4]整車!$B$22)</f>
        <v>0</v>
      </c>
      <c r="G10" s="613">
        <f t="shared" si="0"/>
        <v>0</v>
      </c>
      <c r="H10" s="91">
        <f t="shared" si="2"/>
        <v>0</v>
      </c>
      <c r="I10" s="92">
        <f t="shared" si="3"/>
        <v>0</v>
      </c>
      <c r="J10" s="613">
        <f t="shared" si="4"/>
        <v>0</v>
      </c>
    </row>
    <row r="11" spans="1:10">
      <c r="A11" s="29"/>
      <c r="B11" s="26"/>
      <c r="C11" s="95"/>
      <c r="D11" s="614"/>
      <c r="E11" s="25"/>
      <c r="F11" s="95"/>
      <c r="G11" s="613"/>
      <c r="H11" s="91"/>
      <c r="I11" s="92"/>
      <c r="J11" s="613"/>
    </row>
    <row r="12" spans="1:10">
      <c r="A12" s="30" t="s">
        <v>10</v>
      </c>
      <c r="B12" s="31">
        <f>SUM(B13:B39)</f>
        <v>2241</v>
      </c>
      <c r="C12" s="98">
        <f>SUM(C13:C39)</f>
        <v>378</v>
      </c>
      <c r="D12" s="614">
        <f t="shared" si="1"/>
        <v>4.9285714285714288</v>
      </c>
      <c r="E12" s="31">
        <f>SUM(E13:E39)</f>
        <v>1416652</v>
      </c>
      <c r="F12" s="98">
        <f>SUM(F13:F39)</f>
        <v>1352912</v>
      </c>
      <c r="G12" s="613">
        <f t="shared" si="0"/>
        <v>4.7113189919226084E-2</v>
      </c>
      <c r="H12" s="91">
        <f t="shared" si="2"/>
        <v>632.15171798304334</v>
      </c>
      <c r="I12" s="92">
        <f t="shared" si="3"/>
        <v>3579.132275132275</v>
      </c>
      <c r="J12" s="613">
        <f t="shared" si="4"/>
        <v>-0.82337849808591357</v>
      </c>
    </row>
    <row r="13" spans="1:10">
      <c r="A13" s="24" t="s">
        <v>320</v>
      </c>
      <c r="B13" s="26">
        <f>整車進口!E13</f>
        <v>1</v>
      </c>
      <c r="C13" s="93">
        <f>VLOOKUP(A13,[11]進出口值表查詢結果!$A$10:$C$30,3,0)</f>
        <v>2</v>
      </c>
      <c r="D13" s="614">
        <f t="shared" si="1"/>
        <v>-0.5</v>
      </c>
      <c r="E13" s="26">
        <f>整車進口!G13</f>
        <v>5329</v>
      </c>
      <c r="F13" s="93">
        <f>VLOOKUP(A13,[11]進出口值表查詢結果!$A$10:$C$30,2,0)</f>
        <v>5320</v>
      </c>
      <c r="G13" s="613">
        <f t="shared" si="0"/>
        <v>1.6917293233082707E-3</v>
      </c>
      <c r="H13" s="91">
        <f t="shared" si="2"/>
        <v>5329</v>
      </c>
      <c r="I13" s="92">
        <f t="shared" si="3"/>
        <v>2660</v>
      </c>
      <c r="J13" s="613">
        <f t="shared" si="4"/>
        <v>1.0033834586466166</v>
      </c>
    </row>
    <row r="14" spans="1:10">
      <c r="A14" s="24" t="s">
        <v>321</v>
      </c>
      <c r="B14" s="26">
        <f>整車進口!E14</f>
        <v>116</v>
      </c>
      <c r="C14" s="93">
        <f>VLOOKUP(A14,[11]進出口值表查詢結果!$A$10:$C$30,3,0)</f>
        <v>105</v>
      </c>
      <c r="D14" s="614">
        <f t="shared" si="1"/>
        <v>0.10476190476190476</v>
      </c>
      <c r="E14" s="26">
        <f>整車進口!G14</f>
        <v>624453</v>
      </c>
      <c r="F14" s="93">
        <f>VLOOKUP(A14,[11]進出口值表查詢結果!$A$10:$C$30,2,0)</f>
        <v>557668</v>
      </c>
      <c r="G14" s="613">
        <f t="shared" si="0"/>
        <v>0.11975763357409785</v>
      </c>
      <c r="H14" s="91">
        <f t="shared" si="2"/>
        <v>5383.2155172413795</v>
      </c>
      <c r="I14" s="92">
        <f t="shared" si="3"/>
        <v>5311.1238095238095</v>
      </c>
      <c r="J14" s="613">
        <f t="shared" si="4"/>
        <v>1.3573720045519645E-2</v>
      </c>
    </row>
    <row r="15" spans="1:10">
      <c r="A15" s="29" t="s">
        <v>13</v>
      </c>
      <c r="B15" s="26">
        <f>整車進口!E15</f>
        <v>18</v>
      </c>
      <c r="C15" s="93">
        <f>VLOOKUP(A15,[11]進出口值表查詢結果!$A$10:$C$30,3,0)</f>
        <v>41</v>
      </c>
      <c r="D15" s="614">
        <f t="shared" si="1"/>
        <v>-0.56097560975609762</v>
      </c>
      <c r="E15" s="26">
        <f>整車進口!G15</f>
        <v>29294</v>
      </c>
      <c r="F15" s="93">
        <f>VLOOKUP(A15,[11]進出口值表查詢結果!$A$10:$C$30,2,0)</f>
        <v>81183</v>
      </c>
      <c r="G15" s="613">
        <f t="shared" si="0"/>
        <v>-0.63916090807188697</v>
      </c>
      <c r="H15" s="91">
        <f t="shared" si="2"/>
        <v>1627.4444444444443</v>
      </c>
      <c r="I15" s="92">
        <f t="shared" si="3"/>
        <v>1980.0731707317073</v>
      </c>
      <c r="J15" s="613">
        <f t="shared" si="4"/>
        <v>-0.17808873505263145</v>
      </c>
    </row>
    <row r="16" spans="1:10">
      <c r="A16" s="24" t="s">
        <v>323</v>
      </c>
      <c r="B16" s="26">
        <f>整車進口!E16</f>
        <v>36</v>
      </c>
      <c r="C16" s="93">
        <f>VLOOKUP(A16,[11]進出口值表查詢結果!$A$10:$C$30,3,0)</f>
        <v>13</v>
      </c>
      <c r="D16" s="614">
        <f t="shared" si="1"/>
        <v>1.7692307692307692</v>
      </c>
      <c r="E16" s="26">
        <f>整車進口!G16</f>
        <v>165407</v>
      </c>
      <c r="F16" s="93">
        <f>VLOOKUP(A16,[11]進出口值表查詢結果!$A$10:$C$30,2,0)</f>
        <v>25814</v>
      </c>
      <c r="G16" s="613">
        <f t="shared" si="0"/>
        <v>5.4076470132486252</v>
      </c>
      <c r="H16" s="91">
        <f t="shared" si="2"/>
        <v>4594.6388888888887</v>
      </c>
      <c r="I16" s="92">
        <f t="shared" si="3"/>
        <v>1985.6923076923076</v>
      </c>
      <c r="J16" s="613">
        <f t="shared" si="4"/>
        <v>1.3138725325620033</v>
      </c>
    </row>
    <row r="17" spans="1:10">
      <c r="A17" s="29" t="s">
        <v>16</v>
      </c>
      <c r="B17" s="26">
        <f>整車進口!E17</f>
        <v>137</v>
      </c>
      <c r="C17" s="93">
        <f>VLOOKUP(A17,[11]進出口值表查詢結果!$A$10:$C$30,3,0)</f>
        <v>151</v>
      </c>
      <c r="D17" s="614">
        <f t="shared" si="1"/>
        <v>-9.2715231788079472E-2</v>
      </c>
      <c r="E17" s="26">
        <f>整車進口!G17</f>
        <v>538771</v>
      </c>
      <c r="F17" s="93">
        <f>VLOOKUP(A17,[11]進出口值表查詢結果!$A$10:$C$30,2,0)</f>
        <v>555777</v>
      </c>
      <c r="G17" s="613">
        <f t="shared" si="0"/>
        <v>-3.0598603396686082E-2</v>
      </c>
      <c r="H17" s="91">
        <f t="shared" si="2"/>
        <v>3932.6350364963505</v>
      </c>
      <c r="I17" s="92">
        <f t="shared" si="3"/>
        <v>3680.6423841059604</v>
      </c>
      <c r="J17" s="613">
        <f t="shared" si="4"/>
        <v>6.8464313044528463E-2</v>
      </c>
    </row>
    <row r="18" spans="1:10">
      <c r="A18" s="29" t="s">
        <v>17</v>
      </c>
      <c r="B18" s="26">
        <f>整車進口!E18</f>
        <v>1</v>
      </c>
      <c r="C18" s="93">
        <f>VLOOKUP(A18,[11]進出口值表查詢結果!$A$10:$C$30,3,0)</f>
        <v>57</v>
      </c>
      <c r="D18" s="614">
        <f t="shared" si="1"/>
        <v>-0.98245614035087714</v>
      </c>
      <c r="E18" s="26">
        <f>整車進口!G18</f>
        <v>269</v>
      </c>
      <c r="F18" s="93">
        <f>VLOOKUP(A18,[11]進出口值表查詢結果!$A$10:$C$30,2,0)</f>
        <v>103833</v>
      </c>
      <c r="G18" s="613">
        <f t="shared" si="0"/>
        <v>-0.99740930147448303</v>
      </c>
      <c r="H18" s="91">
        <f t="shared" si="2"/>
        <v>269</v>
      </c>
      <c r="I18" s="92">
        <f t="shared" si="3"/>
        <v>1821.6315789473683</v>
      </c>
      <c r="J18" s="613">
        <f t="shared" si="4"/>
        <v>-0.85233018404553462</v>
      </c>
    </row>
    <row r="19" spans="1:10">
      <c r="A19" s="24" t="s">
        <v>324</v>
      </c>
      <c r="B19" s="26">
        <f>整車進口!E19</f>
        <v>3</v>
      </c>
      <c r="C19" s="93">
        <v>0</v>
      </c>
      <c r="D19" s="614">
        <f t="shared" si="1"/>
        <v>0</v>
      </c>
      <c r="E19" s="26">
        <f>整車進口!G19</f>
        <v>4867</v>
      </c>
      <c r="F19" s="93">
        <f>_xlfn.IFNA(VLOOKUP(A19,[5]進!$C$11:$J$378,3,0),-[4]整車!$B$22)</f>
        <v>0</v>
      </c>
      <c r="G19" s="613">
        <f t="shared" si="0"/>
        <v>0</v>
      </c>
      <c r="H19" s="91">
        <f t="shared" si="2"/>
        <v>1622.3333333333333</v>
      </c>
      <c r="I19" s="92">
        <f t="shared" si="3"/>
        <v>0</v>
      </c>
      <c r="J19" s="613">
        <f t="shared" si="4"/>
        <v>0</v>
      </c>
    </row>
    <row r="20" spans="1:10">
      <c r="A20" s="29" t="s">
        <v>67</v>
      </c>
      <c r="B20" s="26">
        <f>整車進口!E20</f>
        <v>0</v>
      </c>
      <c r="C20" s="93">
        <v>0</v>
      </c>
      <c r="D20" s="614">
        <f t="shared" si="1"/>
        <v>0</v>
      </c>
      <c r="E20" s="26">
        <f>整車進口!G20</f>
        <v>0</v>
      </c>
      <c r="F20" s="93">
        <f>_xlfn.IFNA(VLOOKUP(A20,[5]進!$C$11:$J$378,3,0),-[4]整車!$B$22)</f>
        <v>0</v>
      </c>
      <c r="G20" s="613">
        <f t="shared" si="0"/>
        <v>0</v>
      </c>
      <c r="H20" s="91">
        <f t="shared" si="2"/>
        <v>0</v>
      </c>
      <c r="I20" s="92">
        <f t="shared" si="3"/>
        <v>0</v>
      </c>
      <c r="J20" s="613">
        <f t="shared" si="4"/>
        <v>0</v>
      </c>
    </row>
    <row r="21" spans="1:10">
      <c r="A21" s="24" t="s">
        <v>325</v>
      </c>
      <c r="B21" s="26">
        <f>整車進口!E21</f>
        <v>0</v>
      </c>
      <c r="C21" s="93">
        <v>0</v>
      </c>
      <c r="D21" s="614">
        <f t="shared" si="1"/>
        <v>0</v>
      </c>
      <c r="E21" s="26">
        <f>整車進口!G21</f>
        <v>0</v>
      </c>
      <c r="F21" s="93">
        <f>_xlfn.IFNA(VLOOKUP(A21,[5]進!$C$11:$J$378,3,0),-[4]整車!$B$22)</f>
        <v>0</v>
      </c>
      <c r="G21" s="613">
        <f t="shared" si="0"/>
        <v>0</v>
      </c>
      <c r="H21" s="91">
        <f t="shared" si="2"/>
        <v>0</v>
      </c>
      <c r="I21" s="92">
        <f t="shared" si="3"/>
        <v>0</v>
      </c>
      <c r="J21" s="613">
        <f t="shared" si="4"/>
        <v>0</v>
      </c>
    </row>
    <row r="22" spans="1:10">
      <c r="A22" s="29" t="s">
        <v>21</v>
      </c>
      <c r="B22" s="26">
        <f>整車進口!E22</f>
        <v>0</v>
      </c>
      <c r="C22" s="93">
        <v>0</v>
      </c>
      <c r="D22" s="614">
        <f t="shared" si="1"/>
        <v>0</v>
      </c>
      <c r="E22" s="26">
        <f>整車進口!G22</f>
        <v>0</v>
      </c>
      <c r="F22" s="93">
        <f>_xlfn.IFNA(VLOOKUP(A22,[5]進!$C$11:$J$378,3,0),-[4]整車!$B$22)</f>
        <v>0</v>
      </c>
      <c r="G22" s="613">
        <f t="shared" si="0"/>
        <v>0</v>
      </c>
      <c r="H22" s="91">
        <f t="shared" si="2"/>
        <v>0</v>
      </c>
      <c r="I22" s="92">
        <f t="shared" si="3"/>
        <v>0</v>
      </c>
      <c r="J22" s="613">
        <f t="shared" si="4"/>
        <v>0</v>
      </c>
    </row>
    <row r="23" spans="1:10">
      <c r="A23" s="29" t="s">
        <v>22</v>
      </c>
      <c r="B23" s="26">
        <f>整車進口!E23</f>
        <v>0</v>
      </c>
      <c r="C23" s="93">
        <v>0</v>
      </c>
      <c r="D23" s="614">
        <f t="shared" si="1"/>
        <v>0</v>
      </c>
      <c r="E23" s="26">
        <f>整車進口!G23</f>
        <v>0</v>
      </c>
      <c r="F23" s="93">
        <f>_xlfn.IFNA(VLOOKUP(A23,[5]進!$C$11:$J$378,3,0),-[4]整車!$B$22)</f>
        <v>0</v>
      </c>
      <c r="G23" s="613">
        <f t="shared" si="0"/>
        <v>0</v>
      </c>
      <c r="H23" s="91">
        <f t="shared" si="2"/>
        <v>0</v>
      </c>
      <c r="I23" s="92">
        <f t="shared" si="3"/>
        <v>0</v>
      </c>
      <c r="J23" s="613">
        <f t="shared" si="4"/>
        <v>0</v>
      </c>
    </row>
    <row r="24" spans="1:10">
      <c r="A24" s="29" t="s">
        <v>23</v>
      </c>
      <c r="B24" s="26">
        <f>整車進口!E24</f>
        <v>2</v>
      </c>
      <c r="C24" s="93">
        <f>VLOOKUP(A24,[11]進出口值表查詢結果!$A$10:$C$30,3,0)</f>
        <v>7</v>
      </c>
      <c r="D24" s="614">
        <f t="shared" si="1"/>
        <v>-0.7142857142857143</v>
      </c>
      <c r="E24" s="26">
        <f>整車進口!G24</f>
        <v>6760</v>
      </c>
      <c r="F24" s="93">
        <f>VLOOKUP(A24,[11]進出口值表查詢結果!$A$10:$C$30,2,0)</f>
        <v>21302</v>
      </c>
      <c r="G24" s="613">
        <f t="shared" si="0"/>
        <v>-0.68265890526711104</v>
      </c>
      <c r="H24" s="91">
        <f t="shared" si="2"/>
        <v>3380</v>
      </c>
      <c r="I24" s="92">
        <f t="shared" si="3"/>
        <v>3043.1428571428573</v>
      </c>
      <c r="J24" s="613">
        <f t="shared" si="4"/>
        <v>0.11069383156511119</v>
      </c>
    </row>
    <row r="25" spans="1:10">
      <c r="A25" s="24" t="s">
        <v>326</v>
      </c>
      <c r="B25" s="26">
        <f>整車進口!E25</f>
        <v>1</v>
      </c>
      <c r="C25" s="93">
        <v>0</v>
      </c>
      <c r="D25" s="614">
        <f t="shared" si="1"/>
        <v>0</v>
      </c>
      <c r="E25" s="26">
        <f>整車進口!G25</f>
        <v>162</v>
      </c>
      <c r="F25" s="93">
        <f>_xlfn.IFNA(VLOOKUP(A25,[5]進!$C$11:$J$378,3,0),-[4]整車!$B$22)</f>
        <v>0</v>
      </c>
      <c r="G25" s="613">
        <f t="shared" si="0"/>
        <v>0</v>
      </c>
      <c r="H25" s="91">
        <f t="shared" si="2"/>
        <v>162</v>
      </c>
      <c r="I25" s="92">
        <f t="shared" si="3"/>
        <v>0</v>
      </c>
      <c r="J25" s="613">
        <f t="shared" si="4"/>
        <v>0</v>
      </c>
    </row>
    <row r="26" spans="1:10">
      <c r="A26" s="24" t="s">
        <v>327</v>
      </c>
      <c r="B26" s="26">
        <f>整車進口!E26</f>
        <v>0</v>
      </c>
      <c r="C26" s="93">
        <v>0</v>
      </c>
      <c r="D26" s="614">
        <f t="shared" si="1"/>
        <v>0</v>
      </c>
      <c r="E26" s="26">
        <f>整車進口!G26</f>
        <v>0</v>
      </c>
      <c r="F26" s="93">
        <f>_xlfn.IFNA(VLOOKUP(A26,[5]進!$C$11:$J$378,3,0),-[4]整車!$B$22)</f>
        <v>0</v>
      </c>
      <c r="G26" s="613">
        <f t="shared" si="0"/>
        <v>0</v>
      </c>
      <c r="H26" s="91">
        <f t="shared" si="2"/>
        <v>0</v>
      </c>
      <c r="I26" s="92">
        <f t="shared" si="3"/>
        <v>0</v>
      </c>
      <c r="J26" s="613">
        <f t="shared" si="4"/>
        <v>0</v>
      </c>
    </row>
    <row r="27" spans="1:10">
      <c r="A27" s="523" t="s">
        <v>342</v>
      </c>
      <c r="B27" s="26">
        <f>整車進口!E27</f>
        <v>0</v>
      </c>
      <c r="C27" s="93">
        <v>0</v>
      </c>
      <c r="D27" s="614">
        <f t="shared" si="1"/>
        <v>0</v>
      </c>
      <c r="E27" s="26">
        <f>整車進口!G27</f>
        <v>0</v>
      </c>
      <c r="F27" s="93">
        <f>_xlfn.IFNA(VLOOKUP(A27,[5]進!$C$11:$J$378,3,0),-[4]整車!$B$22)</f>
        <v>0</v>
      </c>
      <c r="G27" s="613">
        <f t="shared" si="0"/>
        <v>0</v>
      </c>
      <c r="H27" s="91">
        <f t="shared" si="2"/>
        <v>0</v>
      </c>
      <c r="I27" s="92">
        <f t="shared" si="3"/>
        <v>0</v>
      </c>
      <c r="J27" s="613">
        <f t="shared" si="4"/>
        <v>0</v>
      </c>
    </row>
    <row r="28" spans="1:10">
      <c r="A28" s="523" t="s">
        <v>341</v>
      </c>
      <c r="B28" s="26">
        <f>整車進口!E28</f>
        <v>1926</v>
      </c>
      <c r="C28" s="93">
        <v>0</v>
      </c>
      <c r="D28" s="614">
        <f t="shared" si="1"/>
        <v>0</v>
      </c>
      <c r="E28" s="26">
        <f>整車進口!G28</f>
        <v>41340</v>
      </c>
      <c r="F28" s="93">
        <f>_xlfn.IFNA(VLOOKUP(A28,[5]進!$C$11:$J$378,3,0),-[4]整車!$B$22)</f>
        <v>0</v>
      </c>
      <c r="G28" s="613">
        <f t="shared" si="0"/>
        <v>0</v>
      </c>
      <c r="H28" s="91">
        <f t="shared" si="2"/>
        <v>21.464174454828662</v>
      </c>
      <c r="I28" s="92">
        <f t="shared" si="3"/>
        <v>0</v>
      </c>
      <c r="J28" s="613">
        <f t="shared" si="4"/>
        <v>0</v>
      </c>
    </row>
    <row r="29" spans="1:10">
      <c r="A29" s="99" t="s">
        <v>68</v>
      </c>
      <c r="B29" s="26">
        <f>整車進口!E29</f>
        <v>0</v>
      </c>
      <c r="C29" s="93">
        <v>0</v>
      </c>
      <c r="D29" s="614">
        <f t="shared" si="1"/>
        <v>0</v>
      </c>
      <c r="E29" s="26">
        <f>整車進口!G29</f>
        <v>0</v>
      </c>
      <c r="F29" s="93">
        <f>_xlfn.IFNA(VLOOKUP(A29,[5]進!$C$11:$J$378,3,0),-[4]整車!$B$22)</f>
        <v>0</v>
      </c>
      <c r="G29" s="613">
        <f t="shared" si="0"/>
        <v>0</v>
      </c>
      <c r="H29" s="91">
        <f t="shared" si="2"/>
        <v>0</v>
      </c>
      <c r="I29" s="92">
        <f t="shared" si="3"/>
        <v>0</v>
      </c>
      <c r="J29" s="613">
        <f t="shared" si="4"/>
        <v>0</v>
      </c>
    </row>
    <row r="30" spans="1:10">
      <c r="A30" s="99" t="s">
        <v>69</v>
      </c>
      <c r="B30" s="26">
        <f>整車進口!E30</f>
        <v>0</v>
      </c>
      <c r="C30" s="93">
        <v>0</v>
      </c>
      <c r="D30" s="614">
        <f t="shared" si="1"/>
        <v>0</v>
      </c>
      <c r="E30" s="26">
        <f>整車進口!G30</f>
        <v>0</v>
      </c>
      <c r="F30" s="93">
        <f>_xlfn.IFNA(VLOOKUP(A30,[5]進!$C$11:$J$378,3,0),-[4]整車!$B$22)</f>
        <v>0</v>
      </c>
      <c r="G30" s="613">
        <f t="shared" si="0"/>
        <v>0</v>
      </c>
      <c r="H30" s="91">
        <f t="shared" si="2"/>
        <v>0</v>
      </c>
      <c r="I30" s="92">
        <f t="shared" si="3"/>
        <v>0</v>
      </c>
      <c r="J30" s="613">
        <f t="shared" si="4"/>
        <v>0</v>
      </c>
    </row>
    <row r="31" spans="1:10">
      <c r="A31" s="99" t="s">
        <v>70</v>
      </c>
      <c r="B31" s="26">
        <f>整車進口!E31</f>
        <v>0</v>
      </c>
      <c r="C31" s="93">
        <v>0</v>
      </c>
      <c r="D31" s="614">
        <f t="shared" si="1"/>
        <v>0</v>
      </c>
      <c r="E31" s="26">
        <f>整車進口!G31</f>
        <v>0</v>
      </c>
      <c r="F31" s="93">
        <f>_xlfn.IFNA(VLOOKUP(A31,[5]進!$C$11:$J$378,3,0),-[4]整車!$B$22)</f>
        <v>0</v>
      </c>
      <c r="G31" s="613">
        <f t="shared" si="0"/>
        <v>0</v>
      </c>
      <c r="H31" s="91">
        <f t="shared" si="2"/>
        <v>0</v>
      </c>
      <c r="I31" s="92">
        <f t="shared" si="3"/>
        <v>0</v>
      </c>
      <c r="J31" s="613">
        <f t="shared" si="4"/>
        <v>0</v>
      </c>
    </row>
    <row r="32" spans="1:10">
      <c r="A32" s="29" t="s">
        <v>29</v>
      </c>
      <c r="B32" s="26">
        <f>整車進口!E32</f>
        <v>0</v>
      </c>
      <c r="C32" s="93">
        <v>0</v>
      </c>
      <c r="D32" s="614">
        <f t="shared" si="1"/>
        <v>0</v>
      </c>
      <c r="E32" s="26">
        <f>整車進口!G32</f>
        <v>0</v>
      </c>
      <c r="F32" s="93">
        <f>_xlfn.IFNA(VLOOKUP(A32,[5]進!$C$11:$J$378,3,0),-[4]整車!$B$22)</f>
        <v>0</v>
      </c>
      <c r="G32" s="613">
        <f t="shared" si="0"/>
        <v>0</v>
      </c>
      <c r="H32" s="91">
        <f t="shared" si="2"/>
        <v>0</v>
      </c>
      <c r="I32" s="92">
        <f t="shared" si="3"/>
        <v>0</v>
      </c>
      <c r="J32" s="613">
        <f t="shared" si="4"/>
        <v>0</v>
      </c>
    </row>
    <row r="33" spans="1:10">
      <c r="A33" s="99" t="s">
        <v>71</v>
      </c>
      <c r="B33" s="26">
        <f>整車進口!E33</f>
        <v>0</v>
      </c>
      <c r="C33" s="93">
        <v>0</v>
      </c>
      <c r="D33" s="614">
        <f t="shared" si="1"/>
        <v>0</v>
      </c>
      <c r="E33" s="26">
        <f>整車進口!G33</f>
        <v>0</v>
      </c>
      <c r="F33" s="93">
        <f>_xlfn.IFNA(VLOOKUP(A33,[5]進!$C$11:$J$378,3,0),-[4]整車!$B$22)</f>
        <v>0</v>
      </c>
      <c r="G33" s="613">
        <f t="shared" si="0"/>
        <v>0</v>
      </c>
      <c r="H33" s="91">
        <f t="shared" si="2"/>
        <v>0</v>
      </c>
      <c r="I33" s="92">
        <f t="shared" si="3"/>
        <v>0</v>
      </c>
      <c r="J33" s="613">
        <f t="shared" si="4"/>
        <v>0</v>
      </c>
    </row>
    <row r="34" spans="1:10">
      <c r="A34" s="100" t="s">
        <v>72</v>
      </c>
      <c r="B34" s="26">
        <f>整車進口!E34</f>
        <v>0</v>
      </c>
      <c r="C34" s="93">
        <v>0</v>
      </c>
      <c r="D34" s="614">
        <f t="shared" si="1"/>
        <v>0</v>
      </c>
      <c r="E34" s="26">
        <f>整車進口!G34</f>
        <v>0</v>
      </c>
      <c r="F34" s="93">
        <f>_xlfn.IFNA(VLOOKUP(A34,[5]進!$C$11:$J$378,3,0),-[4]整車!$B$22)</f>
        <v>0</v>
      </c>
      <c r="G34" s="613">
        <f t="shared" si="0"/>
        <v>0</v>
      </c>
      <c r="H34" s="91">
        <f t="shared" si="2"/>
        <v>0</v>
      </c>
      <c r="I34" s="92">
        <f t="shared" si="3"/>
        <v>0</v>
      </c>
      <c r="J34" s="613">
        <f t="shared" si="4"/>
        <v>0</v>
      </c>
    </row>
    <row r="35" spans="1:10">
      <c r="A35" s="99" t="s">
        <v>73</v>
      </c>
      <c r="B35" s="26">
        <f>整車進口!E35</f>
        <v>0</v>
      </c>
      <c r="C35" s="93">
        <v>0</v>
      </c>
      <c r="D35" s="614">
        <f t="shared" si="1"/>
        <v>0</v>
      </c>
      <c r="E35" s="26">
        <f>整車進口!G35</f>
        <v>0</v>
      </c>
      <c r="F35" s="93">
        <f>_xlfn.IFNA(VLOOKUP(A35,[5]進!$C$11:$J$378,3,0),-[4]整車!$B$22)</f>
        <v>0</v>
      </c>
      <c r="G35" s="613">
        <f t="shared" si="0"/>
        <v>0</v>
      </c>
      <c r="H35" s="91">
        <f t="shared" si="2"/>
        <v>0</v>
      </c>
      <c r="I35" s="92">
        <f t="shared" si="3"/>
        <v>0</v>
      </c>
      <c r="J35" s="613">
        <f t="shared" si="4"/>
        <v>0</v>
      </c>
    </row>
    <row r="36" spans="1:10">
      <c r="A36" s="99" t="s">
        <v>74</v>
      </c>
      <c r="B36" s="26">
        <f>整車進口!E36</f>
        <v>0</v>
      </c>
      <c r="C36" s="93">
        <v>0</v>
      </c>
      <c r="D36" s="614">
        <f t="shared" si="1"/>
        <v>0</v>
      </c>
      <c r="E36" s="26">
        <f>整車進口!G36</f>
        <v>0</v>
      </c>
      <c r="F36" s="93">
        <f>_xlfn.IFNA(VLOOKUP(A36,[5]進!$C$11:$J$378,3,0),-[4]整車!$B$22)</f>
        <v>0</v>
      </c>
      <c r="G36" s="613">
        <f t="shared" si="0"/>
        <v>0</v>
      </c>
      <c r="H36" s="91">
        <f t="shared" si="2"/>
        <v>0</v>
      </c>
      <c r="I36" s="92">
        <f t="shared" si="3"/>
        <v>0</v>
      </c>
      <c r="J36" s="613">
        <f t="shared" si="4"/>
        <v>0</v>
      </c>
    </row>
    <row r="37" spans="1:10">
      <c r="A37" s="99" t="s">
        <v>34</v>
      </c>
      <c r="B37" s="26">
        <f>整車進口!E37</f>
        <v>0</v>
      </c>
      <c r="C37" s="93">
        <v>0</v>
      </c>
      <c r="D37" s="614">
        <f t="shared" si="1"/>
        <v>0</v>
      </c>
      <c r="E37" s="26">
        <f>整車進口!G37</f>
        <v>0</v>
      </c>
      <c r="F37" s="93">
        <f>_xlfn.IFNA(VLOOKUP(A37,[5]進!$C$11:$J$378,3,0),-[4]整車!$B$22)</f>
        <v>0</v>
      </c>
      <c r="G37" s="613">
        <f t="shared" si="0"/>
        <v>0</v>
      </c>
      <c r="H37" s="91">
        <f t="shared" si="2"/>
        <v>0</v>
      </c>
      <c r="I37" s="92">
        <f t="shared" si="3"/>
        <v>0</v>
      </c>
      <c r="J37" s="613">
        <f t="shared" si="4"/>
        <v>0</v>
      </c>
    </row>
    <row r="38" spans="1:10">
      <c r="A38" s="99" t="s">
        <v>35</v>
      </c>
      <c r="B38" s="26">
        <f>整車進口!E38</f>
        <v>0</v>
      </c>
      <c r="C38" s="93">
        <f>VLOOKUP(A38,[11]進出口值表查詢結果!$A$10:$C$30,3,0)</f>
        <v>2</v>
      </c>
      <c r="D38" s="614">
        <f t="shared" si="1"/>
        <v>-1</v>
      </c>
      <c r="E38" s="26">
        <f>整車進口!G38</f>
        <v>0</v>
      </c>
      <c r="F38" s="93">
        <f>VLOOKUP(A38,[11]進出口值表查詢結果!$A$10:$C$30,2,0)</f>
        <v>2015</v>
      </c>
      <c r="G38" s="613">
        <f t="shared" si="0"/>
        <v>-1</v>
      </c>
      <c r="H38" s="91">
        <f t="shared" si="2"/>
        <v>0</v>
      </c>
      <c r="I38" s="92">
        <f t="shared" si="3"/>
        <v>1007.5</v>
      </c>
      <c r="J38" s="613">
        <f t="shared" si="4"/>
        <v>-1</v>
      </c>
    </row>
    <row r="39" spans="1:10">
      <c r="A39" s="29" t="s">
        <v>36</v>
      </c>
      <c r="B39" s="26">
        <f>整車進口!E39</f>
        <v>0</v>
      </c>
      <c r="C39" s="93">
        <v>0</v>
      </c>
      <c r="D39" s="614">
        <f t="shared" si="1"/>
        <v>0</v>
      </c>
      <c r="E39" s="26">
        <f>整車進口!G39</f>
        <v>0</v>
      </c>
      <c r="F39" s="93">
        <f>_xlfn.IFNA(VLOOKUP(A39,[5]進!$C$11:$J$378,3,0),-[4]整車!$B$22)</f>
        <v>0</v>
      </c>
      <c r="G39" s="613">
        <f t="shared" si="0"/>
        <v>0</v>
      </c>
      <c r="H39" s="91">
        <f t="shared" si="2"/>
        <v>0</v>
      </c>
      <c r="I39" s="92">
        <f t="shared" si="3"/>
        <v>0</v>
      </c>
      <c r="J39" s="613">
        <f t="shared" si="4"/>
        <v>0</v>
      </c>
    </row>
    <row r="40" spans="1:10">
      <c r="A40" s="29"/>
      <c r="B40" s="26"/>
      <c r="C40" s="95"/>
      <c r="D40" s="614"/>
      <c r="E40" s="25"/>
      <c r="F40" s="95"/>
      <c r="G40" s="613"/>
      <c r="H40" s="91"/>
      <c r="I40" s="92"/>
      <c r="J40" s="613"/>
    </row>
    <row r="41" spans="1:10">
      <c r="A41" s="32" t="s">
        <v>37</v>
      </c>
      <c r="B41" s="31">
        <f>SUM(B42:B45)</f>
        <v>2</v>
      </c>
      <c r="C41" s="98">
        <f>SUM(C42:C45)</f>
        <v>1</v>
      </c>
      <c r="D41" s="614">
        <f t="shared" si="1"/>
        <v>1</v>
      </c>
      <c r="E41" s="25">
        <f>SUM(E42:E45)</f>
        <v>2695</v>
      </c>
      <c r="F41" s="98">
        <f>SUM(F42:F45)</f>
        <v>155</v>
      </c>
      <c r="G41" s="613">
        <f t="shared" si="0"/>
        <v>16.387096774193548</v>
      </c>
      <c r="H41" s="91">
        <f t="shared" si="2"/>
        <v>1347.5</v>
      </c>
      <c r="I41" s="92">
        <f t="shared" si="3"/>
        <v>155</v>
      </c>
      <c r="J41" s="613">
        <f t="shared" si="4"/>
        <v>7.693548387096774</v>
      </c>
    </row>
    <row r="42" spans="1:10">
      <c r="A42" s="24" t="s">
        <v>330</v>
      </c>
      <c r="B42" s="26">
        <f>整車進口!E42</f>
        <v>2</v>
      </c>
      <c r="C42" s="93">
        <f>VLOOKUP(A42,[11]進出口值表查詢結果!$A$10:$C$30,3,0)</f>
        <v>1</v>
      </c>
      <c r="D42" s="614">
        <f t="shared" si="1"/>
        <v>1</v>
      </c>
      <c r="E42" s="26">
        <f>整車進口!G42</f>
        <v>2695</v>
      </c>
      <c r="F42" s="93">
        <f>VLOOKUP(A42,[11]進出口值表查詢結果!$A$10:$C$30,2,0)</f>
        <v>155</v>
      </c>
      <c r="G42" s="613">
        <f t="shared" si="0"/>
        <v>16.387096774193548</v>
      </c>
      <c r="H42" s="91">
        <f t="shared" si="2"/>
        <v>1347.5</v>
      </c>
      <c r="I42" s="92">
        <f t="shared" si="3"/>
        <v>155</v>
      </c>
      <c r="J42" s="613">
        <f t="shared" si="4"/>
        <v>7.693548387096774</v>
      </c>
    </row>
    <row r="43" spans="1:10">
      <c r="A43" s="24" t="s">
        <v>331</v>
      </c>
      <c r="B43" s="26">
        <f>整車進口!E43</f>
        <v>0</v>
      </c>
      <c r="C43" s="93">
        <v>0</v>
      </c>
      <c r="D43" s="614">
        <f t="shared" si="1"/>
        <v>0</v>
      </c>
      <c r="E43" s="26">
        <f>整車進口!G43</f>
        <v>0</v>
      </c>
      <c r="F43" s="93">
        <f>_xlfn.IFNA(VLOOKUP(A43,[5]進!$C$11:$J$737,3,0),-[4]整車!$B$22)</f>
        <v>0</v>
      </c>
      <c r="G43" s="613">
        <f t="shared" si="0"/>
        <v>0</v>
      </c>
      <c r="H43" s="91">
        <f t="shared" si="2"/>
        <v>0</v>
      </c>
      <c r="I43" s="92">
        <f t="shared" si="3"/>
        <v>0</v>
      </c>
      <c r="J43" s="613">
        <f t="shared" si="4"/>
        <v>0</v>
      </c>
    </row>
    <row r="44" spans="1:10">
      <c r="A44" s="24" t="s">
        <v>332</v>
      </c>
      <c r="B44" s="26">
        <f>整車進口!E44</f>
        <v>0</v>
      </c>
      <c r="C44" s="93">
        <v>0</v>
      </c>
      <c r="D44" s="614">
        <f t="shared" si="1"/>
        <v>0</v>
      </c>
      <c r="E44" s="26">
        <f>整車進口!G44</f>
        <v>0</v>
      </c>
      <c r="F44" s="93">
        <f>_xlfn.IFNA(VLOOKUP(A44,[5]進!$C$11:$J$737,3,0),-[4]整車!$B$22)</f>
        <v>0</v>
      </c>
      <c r="G44" s="613">
        <f t="shared" si="0"/>
        <v>0</v>
      </c>
      <c r="H44" s="91">
        <f t="shared" si="2"/>
        <v>0</v>
      </c>
      <c r="I44" s="92">
        <f t="shared" si="3"/>
        <v>0</v>
      </c>
      <c r="J44" s="613">
        <f t="shared" si="4"/>
        <v>0</v>
      </c>
    </row>
    <row r="45" spans="1:10">
      <c r="A45" s="29" t="s">
        <v>41</v>
      </c>
      <c r="B45" s="26">
        <f>整車進口!E45</f>
        <v>0</v>
      </c>
      <c r="C45" s="93">
        <v>0</v>
      </c>
      <c r="D45" s="614">
        <f t="shared" si="1"/>
        <v>0</v>
      </c>
      <c r="E45" s="26">
        <f>整車進口!G45</f>
        <v>0</v>
      </c>
      <c r="F45" s="93">
        <f>_xlfn.IFNA(VLOOKUP(A45,[5]進!$C$11:$J$737,3,0),-[4]整車!$B$22)</f>
        <v>0</v>
      </c>
      <c r="G45" s="613">
        <f t="shared" si="0"/>
        <v>0</v>
      </c>
      <c r="H45" s="91">
        <f t="shared" si="2"/>
        <v>0</v>
      </c>
      <c r="I45" s="92">
        <f t="shared" si="3"/>
        <v>0</v>
      </c>
      <c r="J45" s="613">
        <f t="shared" si="4"/>
        <v>0</v>
      </c>
    </row>
    <row r="46" spans="1:10">
      <c r="A46" s="29"/>
      <c r="B46" s="25"/>
      <c r="C46" s="95"/>
      <c r="D46" s="614"/>
      <c r="E46" s="25"/>
      <c r="F46" s="95"/>
      <c r="G46" s="613"/>
      <c r="H46" s="91"/>
      <c r="I46" s="92"/>
      <c r="J46" s="613"/>
    </row>
    <row r="47" spans="1:10">
      <c r="A47" s="32" t="s">
        <v>42</v>
      </c>
      <c r="B47" s="31">
        <f>SUM(B48:B63)</f>
        <v>190143</v>
      </c>
      <c r="C47" s="98">
        <f>SUM(C48:C63)</f>
        <v>208056</v>
      </c>
      <c r="D47" s="614">
        <f t="shared" si="1"/>
        <v>-8.6097012342830778E-2</v>
      </c>
      <c r="E47" s="31">
        <f>SUM(E48:E63)</f>
        <v>25685686</v>
      </c>
      <c r="F47" s="95">
        <f>SUM(F48:F63)</f>
        <v>27391148</v>
      </c>
      <c r="G47" s="613">
        <f t="shared" si="0"/>
        <v>-6.2263253807397924E-2</v>
      </c>
      <c r="H47" s="91">
        <f t="shared" si="2"/>
        <v>135.08615094954851</v>
      </c>
      <c r="I47" s="92">
        <f t="shared" si="3"/>
        <v>131.65276656284846</v>
      </c>
      <c r="J47" s="613">
        <f t="shared" si="4"/>
        <v>2.6079090294399736E-2</v>
      </c>
    </row>
    <row r="48" spans="1:10">
      <c r="A48" s="24" t="s">
        <v>322</v>
      </c>
      <c r="B48" s="26">
        <f>整車進口!E48</f>
        <v>402</v>
      </c>
      <c r="C48" s="93">
        <f>VLOOKUP(A48,[11]進出口值表查詢結果!$A$10:$C$30,3,0)</f>
        <v>701</v>
      </c>
      <c r="D48" s="614">
        <f t="shared" si="1"/>
        <v>-0.42653352353780316</v>
      </c>
      <c r="E48" s="26">
        <f>整車進口!G48</f>
        <v>680265</v>
      </c>
      <c r="F48" s="93">
        <f>VLOOKUP(A48,[11]進出口值表查詢結果!$A$10:$C$30,2,0)</f>
        <v>1030240</v>
      </c>
      <c r="G48" s="613">
        <f t="shared" si="0"/>
        <v>-0.33970239944090697</v>
      </c>
      <c r="H48" s="91">
        <f t="shared" si="2"/>
        <v>1692.2014925373135</v>
      </c>
      <c r="I48" s="92">
        <f t="shared" si="3"/>
        <v>1469.6718972895862</v>
      </c>
      <c r="J48" s="613">
        <f t="shared" si="4"/>
        <v>0.15141447261672697</v>
      </c>
    </row>
    <row r="49" spans="1:10">
      <c r="A49" s="24" t="s">
        <v>333</v>
      </c>
      <c r="B49" s="26">
        <f>整車進口!E49</f>
        <v>104</v>
      </c>
      <c r="C49" s="93">
        <f>VLOOKUP(A49,[11]進出口值表查詢結果!$A$10:$C$30,3,0)</f>
        <v>209</v>
      </c>
      <c r="D49" s="614">
        <f t="shared" si="1"/>
        <v>-0.50239234449760761</v>
      </c>
      <c r="E49" s="26">
        <f>整車進口!G49</f>
        <v>20362</v>
      </c>
      <c r="F49" s="93">
        <f>VLOOKUP(A49,[11]進出口值表查詢結果!$A$10:$C$30,2,0)</f>
        <v>32920</v>
      </c>
      <c r="G49" s="613">
        <f t="shared" si="0"/>
        <v>-0.38147023086269743</v>
      </c>
      <c r="H49" s="91">
        <f t="shared" si="2"/>
        <v>195.78846153846155</v>
      </c>
      <c r="I49" s="92">
        <f t="shared" si="3"/>
        <v>157.51196172248802</v>
      </c>
      <c r="J49" s="613">
        <f t="shared" si="4"/>
        <v>0.24300693990092548</v>
      </c>
    </row>
    <row r="50" spans="1:10">
      <c r="A50" s="522" t="s">
        <v>339</v>
      </c>
      <c r="B50" s="26">
        <f>整車進口!E50</f>
        <v>0</v>
      </c>
      <c r="C50" s="93">
        <v>0</v>
      </c>
      <c r="D50" s="614">
        <f t="shared" si="1"/>
        <v>0</v>
      </c>
      <c r="E50" s="26">
        <f>整車進口!G50</f>
        <v>0</v>
      </c>
      <c r="F50" s="93">
        <f>_xlfn.IFNA(VLOOKUP(A50,[5]進!$C$11:$J$737,3,0),-[4]整車!$B$22)</f>
        <v>0</v>
      </c>
      <c r="G50" s="613">
        <f t="shared" si="0"/>
        <v>0</v>
      </c>
      <c r="H50" s="91">
        <f t="shared" si="2"/>
        <v>0</v>
      </c>
      <c r="I50" s="92">
        <f t="shared" si="3"/>
        <v>0</v>
      </c>
      <c r="J50" s="613">
        <f t="shared" si="4"/>
        <v>0</v>
      </c>
    </row>
    <row r="51" spans="1:10">
      <c r="A51" s="24" t="s">
        <v>334</v>
      </c>
      <c r="B51" s="26">
        <f>整車進口!E51</f>
        <v>0</v>
      </c>
      <c r="C51" s="93">
        <v>0</v>
      </c>
      <c r="D51" s="614">
        <f t="shared" si="1"/>
        <v>0</v>
      </c>
      <c r="E51" s="26">
        <f>整車進口!G51</f>
        <v>0</v>
      </c>
      <c r="F51" s="93">
        <f>_xlfn.IFNA(VLOOKUP(A51,[5]進!$C$11:$J$737,3,0),-[4]整車!$B$22)</f>
        <v>0</v>
      </c>
      <c r="G51" s="613">
        <f t="shared" si="0"/>
        <v>0</v>
      </c>
      <c r="H51" s="91">
        <f t="shared" si="2"/>
        <v>0</v>
      </c>
      <c r="I51" s="92">
        <f t="shared" si="3"/>
        <v>0</v>
      </c>
      <c r="J51" s="613">
        <f t="shared" si="4"/>
        <v>0</v>
      </c>
    </row>
    <row r="52" spans="1:10">
      <c r="A52" s="29" t="s">
        <v>46</v>
      </c>
      <c r="B52" s="26">
        <f>整車進口!E52</f>
        <v>0</v>
      </c>
      <c r="C52" s="93">
        <v>0</v>
      </c>
      <c r="D52" s="614">
        <f t="shared" si="1"/>
        <v>0</v>
      </c>
      <c r="E52" s="26">
        <f>整車進口!G52</f>
        <v>0</v>
      </c>
      <c r="F52" s="93">
        <f>_xlfn.IFNA(VLOOKUP(A52,[5]進!$C$11:$J$737,3,0),-[4]整車!$B$22)</f>
        <v>0</v>
      </c>
      <c r="G52" s="613">
        <f t="shared" si="0"/>
        <v>0</v>
      </c>
      <c r="H52" s="91">
        <f t="shared" si="2"/>
        <v>0</v>
      </c>
      <c r="I52" s="92">
        <f t="shared" si="3"/>
        <v>0</v>
      </c>
      <c r="J52" s="613">
        <f t="shared" si="4"/>
        <v>0</v>
      </c>
    </row>
    <row r="53" spans="1:10">
      <c r="A53" s="24" t="s">
        <v>335</v>
      </c>
      <c r="B53" s="26">
        <f>整車進口!E53</f>
        <v>0</v>
      </c>
      <c r="C53" s="93">
        <v>0</v>
      </c>
      <c r="D53" s="614">
        <f t="shared" si="1"/>
        <v>0</v>
      </c>
      <c r="E53" s="26">
        <f>整車進口!G53</f>
        <v>0</v>
      </c>
      <c r="F53" s="93">
        <f>_xlfn.IFNA(VLOOKUP(A53,[5]進!$C$11:$J$737,3,0),-[4]整車!$B$22)</f>
        <v>0</v>
      </c>
      <c r="G53" s="613">
        <f t="shared" si="0"/>
        <v>0</v>
      </c>
      <c r="H53" s="91">
        <f t="shared" si="2"/>
        <v>0</v>
      </c>
      <c r="I53" s="92">
        <f t="shared" si="3"/>
        <v>0</v>
      </c>
      <c r="J53" s="613">
        <f t="shared" si="4"/>
        <v>0</v>
      </c>
    </row>
    <row r="54" spans="1:10">
      <c r="A54" s="29" t="s">
        <v>48</v>
      </c>
      <c r="B54" s="26">
        <f>整車進口!E54</f>
        <v>11</v>
      </c>
      <c r="C54" s="93">
        <v>0</v>
      </c>
      <c r="D54" s="614">
        <f t="shared" si="1"/>
        <v>0</v>
      </c>
      <c r="E54" s="26">
        <f>整車進口!G54</f>
        <v>96618</v>
      </c>
      <c r="F54" s="93">
        <f>_xlfn.IFNA(VLOOKUP(A54,[5]進!$C$11:$J$737,3,0),-[4]整車!$B$22)</f>
        <v>0</v>
      </c>
      <c r="G54" s="613">
        <f t="shared" si="0"/>
        <v>0</v>
      </c>
      <c r="H54" s="91">
        <f t="shared" si="2"/>
        <v>8783.454545454546</v>
      </c>
      <c r="I54" s="92">
        <f t="shared" si="3"/>
        <v>0</v>
      </c>
      <c r="J54" s="613">
        <f t="shared" si="4"/>
        <v>0</v>
      </c>
    </row>
    <row r="55" spans="1:10">
      <c r="A55" s="29" t="s">
        <v>49</v>
      </c>
      <c r="B55" s="26">
        <f>整車進口!E55</f>
        <v>0</v>
      </c>
      <c r="C55" s="93">
        <v>0</v>
      </c>
      <c r="D55" s="614">
        <f t="shared" si="1"/>
        <v>0</v>
      </c>
      <c r="E55" s="26">
        <f>整車進口!G55</f>
        <v>0</v>
      </c>
      <c r="F55" s="93">
        <f>_xlfn.IFNA(VLOOKUP(A55,[5]進!$C$11:$J$737,3,0),-[4]整車!$B$22)</f>
        <v>0</v>
      </c>
      <c r="G55" s="613">
        <f t="shared" si="0"/>
        <v>0</v>
      </c>
      <c r="H55" s="91">
        <f t="shared" si="2"/>
        <v>0</v>
      </c>
      <c r="I55" s="92">
        <f t="shared" si="3"/>
        <v>0</v>
      </c>
      <c r="J55" s="613">
        <f t="shared" si="4"/>
        <v>0</v>
      </c>
    </row>
    <row r="56" spans="1:10">
      <c r="A56" s="520" t="s">
        <v>102</v>
      </c>
      <c r="B56" s="26">
        <f>整車進口!E56</f>
        <v>9</v>
      </c>
      <c r="C56" s="93">
        <v>0</v>
      </c>
      <c r="D56" s="614">
        <f t="shared" si="1"/>
        <v>0</v>
      </c>
      <c r="E56" s="26">
        <f>整車進口!G56</f>
        <v>8947</v>
      </c>
      <c r="F56" s="93">
        <f>_xlfn.IFNA(VLOOKUP(A56,[5]進!$C$11:$J$737,3,0),-[4]整車!$B$22)</f>
        <v>0</v>
      </c>
      <c r="G56" s="613">
        <f t="shared" si="0"/>
        <v>0</v>
      </c>
      <c r="H56" s="91">
        <f t="shared" si="2"/>
        <v>994.11111111111109</v>
      </c>
      <c r="I56" s="92">
        <f t="shared" si="3"/>
        <v>0</v>
      </c>
      <c r="J56" s="613">
        <f t="shared" si="4"/>
        <v>0</v>
      </c>
    </row>
    <row r="57" spans="1:10">
      <c r="A57" s="521" t="s">
        <v>338</v>
      </c>
      <c r="B57" s="26">
        <f>整車進口!E57</f>
        <v>1</v>
      </c>
      <c r="C57" s="93">
        <v>0</v>
      </c>
      <c r="D57" s="614">
        <f t="shared" si="1"/>
        <v>0</v>
      </c>
      <c r="E57" s="26">
        <f>整車進口!G57</f>
        <v>92</v>
      </c>
      <c r="F57" s="93">
        <f>_xlfn.IFNA(VLOOKUP(A57,[5]進!$C$11:$J$737,3,0),-[4]整車!$B$22)</f>
        <v>0</v>
      </c>
      <c r="G57" s="613">
        <f t="shared" si="0"/>
        <v>0</v>
      </c>
      <c r="H57" s="91">
        <f t="shared" si="2"/>
        <v>92</v>
      </c>
      <c r="I57" s="92">
        <f t="shared" si="3"/>
        <v>0</v>
      </c>
      <c r="J57" s="613">
        <f t="shared" si="4"/>
        <v>0</v>
      </c>
    </row>
    <row r="58" spans="1:10">
      <c r="A58" s="520" t="s">
        <v>343</v>
      </c>
      <c r="B58" s="26">
        <f>整車進口!E58</f>
        <v>2233</v>
      </c>
      <c r="C58" s="93">
        <f>VLOOKUP(A58,[11]進出口值表查詢結果!$A$10:$C$30,3,0)</f>
        <v>766</v>
      </c>
      <c r="D58" s="614">
        <f t="shared" si="1"/>
        <v>1.9151436031331592</v>
      </c>
      <c r="E58" s="26">
        <f>整車進口!G58</f>
        <v>1808598</v>
      </c>
      <c r="F58" s="93">
        <f>VLOOKUP(A58,[11]進出口值表查詢結果!$A$10:$C$30,2,0)</f>
        <v>848674</v>
      </c>
      <c r="G58" s="613">
        <f t="shared" si="0"/>
        <v>1.131086848424719</v>
      </c>
      <c r="H58" s="91">
        <f t="shared" si="2"/>
        <v>809.94088669950736</v>
      </c>
      <c r="I58" s="92">
        <f t="shared" si="3"/>
        <v>1107.929503916449</v>
      </c>
      <c r="J58" s="613">
        <f t="shared" si="4"/>
        <v>-0.26895990779519263</v>
      </c>
    </row>
    <row r="59" spans="1:10">
      <c r="A59" s="29" t="s">
        <v>94</v>
      </c>
      <c r="B59" s="26">
        <f>整車進口!E59</f>
        <v>1004</v>
      </c>
      <c r="C59" s="93">
        <f>VLOOKUP(A59,[11]進出口值表查詢結果!$A$10:$C$30,3,0)</f>
        <v>860</v>
      </c>
      <c r="D59" s="614">
        <f t="shared" si="1"/>
        <v>0.16744186046511628</v>
      </c>
      <c r="E59" s="26">
        <f>整車進口!G59</f>
        <v>624505</v>
      </c>
      <c r="F59" s="93">
        <f>VLOOKUP(A59,[11]進出口值表查詢結果!$A$10:$C$30,2,0)</f>
        <v>340907</v>
      </c>
      <c r="G59" s="613">
        <f t="shared" si="0"/>
        <v>0.83189256894108954</v>
      </c>
      <c r="H59" s="91">
        <f t="shared" si="2"/>
        <v>622.0169322709163</v>
      </c>
      <c r="I59" s="92">
        <f t="shared" si="3"/>
        <v>396.40348837209302</v>
      </c>
      <c r="J59" s="613">
        <f t="shared" si="4"/>
        <v>0.56915100526826379</v>
      </c>
    </row>
    <row r="60" spans="1:10">
      <c r="A60" s="29" t="s">
        <v>55</v>
      </c>
      <c r="B60" s="26">
        <f>整車進口!E60</f>
        <v>0</v>
      </c>
      <c r="C60" s="93">
        <f>VLOOKUP(A60,[11]進出口值表查詢結果!$A$10:$C$30,3,0)</f>
        <v>1</v>
      </c>
      <c r="D60" s="614">
        <f t="shared" si="1"/>
        <v>-1</v>
      </c>
      <c r="E60" s="26">
        <f>整車進口!G60</f>
        <v>0</v>
      </c>
      <c r="F60" s="93">
        <f>VLOOKUP(A60,[11]進出口值表查詢結果!$A$10:$C$30,2,0)</f>
        <v>866</v>
      </c>
      <c r="G60" s="613">
        <f t="shared" si="0"/>
        <v>-1</v>
      </c>
      <c r="H60" s="91">
        <f t="shared" si="2"/>
        <v>0</v>
      </c>
      <c r="I60" s="92">
        <f t="shared" si="3"/>
        <v>866</v>
      </c>
      <c r="J60" s="613">
        <f t="shared" si="4"/>
        <v>-1</v>
      </c>
    </row>
    <row r="61" spans="1:10">
      <c r="A61" s="29" t="s">
        <v>95</v>
      </c>
      <c r="B61" s="26">
        <f>整車進口!E61</f>
        <v>186379</v>
      </c>
      <c r="C61" s="93">
        <f>VLOOKUP(A61,[11]進出口值表查詢結果!$A$10:$C$30,3,0)</f>
        <v>205519</v>
      </c>
      <c r="D61" s="614">
        <f t="shared" si="1"/>
        <v>-9.3130075564789624E-2</v>
      </c>
      <c r="E61" s="26">
        <f>整車進口!G61</f>
        <v>22446299</v>
      </c>
      <c r="F61" s="93">
        <f>VLOOKUP(A61,[11]進出口值表查詢結果!$A$10:$C$30,2,0)</f>
        <v>25137541</v>
      </c>
      <c r="G61" s="613">
        <f t="shared" si="0"/>
        <v>-0.10706067073147688</v>
      </c>
      <c r="H61" s="91">
        <f t="shared" si="2"/>
        <v>120.43362717902768</v>
      </c>
      <c r="I61" s="92">
        <f t="shared" si="3"/>
        <v>122.31249178908033</v>
      </c>
      <c r="J61" s="613">
        <f t="shared" si="4"/>
        <v>-1.5361183331074807E-2</v>
      </c>
    </row>
    <row r="62" spans="1:10">
      <c r="A62" s="520" t="s">
        <v>108</v>
      </c>
      <c r="B62" s="26">
        <f>整車進口!E62</f>
        <v>0</v>
      </c>
      <c r="C62" s="93">
        <v>0</v>
      </c>
      <c r="D62" s="614">
        <f t="shared" si="1"/>
        <v>0</v>
      </c>
      <c r="E62" s="26">
        <f>整車進口!G62</f>
        <v>0</v>
      </c>
      <c r="F62" s="93">
        <f>_xlfn.IFNA(VLOOKUP(A62,[5]進!$C$11:$J$737,3,0),-[4]整車!$B$22)</f>
        <v>0</v>
      </c>
      <c r="G62" s="613">
        <f t="shared" si="0"/>
        <v>0</v>
      </c>
      <c r="H62" s="91">
        <f t="shared" si="2"/>
        <v>0</v>
      </c>
      <c r="I62" s="92">
        <f t="shared" si="3"/>
        <v>0</v>
      </c>
      <c r="J62" s="613">
        <f t="shared" si="4"/>
        <v>0</v>
      </c>
    </row>
    <row r="63" spans="1:10">
      <c r="A63" s="520" t="s">
        <v>344</v>
      </c>
      <c r="B63" s="26">
        <f>整車進口!E63</f>
        <v>0</v>
      </c>
      <c r="C63" s="93">
        <v>0</v>
      </c>
      <c r="D63" s="614">
        <f t="shared" si="1"/>
        <v>0</v>
      </c>
      <c r="E63" s="26">
        <f>整車進口!G63</f>
        <v>0</v>
      </c>
      <c r="F63" s="93">
        <f>_xlfn.IFNA(VLOOKUP(A63,[5]進!$C$11:$J$737,3,0),-[4]整車!$B$22)</f>
        <v>0</v>
      </c>
      <c r="G63" s="613">
        <f t="shared" si="0"/>
        <v>0</v>
      </c>
      <c r="H63" s="91">
        <f t="shared" si="2"/>
        <v>0</v>
      </c>
      <c r="I63" s="92">
        <f t="shared" si="3"/>
        <v>0</v>
      </c>
      <c r="J63" s="613">
        <f t="shared" si="4"/>
        <v>0</v>
      </c>
    </row>
    <row r="64" spans="1:10">
      <c r="A64" s="29" t="s">
        <v>56</v>
      </c>
      <c r="B64" s="25">
        <f>B65-B7-B12-B41-B47</f>
        <v>1614</v>
      </c>
      <c r="C64" s="95">
        <f>C65-C47-C41-C12-C7</f>
        <v>2366</v>
      </c>
      <c r="D64" s="614">
        <f t="shared" si="1"/>
        <v>-0.31783601014370244</v>
      </c>
      <c r="E64" s="25">
        <f>E65-E47-E41-E12-E7</f>
        <v>1490221</v>
      </c>
      <c r="F64" s="95">
        <f>F65-F47-F41-F12-F7</f>
        <v>998192</v>
      </c>
      <c r="G64" s="613">
        <f t="shared" si="0"/>
        <v>0.49292019972109574</v>
      </c>
      <c r="H64" s="91">
        <f t="shared" si="2"/>
        <v>923.30916976456012</v>
      </c>
      <c r="I64" s="92">
        <f t="shared" si="3"/>
        <v>421.8901098901099</v>
      </c>
      <c r="J64" s="613">
        <f t="shared" si="4"/>
        <v>1.188506315080615</v>
      </c>
    </row>
    <row r="65" spans="1:10">
      <c r="A65" s="30" t="s">
        <v>397</v>
      </c>
      <c r="B65" s="26">
        <f>整車進口!E65</f>
        <v>194056</v>
      </c>
      <c r="C65" s="93">
        <f>VLOOKUP(A65,[11]進出口值表查詢結果!$A$10:$C$30,3,0)</f>
        <v>210864</v>
      </c>
      <c r="D65" s="614">
        <f t="shared" si="1"/>
        <v>-7.9710144927536225E-2</v>
      </c>
      <c r="E65" s="26">
        <f>整車進口!G65</f>
        <v>28684944</v>
      </c>
      <c r="F65" s="93">
        <f>VLOOKUP(A65,[11]進出口值表查詢結果!$A$10:$C$30,2,0)</f>
        <v>29937097</v>
      </c>
      <c r="G65" s="613">
        <f t="shared" si="0"/>
        <v>-4.1826132974750359E-2</v>
      </c>
      <c r="H65" s="91">
        <f t="shared" ref="H65:I65" si="5">E65/B65</f>
        <v>147.81786700746176</v>
      </c>
      <c r="I65" s="92">
        <f t="shared" si="5"/>
        <v>141.97348527961151</v>
      </c>
      <c r="J65" s="613">
        <f t="shared" si="4"/>
        <v>4.1165304326649131E-2</v>
      </c>
    </row>
    <row r="66" spans="1:10">
      <c r="A66" s="34"/>
      <c r="B66" s="35"/>
      <c r="C66" s="101"/>
      <c r="D66" s="72"/>
      <c r="E66" s="35"/>
      <c r="F66" s="101"/>
      <c r="G66" s="102"/>
      <c r="H66" s="103"/>
      <c r="I66" s="104"/>
      <c r="J66" s="102"/>
    </row>
    <row r="67" spans="1:10">
      <c r="A67" s="38" t="s">
        <v>308</v>
      </c>
      <c r="B67" s="39"/>
      <c r="C67" s="105"/>
      <c r="D67" s="106"/>
      <c r="E67" s="39"/>
      <c r="F67" s="105"/>
      <c r="G67" s="107"/>
      <c r="H67" s="591"/>
      <c r="I67" s="108"/>
      <c r="J67" s="107"/>
    </row>
    <row r="68" spans="1:10">
      <c r="A68" s="75" t="s">
        <v>512</v>
      </c>
      <c r="B68" s="6" t="s">
        <v>497</v>
      </c>
      <c r="C68" s="76" t="s">
        <v>500</v>
      </c>
      <c r="D68" s="77" t="s">
        <v>61</v>
      </c>
      <c r="E68" s="6" t="s">
        <v>497</v>
      </c>
      <c r="F68" s="76" t="s">
        <v>500</v>
      </c>
      <c r="G68" s="78" t="s">
        <v>411</v>
      </c>
      <c r="H68" s="6" t="s">
        <v>497</v>
      </c>
      <c r="I68" s="76" t="s">
        <v>500</v>
      </c>
      <c r="J68" s="78" t="s">
        <v>411</v>
      </c>
    </row>
    <row r="69" spans="1:10">
      <c r="A69" s="48"/>
      <c r="B69" s="50" t="s">
        <v>62</v>
      </c>
      <c r="C69" s="109" t="s">
        <v>62</v>
      </c>
      <c r="D69" s="80" t="s">
        <v>2</v>
      </c>
      <c r="E69" s="50" t="s">
        <v>63</v>
      </c>
      <c r="F69" s="109" t="s">
        <v>63</v>
      </c>
      <c r="G69" s="518" t="s">
        <v>2</v>
      </c>
      <c r="H69" s="82" t="s">
        <v>64</v>
      </c>
      <c r="I69" s="83" t="s">
        <v>65</v>
      </c>
      <c r="J69" s="518" t="s">
        <v>2</v>
      </c>
    </row>
    <row r="70" spans="1:10">
      <c r="A70" s="30" t="s">
        <v>57</v>
      </c>
      <c r="B70" s="26">
        <f>整車進口!E70</f>
        <v>2345</v>
      </c>
      <c r="C70" s="93">
        <v>4730</v>
      </c>
      <c r="D70" s="94">
        <f>IF(C70,(B70-C70)/C70,0)</f>
        <v>-0.50422832980972521</v>
      </c>
      <c r="E70" s="25">
        <f>整車進口!G70</f>
        <v>770178</v>
      </c>
      <c r="F70" s="93">
        <v>877796</v>
      </c>
      <c r="G70" s="94">
        <f>IF(F70,(E70-F70)/F70,0)</f>
        <v>-0.12260023969122666</v>
      </c>
      <c r="H70" s="91">
        <f>E70/B70</f>
        <v>328.43411513859274</v>
      </c>
      <c r="I70" s="92">
        <f>F70/C70</f>
        <v>185.58054968287527</v>
      </c>
      <c r="J70" s="613">
        <f t="shared" si="4"/>
        <v>0.76976582782963654</v>
      </c>
    </row>
    <row r="71" spans="1:10">
      <c r="A71" s="57" t="s">
        <v>75</v>
      </c>
      <c r="B71" s="3"/>
      <c r="C71" s="58"/>
      <c r="D71" s="3"/>
      <c r="E71" s="3"/>
      <c r="F71" s="3"/>
      <c r="G71" s="3"/>
      <c r="H71" s="3"/>
      <c r="I71" s="3"/>
      <c r="J71" s="3"/>
    </row>
    <row r="72" spans="1:10">
      <c r="A72" s="60" t="s">
        <v>60</v>
      </c>
      <c r="B72" s="61"/>
      <c r="C72" s="62"/>
      <c r="D72" s="64"/>
      <c r="E72" s="61"/>
      <c r="F72" s="62"/>
      <c r="G72" s="64"/>
      <c r="H72" s="60"/>
      <c r="I72" s="60"/>
      <c r="J72" s="60"/>
    </row>
  </sheetData>
  <mergeCells count="1">
    <mergeCell ref="A3:J3"/>
  </mergeCells>
  <phoneticPr fontId="3" type="noConversion"/>
  <conditionalFormatting sqref="G1:G3 G6:G67 J6:J67 G70:G1048576">
    <cfRule type="cellIs" dxfId="47" priority="24" operator="greaterThanOrEqual">
      <formula>0</formula>
    </cfRule>
  </conditionalFormatting>
  <conditionalFormatting sqref="G1:G4 D1:D1048576">
    <cfRule type="cellIs" dxfId="46" priority="1" operator="lessThan">
      <formula>0</formula>
    </cfRule>
  </conditionalFormatting>
  <conditionalFormatting sqref="G6:G68">
    <cfRule type="cellIs" dxfId="45" priority="2" operator="lessThan">
      <formula>0</formula>
    </cfRule>
  </conditionalFormatting>
  <conditionalFormatting sqref="G70:G1048576">
    <cfRule type="cellIs" dxfId="44" priority="25" operator="lessThan">
      <formula>0</formula>
    </cfRule>
  </conditionalFormatting>
  <conditionalFormatting sqref="J1:J3">
    <cfRule type="cellIs" dxfId="43" priority="22" operator="greaterThanOrEqual">
      <formula>0</formula>
    </cfRule>
  </conditionalFormatting>
  <conditionalFormatting sqref="J1:J4">
    <cfRule type="cellIs" dxfId="42" priority="10" operator="lessThan">
      <formula>0</formula>
    </cfRule>
  </conditionalFormatting>
  <conditionalFormatting sqref="J6:J68">
    <cfRule type="cellIs" dxfId="41" priority="7" operator="lessThan">
      <formula>0</formula>
    </cfRule>
  </conditionalFormatting>
  <conditionalFormatting sqref="J70:J1048576">
    <cfRule type="cellIs" dxfId="40" priority="5" operator="greaterThanOrEqual">
      <formula>0</formula>
    </cfRule>
    <cfRule type="cellIs" dxfId="39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6"/>
  <sheetViews>
    <sheetView zoomScaleNormal="100" workbookViewId="0">
      <selection activeCell="A2" sqref="A2"/>
    </sheetView>
  </sheetViews>
  <sheetFormatPr defaultRowHeight="16.5"/>
  <cols>
    <col min="1" max="1" width="18.75" customWidth="1"/>
    <col min="2" max="2" width="14.25" customWidth="1"/>
    <col min="3" max="3" width="16.5" customWidth="1"/>
    <col min="4" max="4" width="14" customWidth="1"/>
    <col min="5" max="5" width="14.25" customWidth="1"/>
    <col min="6" max="6" width="11" customWidth="1"/>
    <col min="7" max="7" width="17.375" customWidth="1"/>
    <col min="8" max="8" width="10.5" customWidth="1"/>
    <col min="9" max="9" width="15.5" customWidth="1"/>
  </cols>
  <sheetData>
    <row r="1" spans="1:9" ht="23.25">
      <c r="A1" s="66" t="s">
        <v>515</v>
      </c>
      <c r="B1" s="66"/>
      <c r="C1" s="66"/>
      <c r="D1" s="332"/>
      <c r="E1" s="1"/>
      <c r="F1" s="1"/>
      <c r="G1" s="1"/>
      <c r="H1" s="1"/>
      <c r="I1" s="2"/>
    </row>
    <row r="2" spans="1:9" ht="12.75" customHeight="1">
      <c r="A2" s="66"/>
      <c r="B2" s="66"/>
      <c r="C2" s="66"/>
      <c r="D2" s="332"/>
      <c r="E2" s="1"/>
      <c r="F2" s="1"/>
      <c r="G2" s="1"/>
      <c r="H2" s="1"/>
      <c r="I2" s="2"/>
    </row>
    <row r="3" spans="1:9">
      <c r="A3" s="766" t="s">
        <v>196</v>
      </c>
      <c r="B3" s="767"/>
      <c r="C3" s="767"/>
      <c r="D3" s="767"/>
      <c r="E3" s="767"/>
      <c r="F3" s="767"/>
      <c r="G3" s="767"/>
      <c r="H3" s="767"/>
      <c r="I3" s="768"/>
    </row>
    <row r="4" spans="1:9">
      <c r="A4" s="769" t="s">
        <v>407</v>
      </c>
      <c r="B4" s="770"/>
      <c r="C4" s="770"/>
      <c r="D4" s="770"/>
      <c r="E4" s="770"/>
      <c r="F4" s="770"/>
      <c r="G4" s="770"/>
      <c r="H4" s="770"/>
      <c r="I4" s="771"/>
    </row>
    <row r="5" spans="1:9" ht="19.5">
      <c r="A5" s="6" t="s">
        <v>505</v>
      </c>
      <c r="B5" s="7" t="s">
        <v>506</v>
      </c>
      <c r="C5" s="7" t="s">
        <v>507</v>
      </c>
      <c r="D5" s="8" t="s">
        <v>1</v>
      </c>
      <c r="E5" s="9" t="s">
        <v>508</v>
      </c>
      <c r="F5" s="10" t="s">
        <v>2</v>
      </c>
      <c r="G5" s="9" t="s">
        <v>509</v>
      </c>
      <c r="H5" s="10" t="s">
        <v>2</v>
      </c>
      <c r="I5" s="11" t="s">
        <v>413</v>
      </c>
    </row>
    <row r="6" spans="1:9" ht="19.5">
      <c r="A6" s="336"/>
      <c r="B6" s="730" t="s">
        <v>5</v>
      </c>
      <c r="C6" s="731" t="s">
        <v>4</v>
      </c>
      <c r="D6" s="337" t="s">
        <v>4</v>
      </c>
      <c r="E6" s="335" t="s">
        <v>5</v>
      </c>
      <c r="F6" s="335" t="s">
        <v>5</v>
      </c>
      <c r="G6" s="333" t="s">
        <v>4</v>
      </c>
      <c r="H6" s="333" t="s">
        <v>4</v>
      </c>
      <c r="I6" s="334" t="s">
        <v>4</v>
      </c>
    </row>
    <row r="7" spans="1:9" ht="19.5">
      <c r="A7" s="338" t="s">
        <v>6</v>
      </c>
      <c r="B7" s="333"/>
      <c r="C7" s="732"/>
      <c r="D7" s="339"/>
      <c r="E7" s="340"/>
      <c r="F7" s="341"/>
      <c r="G7" s="341"/>
      <c r="H7" s="341"/>
      <c r="I7" s="342"/>
    </row>
    <row r="8" spans="1:9" ht="19.5">
      <c r="A8" s="343" t="s">
        <v>7</v>
      </c>
      <c r="B8" s="344">
        <f>SUM(B9:B11)</f>
        <v>4337</v>
      </c>
      <c r="C8" s="344">
        <f>SUM(C9:C11)</f>
        <v>10240861</v>
      </c>
      <c r="D8" s="345">
        <f>IF(B8,C8/B8,0)</f>
        <v>2361.2776112520173</v>
      </c>
      <c r="E8" s="344">
        <f>SUM(E9:E11)</f>
        <v>98064</v>
      </c>
      <c r="F8" s="346">
        <f>E8/$E$64</f>
        <v>0.29207446016381233</v>
      </c>
      <c r="G8" s="344">
        <f>SUM(G9:G11)</f>
        <v>225497379</v>
      </c>
      <c r="H8" s="347">
        <f>G8/$G$64</f>
        <v>0.33746116235183782</v>
      </c>
      <c r="I8" s="337">
        <f>IF(E8,G8/E8,0)</f>
        <v>2299.4919542339699</v>
      </c>
    </row>
    <row r="9" spans="1:9" ht="19.5">
      <c r="A9" s="348" t="s">
        <v>346</v>
      </c>
      <c r="B9" s="349">
        <f>VLOOKUP(A9,[12]進出口值表查詢結果!$A$10:$C$40,3,0)</f>
        <v>3714</v>
      </c>
      <c r="C9" s="349">
        <f>VLOOKUP(A9,[12]進出口值表查詢結果!$A$10:$C$40,2,0)</f>
        <v>8701213</v>
      </c>
      <c r="D9" s="345">
        <f t="shared" ref="D9:D63" si="0">IF(B9,C9/B9,0)</f>
        <v>2342.8144857296716</v>
      </c>
      <c r="E9" s="349">
        <f>VLOOKUP(A9,[13]進出口值表查詢結果!$A$4:$C$56,3,0)</f>
        <v>87561</v>
      </c>
      <c r="F9" s="346">
        <f>E9/$E$64</f>
        <v>0.26079225614296353</v>
      </c>
      <c r="G9" s="349">
        <f>VLOOKUP(A9,[13]進出口值表查詢結果!$A$4:$C$56,2,0)</f>
        <v>199498752</v>
      </c>
      <c r="H9" s="347">
        <f>G9/$G$64</f>
        <v>0.29855371728139257</v>
      </c>
      <c r="I9" s="337">
        <f t="shared" ref="I9:I63" si="1">IF(E9,G9/E9,0)</f>
        <v>2278.3973686915406</v>
      </c>
    </row>
    <row r="10" spans="1:9" ht="19.5">
      <c r="A10" s="350" t="s">
        <v>8</v>
      </c>
      <c r="B10" s="349">
        <f>VLOOKUP(A10,[12]進出口值表查詢結果!$A$10:$C$40,3,0)</f>
        <v>623</v>
      </c>
      <c r="C10" s="349">
        <f>VLOOKUP(A10,[12]進出口值表查詢結果!$A$10:$C$40,2,0)</f>
        <v>1539648</v>
      </c>
      <c r="D10" s="345">
        <f t="shared" si="0"/>
        <v>2471.3451043338682</v>
      </c>
      <c r="E10" s="349">
        <f>VLOOKUP(A10,[13]進出口值表查詢結果!$A$4:$C$56,3,0)</f>
        <v>8543</v>
      </c>
      <c r="F10" s="346">
        <f t="shared" ref="F10:F11" si="2">E10/$E$64</f>
        <v>2.5444527177959791E-2</v>
      </c>
      <c r="G10" s="349">
        <f>VLOOKUP(A10,[13]進出口值表查詢結果!$A$4:$C$56,2,0)</f>
        <v>20334163</v>
      </c>
      <c r="H10" s="347">
        <f>G10/$G$64</f>
        <v>3.0430465807905174E-2</v>
      </c>
      <c r="I10" s="337">
        <f t="shared" si="1"/>
        <v>2380.2133910804168</v>
      </c>
    </row>
    <row r="11" spans="1:9" ht="19.5">
      <c r="A11" s="350" t="s">
        <v>9</v>
      </c>
      <c r="B11" s="349">
        <v>0</v>
      </c>
      <c r="C11" s="349">
        <v>0</v>
      </c>
      <c r="D11" s="345">
        <f t="shared" si="0"/>
        <v>0</v>
      </c>
      <c r="E11" s="349">
        <f>VLOOKUP(A11,[13]進出口值表查詢結果!$A$4:$C$56,3,0)</f>
        <v>1960</v>
      </c>
      <c r="F11" s="346">
        <f t="shared" si="2"/>
        <v>5.8376768428890545E-3</v>
      </c>
      <c r="G11" s="349">
        <f>VLOOKUP(A11,[13]進出口值表查詢結果!$A$4:$C$56,2,0)</f>
        <v>5664464</v>
      </c>
      <c r="H11" s="347">
        <f>G11/$G$64</f>
        <v>8.476979262540079E-3</v>
      </c>
      <c r="I11" s="337">
        <f t="shared" si="1"/>
        <v>2890.0326530612247</v>
      </c>
    </row>
    <row r="12" spans="1:9" ht="19.5">
      <c r="A12" s="350"/>
      <c r="B12" s="165"/>
      <c r="C12" s="165"/>
      <c r="D12" s="345"/>
      <c r="E12" s="165"/>
      <c r="F12" s="346"/>
      <c r="G12" s="165"/>
      <c r="H12" s="346"/>
      <c r="I12" s="337"/>
    </row>
    <row r="13" spans="1:9" ht="19.5">
      <c r="A13" s="351" t="s">
        <v>10</v>
      </c>
      <c r="B13" s="352">
        <f>SUM(B14:B40)</f>
        <v>14957</v>
      </c>
      <c r="C13" s="352">
        <f>SUM(C14:C40)</f>
        <v>25399684</v>
      </c>
      <c r="D13" s="345">
        <f t="shared" si="0"/>
        <v>1698.1803837667981</v>
      </c>
      <c r="E13" s="352">
        <f>SUM(E14:E40)</f>
        <v>189953</v>
      </c>
      <c r="F13" s="346">
        <f t="shared" ref="F13:F14" si="3">E13/$E$64</f>
        <v>0.5657572598659717</v>
      </c>
      <c r="G13" s="352">
        <f>SUM(G14:G40)</f>
        <v>333174187</v>
      </c>
      <c r="H13" s="347">
        <f t="shared" ref="H13:H40" si="4">G13/$G$64</f>
        <v>0.49860157536752825</v>
      </c>
      <c r="I13" s="337">
        <f t="shared" si="1"/>
        <v>1753.9822324469737</v>
      </c>
    </row>
    <row r="14" spans="1:9" ht="19.5">
      <c r="A14" s="348" t="s">
        <v>347</v>
      </c>
      <c r="B14" s="349">
        <f>VLOOKUP(A14,[12]進出口值表查詢結果!$A$10:$C$40,3,0)</f>
        <v>9624</v>
      </c>
      <c r="C14" s="349">
        <f>VLOOKUP(A14,[12]進出口值表查詢結果!$A$10:$C$40,2,0)</f>
        <v>17952442</v>
      </c>
      <c r="D14" s="345">
        <f t="shared" si="0"/>
        <v>1865.3825852036575</v>
      </c>
      <c r="E14" s="349">
        <f>VLOOKUP(A14,[13]進出口值表查詢結果!$A$4:$C$56,3,0)</f>
        <v>120834</v>
      </c>
      <c r="F14" s="346">
        <f t="shared" si="3"/>
        <v>0.35989277736411018</v>
      </c>
      <c r="G14" s="349">
        <f>VLOOKUP(A14,[13]進出口值表查詢結果!$A$4:$C$56,2,0)</f>
        <v>224417564</v>
      </c>
      <c r="H14" s="347">
        <f t="shared" si="4"/>
        <v>0.33584519844733079</v>
      </c>
      <c r="I14" s="337">
        <f t="shared" si="1"/>
        <v>1857.2385586838141</v>
      </c>
    </row>
    <row r="15" spans="1:9" ht="19.5">
      <c r="A15" s="348" t="s">
        <v>348</v>
      </c>
      <c r="B15" s="349">
        <f>VLOOKUP(A15,[12]進出口值表查詢結果!$A$10:$C$40,3,0)</f>
        <v>3232</v>
      </c>
      <c r="C15" s="349">
        <f>VLOOKUP(A15,[12]進出口值表查詢結果!$A$10:$C$40,2,0)</f>
        <v>3328008</v>
      </c>
      <c r="D15" s="345">
        <f t="shared" ref="D15:D40" si="5">IF(B15,C15/B15,0)</f>
        <v>1029.7054455445545</v>
      </c>
      <c r="E15" s="349">
        <f>VLOOKUP(A15,[13]進出口值表查詢結果!$A$4:$C$56,3,0)</f>
        <v>32854</v>
      </c>
      <c r="F15" s="346">
        <f t="shared" ref="F15:F40" si="6">E15/$E$64</f>
        <v>9.7852568875651524E-2</v>
      </c>
      <c r="G15" s="349">
        <f>VLOOKUP(A15,[13]進出口值表查詢結果!$A$4:$C$56,2,0)</f>
        <v>43592360</v>
      </c>
      <c r="H15" s="347">
        <f t="shared" si="4"/>
        <v>6.5236804704766713E-2</v>
      </c>
      <c r="I15" s="337">
        <f t="shared" si="1"/>
        <v>1326.8509161745906</v>
      </c>
    </row>
    <row r="16" spans="1:9" ht="19.5">
      <c r="A16" s="350" t="s">
        <v>13</v>
      </c>
      <c r="B16" s="349">
        <f>VLOOKUP(A16,[12]進出口值表查詢結果!$A$10:$C$40,3,0)</f>
        <v>660</v>
      </c>
      <c r="C16" s="349">
        <f>VLOOKUP(A16,[12]進出口值表查詢結果!$A$10:$C$40,2,0)</f>
        <v>1601148</v>
      </c>
      <c r="D16" s="345">
        <f t="shared" si="5"/>
        <v>2425.9818181818182</v>
      </c>
      <c r="E16" s="349">
        <f>VLOOKUP(A16,[13]進出口值表查詢結果!$A$4:$C$56,3,0)</f>
        <v>8236</v>
      </c>
      <c r="F16" s="346">
        <f t="shared" si="6"/>
        <v>2.4530156366344005E-2</v>
      </c>
      <c r="G16" s="349">
        <f>VLOOKUP(A16,[13]進出口值表查詢結果!$A$4:$C$56,2,0)</f>
        <v>19341380</v>
      </c>
      <c r="H16" s="347">
        <f t="shared" si="4"/>
        <v>2.8944746964391942E-2</v>
      </c>
      <c r="I16" s="337">
        <f t="shared" si="1"/>
        <v>2348.3948518698398</v>
      </c>
    </row>
    <row r="17" spans="1:9" ht="19.5">
      <c r="A17" s="348" t="s">
        <v>350</v>
      </c>
      <c r="B17" s="349">
        <f>VLOOKUP(A17,[12]進出口值表查詢結果!$A$10:$C$40,3,0)</f>
        <v>449</v>
      </c>
      <c r="C17" s="349">
        <f>VLOOKUP(A17,[12]進出口值表查詢結果!$A$10:$C$40,2,0)</f>
        <v>651739</v>
      </c>
      <c r="D17" s="345">
        <f t="shared" si="5"/>
        <v>1451.5345211581291</v>
      </c>
      <c r="E17" s="349">
        <f>VLOOKUP(A17,[13]進出口值表查詢結果!$A$4:$C$56,3,0)</f>
        <v>9332</v>
      </c>
      <c r="F17" s="346">
        <f t="shared" si="6"/>
        <v>2.7794489947877886E-2</v>
      </c>
      <c r="G17" s="349">
        <f>VLOOKUP(A17,[13]進出口值表查詢結果!$A$4:$C$56,2,0)</f>
        <v>13060496</v>
      </c>
      <c r="H17" s="347">
        <f t="shared" si="4"/>
        <v>1.9545283322568146E-2</v>
      </c>
      <c r="I17" s="337">
        <f t="shared" si="1"/>
        <v>1399.5387912558938</v>
      </c>
    </row>
    <row r="18" spans="1:9" ht="19.5">
      <c r="A18" s="350" t="s">
        <v>16</v>
      </c>
      <c r="B18" s="349">
        <f>VLOOKUP(A18,[12]進出口值表查詢結果!$A$10:$C$40,3,0)</f>
        <v>476</v>
      </c>
      <c r="C18" s="349">
        <f>VLOOKUP(A18,[12]進出口值表查詢結果!$A$10:$C$40,2,0)</f>
        <v>1182487</v>
      </c>
      <c r="D18" s="345">
        <f t="shared" si="5"/>
        <v>2484.2163865546217</v>
      </c>
      <c r="E18" s="349">
        <f>VLOOKUP(A18,[13]進出口值表查詢結果!$A$4:$C$56,3,0)</f>
        <v>8025</v>
      </c>
      <c r="F18" s="346">
        <f t="shared" si="6"/>
        <v>2.3901712583767686E-2</v>
      </c>
      <c r="G18" s="349">
        <f>VLOOKUP(A18,[13]進出口值表查詢結果!$A$4:$C$56,2,0)</f>
        <v>19744072</v>
      </c>
      <c r="H18" s="347">
        <f t="shared" si="4"/>
        <v>2.954738328323708E-2</v>
      </c>
      <c r="I18" s="337">
        <f t="shared" si="1"/>
        <v>2460.3204984423678</v>
      </c>
    </row>
    <row r="19" spans="1:9" ht="19.5">
      <c r="A19" s="350" t="s">
        <v>17</v>
      </c>
      <c r="B19" s="349">
        <f>VLOOKUP(A19,[12]進出口值表查詢結果!$A$10:$C$40,3,0)</f>
        <v>1</v>
      </c>
      <c r="C19" s="349">
        <f>VLOOKUP(A19,[12]進出口值表查詢結果!$A$10:$C$40,2,0)</f>
        <v>2488</v>
      </c>
      <c r="D19" s="345">
        <f t="shared" si="5"/>
        <v>2488</v>
      </c>
      <c r="E19" s="349">
        <f>VLOOKUP(A19,[13]進出口值表查詢結果!$A$4:$C$56,3,0)</f>
        <v>1361</v>
      </c>
      <c r="F19" s="346">
        <f t="shared" si="6"/>
        <v>4.0536113179448991E-3</v>
      </c>
      <c r="G19" s="349">
        <f>VLOOKUP(A19,[13]進出口值表查詢結果!$A$4:$C$56,2,0)</f>
        <v>3492523</v>
      </c>
      <c r="H19" s="347">
        <f t="shared" si="4"/>
        <v>5.226627805374748E-3</v>
      </c>
      <c r="I19" s="337">
        <f t="shared" si="1"/>
        <v>2566.1447465099191</v>
      </c>
    </row>
    <row r="20" spans="1:9" ht="19.5">
      <c r="A20" s="348" t="s">
        <v>351</v>
      </c>
      <c r="B20" s="349">
        <f>VLOOKUP(A20,[12]進出口值表查詢結果!$A$10:$C$40,3,0)</f>
        <v>163</v>
      </c>
      <c r="C20" s="349">
        <f>VLOOKUP(A20,[12]進出口值表查詢結果!$A$10:$C$40,2,0)</f>
        <v>341722</v>
      </c>
      <c r="D20" s="345">
        <f t="shared" si="5"/>
        <v>2096.4539877300613</v>
      </c>
      <c r="E20" s="349">
        <f>VLOOKUP(A20,[13]進出口值表查詢結果!$A$4:$C$56,3,0)</f>
        <v>1860</v>
      </c>
      <c r="F20" s="346">
        <f t="shared" si="6"/>
        <v>5.5398361876396124E-3</v>
      </c>
      <c r="G20" s="349">
        <f>VLOOKUP(A20,[13]進出口值表查詢結果!$A$4:$C$56,2,0)</f>
        <v>3594369</v>
      </c>
      <c r="H20" s="347">
        <f t="shared" si="4"/>
        <v>5.3790423021343103E-3</v>
      </c>
      <c r="I20" s="337">
        <f t="shared" si="1"/>
        <v>1932.4564516129033</v>
      </c>
    </row>
    <row r="21" spans="1:9" ht="19.5">
      <c r="A21" s="350" t="s">
        <v>67</v>
      </c>
      <c r="B21" s="349">
        <v>0</v>
      </c>
      <c r="C21" s="349">
        <v>0</v>
      </c>
      <c r="D21" s="345">
        <f t="shared" si="5"/>
        <v>0</v>
      </c>
      <c r="E21" s="349">
        <f>VLOOKUP(A21,[13]進出口值表查詢結果!$A$4:$C$56,3,0)</f>
        <v>2</v>
      </c>
      <c r="F21" s="346">
        <f t="shared" si="6"/>
        <v>5.9568131049888309E-6</v>
      </c>
      <c r="G21" s="349">
        <f>VLOOKUP(A21,[13]進出口值表查詢結果!$A$4:$C$56,2,0)</f>
        <v>4813</v>
      </c>
      <c r="H21" s="347">
        <f t="shared" si="4"/>
        <v>7.2027470190657764E-6</v>
      </c>
      <c r="I21" s="337">
        <f t="shared" si="1"/>
        <v>2406.5</v>
      </c>
    </row>
    <row r="22" spans="1:9" ht="19.5">
      <c r="A22" s="348" t="s">
        <v>352</v>
      </c>
      <c r="B22" s="349">
        <v>0</v>
      </c>
      <c r="C22" s="349">
        <v>0</v>
      </c>
      <c r="D22" s="345">
        <f t="shared" si="5"/>
        <v>0</v>
      </c>
      <c r="E22" s="349">
        <v>0</v>
      </c>
      <c r="F22" s="346">
        <f t="shared" si="6"/>
        <v>0</v>
      </c>
      <c r="G22" s="349">
        <v>0</v>
      </c>
      <c r="H22" s="347">
        <f t="shared" si="4"/>
        <v>0</v>
      </c>
      <c r="I22" s="337">
        <f t="shared" si="1"/>
        <v>0</v>
      </c>
    </row>
    <row r="23" spans="1:9" ht="19.5">
      <c r="A23" s="350" t="s">
        <v>21</v>
      </c>
      <c r="B23" s="349">
        <v>0</v>
      </c>
      <c r="C23" s="349">
        <v>0</v>
      </c>
      <c r="D23" s="345">
        <f t="shared" si="5"/>
        <v>0</v>
      </c>
      <c r="E23" s="349">
        <v>0</v>
      </c>
      <c r="F23" s="346">
        <f t="shared" si="6"/>
        <v>0</v>
      </c>
      <c r="G23" s="349">
        <v>0</v>
      </c>
      <c r="H23" s="347">
        <f t="shared" si="4"/>
        <v>0</v>
      </c>
      <c r="I23" s="337">
        <f t="shared" si="1"/>
        <v>0</v>
      </c>
    </row>
    <row r="24" spans="1:9" ht="19.5">
      <c r="A24" s="350" t="s">
        <v>22</v>
      </c>
      <c r="B24" s="349">
        <v>0</v>
      </c>
      <c r="C24" s="349">
        <v>0</v>
      </c>
      <c r="D24" s="345">
        <f t="shared" si="5"/>
        <v>0</v>
      </c>
      <c r="E24" s="349">
        <v>0</v>
      </c>
      <c r="F24" s="346">
        <f t="shared" si="6"/>
        <v>0</v>
      </c>
      <c r="G24" s="349">
        <v>0</v>
      </c>
      <c r="H24" s="347">
        <f t="shared" si="4"/>
        <v>0</v>
      </c>
      <c r="I24" s="337">
        <f t="shared" si="1"/>
        <v>0</v>
      </c>
    </row>
    <row r="25" spans="1:9" ht="19.5">
      <c r="A25" s="350" t="s">
        <v>23</v>
      </c>
      <c r="B25" s="349">
        <v>0</v>
      </c>
      <c r="C25" s="349">
        <v>0</v>
      </c>
      <c r="D25" s="345">
        <f t="shared" si="5"/>
        <v>0</v>
      </c>
      <c r="E25" s="349">
        <f>VLOOKUP(A25,[13]進出口值表查詢結果!$A$4:$C$56,3,0)</f>
        <v>4</v>
      </c>
      <c r="F25" s="346">
        <f t="shared" si="6"/>
        <v>1.1913626209977662E-5</v>
      </c>
      <c r="G25" s="349">
        <f>VLOOKUP(A25,[13]進出口值表查詢結果!$A$4:$C$56,2,0)</f>
        <v>14230</v>
      </c>
      <c r="H25" s="347">
        <f t="shared" si="4"/>
        <v>2.129546853964388E-5</v>
      </c>
      <c r="I25" s="337">
        <f t="shared" si="1"/>
        <v>3557.5</v>
      </c>
    </row>
    <row r="26" spans="1:9" ht="19.5">
      <c r="A26" s="348" t="s">
        <v>353</v>
      </c>
      <c r="B26" s="349">
        <f>VLOOKUP(A26,[12]進出口值表查詢結果!$A$10:$C$40,3,0)</f>
        <v>174</v>
      </c>
      <c r="C26" s="349">
        <f>VLOOKUP(A26,[12]進出口值表查詢結果!$A$10:$C$40,2,0)</f>
        <v>59809</v>
      </c>
      <c r="D26" s="345">
        <f t="shared" si="5"/>
        <v>343.72988505747128</v>
      </c>
      <c r="E26" s="349">
        <f>VLOOKUP(A26,[13]進出口值表查詢結果!$A$4:$C$56,3,0)</f>
        <v>4008</v>
      </c>
      <c r="F26" s="346">
        <f t="shared" si="6"/>
        <v>1.1937453462397617E-2</v>
      </c>
      <c r="G26" s="349">
        <f>VLOOKUP(A26,[13]進出口值表查詢結果!$A$4:$C$56,2,0)</f>
        <v>1548005</v>
      </c>
      <c r="H26" s="347">
        <f t="shared" si="4"/>
        <v>2.3166192394034734E-3</v>
      </c>
      <c r="I26" s="337">
        <f t="shared" si="1"/>
        <v>386.22879241516966</v>
      </c>
    </row>
    <row r="27" spans="1:9" ht="19.5">
      <c r="A27" s="348" t="s">
        <v>354</v>
      </c>
      <c r="B27" s="349">
        <v>0</v>
      </c>
      <c r="C27" s="349">
        <v>0</v>
      </c>
      <c r="D27" s="345">
        <f t="shared" si="5"/>
        <v>0</v>
      </c>
      <c r="E27" s="349">
        <f>VLOOKUP(A27,[13]進出口值表查詢結果!$A$4:$C$56,3,0)</f>
        <v>204</v>
      </c>
      <c r="F27" s="346">
        <f t="shared" si="6"/>
        <v>6.075949367088608E-4</v>
      </c>
      <c r="G27" s="349">
        <f>VLOOKUP(A27,[13]進出口值表查詢結果!$A$4:$C$56,2,0)</f>
        <v>461666</v>
      </c>
      <c r="H27" s="347">
        <f t="shared" si="4"/>
        <v>6.9089204348722643E-4</v>
      </c>
      <c r="I27" s="337">
        <f t="shared" si="1"/>
        <v>2263.0686274509803</v>
      </c>
    </row>
    <row r="28" spans="1:9">
      <c r="A28" s="524" t="s">
        <v>328</v>
      </c>
      <c r="B28" s="349">
        <f>VLOOKUP(A28,[12]進出口值表查詢結果!$A$10:$C$40,3,0)</f>
        <v>178</v>
      </c>
      <c r="C28" s="349">
        <f>VLOOKUP(A28,[12]進出口值表查詢結果!$A$10:$C$40,2,0)</f>
        <v>279841</v>
      </c>
      <c r="D28" s="345">
        <f t="shared" si="5"/>
        <v>1572.1404494382023</v>
      </c>
      <c r="E28" s="349">
        <f>VLOOKUP(A28,[13]進出口值表查詢結果!$A$4:$C$56,3,0)</f>
        <v>992</v>
      </c>
      <c r="F28" s="346">
        <f t="shared" si="6"/>
        <v>2.9545793000744602E-3</v>
      </c>
      <c r="G28" s="349">
        <f>VLOOKUP(A28,[13]進出口值表查詢結果!$A$4:$C$56,2,0)</f>
        <v>1802816</v>
      </c>
      <c r="H28" s="347">
        <f t="shared" si="4"/>
        <v>2.6979487990700366E-3</v>
      </c>
      <c r="I28" s="337">
        <f t="shared" si="1"/>
        <v>1817.3548387096773</v>
      </c>
    </row>
    <row r="29" spans="1:9">
      <c r="A29" s="524" t="s">
        <v>329</v>
      </c>
      <c r="B29" s="349">
        <v>0</v>
      </c>
      <c r="C29" s="349">
        <v>0</v>
      </c>
      <c r="D29" s="345">
        <f t="shared" si="5"/>
        <v>0</v>
      </c>
      <c r="E29" s="349">
        <f>VLOOKUP(A29,[13]進出口值表查詢結果!$A$4:$C$56,3,0)</f>
        <v>2146</v>
      </c>
      <c r="F29" s="346">
        <f t="shared" si="6"/>
        <v>6.3916604616530157E-3</v>
      </c>
      <c r="G29" s="349">
        <f>VLOOKUP(A29,[13]進出口值表查詢結果!$A$4:$C$56,2,0)</f>
        <v>1937702</v>
      </c>
      <c r="H29" s="347">
        <f t="shared" si="4"/>
        <v>2.8998082909490533E-3</v>
      </c>
      <c r="I29" s="337">
        <f t="shared" si="1"/>
        <v>902.93662628145387</v>
      </c>
    </row>
    <row r="30" spans="1:9" ht="19.5">
      <c r="A30" s="350" t="s">
        <v>26</v>
      </c>
      <c r="B30" s="349">
        <v>0</v>
      </c>
      <c r="C30" s="349">
        <v>0</v>
      </c>
      <c r="D30" s="345">
        <f t="shared" si="5"/>
        <v>0</v>
      </c>
      <c r="E30" s="349">
        <f>VLOOKUP(A30,[13]進出口值表查詢結果!$A$4:$C$56,3,0)</f>
        <v>95</v>
      </c>
      <c r="F30" s="346">
        <f t="shared" si="6"/>
        <v>2.8294862248696946E-4</v>
      </c>
      <c r="G30" s="349">
        <f>VLOOKUP(A30,[13]進出口值表查詢結果!$A$4:$C$56,2,0)</f>
        <v>162191</v>
      </c>
      <c r="H30" s="347">
        <f t="shared" si="4"/>
        <v>2.4272194925603518E-4</v>
      </c>
      <c r="I30" s="337">
        <f t="shared" si="1"/>
        <v>1707.2736842105264</v>
      </c>
    </row>
    <row r="31" spans="1:9" ht="19.5">
      <c r="A31" s="350" t="s">
        <v>27</v>
      </c>
      <c r="B31" s="349">
        <v>0</v>
      </c>
      <c r="C31" s="349">
        <v>0</v>
      </c>
      <c r="D31" s="345">
        <f t="shared" si="5"/>
        <v>0</v>
      </c>
      <c r="E31" s="349">
        <v>0</v>
      </c>
      <c r="F31" s="346">
        <f t="shared" si="6"/>
        <v>0</v>
      </c>
      <c r="G31" s="349">
        <v>0</v>
      </c>
      <c r="H31" s="347">
        <f t="shared" si="4"/>
        <v>0</v>
      </c>
      <c r="I31" s="337">
        <f t="shared" si="1"/>
        <v>0</v>
      </c>
    </row>
    <row r="32" spans="1:9" ht="19.5">
      <c r="A32" s="350" t="s">
        <v>28</v>
      </c>
      <c r="B32" s="349">
        <v>0</v>
      </c>
      <c r="C32" s="349">
        <v>0</v>
      </c>
      <c r="D32" s="345">
        <f t="shared" si="5"/>
        <v>0</v>
      </c>
      <c r="E32" s="349">
        <v>0</v>
      </c>
      <c r="F32" s="346">
        <f t="shared" si="6"/>
        <v>0</v>
      </c>
      <c r="G32" s="349">
        <v>0</v>
      </c>
      <c r="H32" s="347">
        <f t="shared" si="4"/>
        <v>0</v>
      </c>
      <c r="I32" s="337">
        <f t="shared" si="1"/>
        <v>0</v>
      </c>
    </row>
    <row r="33" spans="1:9" ht="19.5">
      <c r="A33" s="350" t="s">
        <v>29</v>
      </c>
      <c r="B33" s="349">
        <v>0</v>
      </c>
      <c r="C33" s="349">
        <v>0</v>
      </c>
      <c r="D33" s="345">
        <f t="shared" si="5"/>
        <v>0</v>
      </c>
      <c r="E33" s="349">
        <v>0</v>
      </c>
      <c r="F33" s="346">
        <f t="shared" si="6"/>
        <v>0</v>
      </c>
      <c r="G33" s="349">
        <v>0</v>
      </c>
      <c r="H33" s="347">
        <f t="shared" si="4"/>
        <v>0</v>
      </c>
      <c r="I33" s="337">
        <f t="shared" si="1"/>
        <v>0</v>
      </c>
    </row>
    <row r="34" spans="1:9" ht="19.5">
      <c r="A34" s="350" t="s">
        <v>30</v>
      </c>
      <c r="B34" s="349">
        <v>0</v>
      </c>
      <c r="C34" s="349">
        <v>0</v>
      </c>
      <c r="D34" s="345">
        <f t="shared" si="5"/>
        <v>0</v>
      </c>
      <c r="E34" s="349">
        <v>0</v>
      </c>
      <c r="F34" s="346">
        <f t="shared" si="6"/>
        <v>0</v>
      </c>
      <c r="G34" s="349">
        <v>0</v>
      </c>
      <c r="H34" s="347">
        <f t="shared" si="4"/>
        <v>0</v>
      </c>
      <c r="I34" s="337">
        <f t="shared" si="1"/>
        <v>0</v>
      </c>
    </row>
    <row r="35" spans="1:9" ht="19.5">
      <c r="A35" s="350" t="s">
        <v>31</v>
      </c>
      <c r="B35" s="349">
        <v>0</v>
      </c>
      <c r="C35" s="349">
        <v>0</v>
      </c>
      <c r="D35" s="345">
        <f t="shared" si="5"/>
        <v>0</v>
      </c>
      <c r="E35" s="349">
        <v>0</v>
      </c>
      <c r="F35" s="346">
        <f t="shared" si="6"/>
        <v>0</v>
      </c>
      <c r="G35" s="349">
        <v>0</v>
      </c>
      <c r="H35" s="347">
        <f t="shared" si="4"/>
        <v>0</v>
      </c>
      <c r="I35" s="337">
        <f t="shared" si="1"/>
        <v>0</v>
      </c>
    </row>
    <row r="36" spans="1:9" ht="19.5">
      <c r="A36" s="350" t="s">
        <v>32</v>
      </c>
      <c r="B36" s="349">
        <v>0</v>
      </c>
      <c r="C36" s="349">
        <v>0</v>
      </c>
      <c r="D36" s="345">
        <f t="shared" si="5"/>
        <v>0</v>
      </c>
      <c r="E36" s="349">
        <v>0</v>
      </c>
      <c r="F36" s="346">
        <f t="shared" si="6"/>
        <v>0</v>
      </c>
      <c r="G36" s="349">
        <v>0</v>
      </c>
      <c r="H36" s="347">
        <f t="shared" si="4"/>
        <v>0</v>
      </c>
      <c r="I36" s="337">
        <f t="shared" si="1"/>
        <v>0</v>
      </c>
    </row>
    <row r="37" spans="1:9" ht="19.5">
      <c r="A37" s="350" t="s">
        <v>78</v>
      </c>
      <c r="B37" s="349">
        <v>0</v>
      </c>
      <c r="C37" s="349">
        <v>0</v>
      </c>
      <c r="D37" s="345">
        <f t="shared" si="5"/>
        <v>0</v>
      </c>
      <c r="E37" s="349">
        <v>0</v>
      </c>
      <c r="F37" s="346">
        <f t="shared" si="6"/>
        <v>0</v>
      </c>
      <c r="G37" s="349">
        <v>0</v>
      </c>
      <c r="H37" s="347">
        <f t="shared" si="4"/>
        <v>0</v>
      </c>
      <c r="I37" s="337">
        <f t="shared" si="1"/>
        <v>0</v>
      </c>
    </row>
    <row r="38" spans="1:9" ht="19.5">
      <c r="A38" s="350" t="s">
        <v>34</v>
      </c>
      <c r="B38" s="349">
        <v>0</v>
      </c>
      <c r="C38" s="349">
        <v>0</v>
      </c>
      <c r="D38" s="345">
        <f t="shared" si="5"/>
        <v>0</v>
      </c>
      <c r="E38" s="349">
        <v>0</v>
      </c>
      <c r="F38" s="346">
        <f t="shared" si="6"/>
        <v>0</v>
      </c>
      <c r="G38" s="349">
        <v>0</v>
      </c>
      <c r="H38" s="347">
        <f t="shared" si="4"/>
        <v>0</v>
      </c>
      <c r="I38" s="337">
        <f t="shared" si="1"/>
        <v>0</v>
      </c>
    </row>
    <row r="39" spans="1:9" ht="19.5">
      <c r="A39" s="350" t="s">
        <v>35</v>
      </c>
      <c r="B39" s="349">
        <v>0</v>
      </c>
      <c r="C39" s="349">
        <v>0</v>
      </c>
      <c r="D39" s="345">
        <f t="shared" si="5"/>
        <v>0</v>
      </c>
      <c r="E39" s="349">
        <v>0</v>
      </c>
      <c r="F39" s="346">
        <f t="shared" si="6"/>
        <v>0</v>
      </c>
      <c r="G39" s="349">
        <v>0</v>
      </c>
      <c r="H39" s="347">
        <f t="shared" si="4"/>
        <v>0</v>
      </c>
      <c r="I39" s="337">
        <f t="shared" si="1"/>
        <v>0</v>
      </c>
    </row>
    <row r="40" spans="1:9" ht="19.5">
      <c r="A40" s="350" t="s">
        <v>36</v>
      </c>
      <c r="B40" s="349">
        <v>0</v>
      </c>
      <c r="C40" s="349">
        <v>0</v>
      </c>
      <c r="D40" s="345">
        <f t="shared" si="5"/>
        <v>0</v>
      </c>
      <c r="E40" s="349">
        <v>0</v>
      </c>
      <c r="F40" s="346">
        <f t="shared" si="6"/>
        <v>0</v>
      </c>
      <c r="G40" s="349">
        <v>0</v>
      </c>
      <c r="H40" s="347">
        <f t="shared" si="4"/>
        <v>0</v>
      </c>
      <c r="I40" s="337">
        <f t="shared" si="1"/>
        <v>0</v>
      </c>
    </row>
    <row r="41" spans="1:9" ht="19.5">
      <c r="A41" s="350"/>
      <c r="B41" s="165"/>
      <c r="C41" s="166"/>
      <c r="D41" s="345"/>
      <c r="E41" s="165"/>
      <c r="F41" s="346"/>
      <c r="G41" s="166"/>
      <c r="H41" s="346"/>
      <c r="I41" s="337"/>
    </row>
    <row r="42" spans="1:9" ht="19.5">
      <c r="A42" s="353" t="s">
        <v>37</v>
      </c>
      <c r="B42" s="352">
        <f>SUM(B43:B46)</f>
        <v>421</v>
      </c>
      <c r="C42" s="352">
        <f>SUM(C43:C46)</f>
        <v>738342</v>
      </c>
      <c r="D42" s="345">
        <f t="shared" si="0"/>
        <v>1753.7814726840854</v>
      </c>
      <c r="E42" s="352">
        <f>SUM(E43:E46)</f>
        <v>3340</v>
      </c>
      <c r="F42" s="346">
        <f>E42/$E$64</f>
        <v>9.9478778853313472E-3</v>
      </c>
      <c r="G42" s="352">
        <f>SUM(G43:G46)</f>
        <v>6818562</v>
      </c>
      <c r="H42" s="347">
        <f>G42/$G$64</f>
        <v>1.0204109104470222E-2</v>
      </c>
      <c r="I42" s="337">
        <f t="shared" si="1"/>
        <v>2041.485628742515</v>
      </c>
    </row>
    <row r="43" spans="1:9" ht="19.5">
      <c r="A43" s="348" t="s">
        <v>357</v>
      </c>
      <c r="B43" s="349">
        <f>VLOOKUP(A43,[12]進出口值表查詢結果!$A$10:$C$40,3,0)</f>
        <v>18</v>
      </c>
      <c r="C43" s="349">
        <f>VLOOKUP(A43,[12]進出口值表查詢結果!$A$10:$C$40,2,0)</f>
        <v>47720</v>
      </c>
      <c r="D43" s="345">
        <f t="shared" si="0"/>
        <v>2651.1111111111113</v>
      </c>
      <c r="E43" s="349">
        <f>VLOOKUP(A43,[13]進出口值表查詢結果!$A$4:$C$56,3,0)</f>
        <v>1471</v>
      </c>
      <c r="F43" s="346">
        <f>E43/$E$64</f>
        <v>4.3812360387192849E-3</v>
      </c>
      <c r="G43" s="349">
        <f>VLOOKUP(A43,[13]進出口值表查詢結果!$A$4:$C$56,2,0)</f>
        <v>3382784</v>
      </c>
      <c r="H43" s="347">
        <f>G43/$G$64</f>
        <v>5.062401282390069E-3</v>
      </c>
      <c r="I43" s="337">
        <f t="shared" si="1"/>
        <v>2299.6492182188986</v>
      </c>
    </row>
    <row r="44" spans="1:9" ht="19.5">
      <c r="A44" s="348" t="s">
        <v>358</v>
      </c>
      <c r="B44" s="349">
        <f>VLOOKUP(A44,[12]進出口值表查詢結果!$A$10:$C$40,3,0)</f>
        <v>403</v>
      </c>
      <c r="C44" s="349">
        <f>VLOOKUP(A44,[12]進出口值表查詢結果!$A$10:$C$40,2,0)</f>
        <v>690622</v>
      </c>
      <c r="D44" s="345">
        <f t="shared" ref="D44:D46" si="7">IF(B44,C44/B44,0)</f>
        <v>1713.7022332506203</v>
      </c>
      <c r="E44" s="349">
        <f>VLOOKUP(A44,[13]進出口值表查詢結果!$A$4:$C$56,3,0)</f>
        <v>1869</v>
      </c>
      <c r="F44" s="346">
        <f t="shared" ref="F44:F46" si="8">E44/$E$64</f>
        <v>5.5666418466120623E-3</v>
      </c>
      <c r="G44" s="349">
        <f>VLOOKUP(A44,[13]進出口值表查詢結果!$A$4:$C$56,2,0)</f>
        <v>3435778</v>
      </c>
      <c r="H44" s="347">
        <f>G44/$G$64</f>
        <v>5.1417078220801528E-3</v>
      </c>
      <c r="I44" s="337">
        <f t="shared" si="1"/>
        <v>1838.2974852862494</v>
      </c>
    </row>
    <row r="45" spans="1:9" ht="19.5">
      <c r="A45" s="348" t="s">
        <v>359</v>
      </c>
      <c r="B45" s="349">
        <v>0</v>
      </c>
      <c r="C45" s="349">
        <v>0</v>
      </c>
      <c r="D45" s="345">
        <f t="shared" si="7"/>
        <v>0</v>
      </c>
      <c r="E45" s="349">
        <v>0</v>
      </c>
      <c r="F45" s="346">
        <f t="shared" si="8"/>
        <v>0</v>
      </c>
      <c r="G45" s="349">
        <v>0</v>
      </c>
      <c r="H45" s="347">
        <f>G45/$G$64</f>
        <v>0</v>
      </c>
      <c r="I45" s="337">
        <f t="shared" si="1"/>
        <v>0</v>
      </c>
    </row>
    <row r="46" spans="1:9" ht="19.5">
      <c r="A46" s="350" t="s">
        <v>41</v>
      </c>
      <c r="B46" s="349">
        <v>0</v>
      </c>
      <c r="C46" s="349">
        <v>0</v>
      </c>
      <c r="D46" s="345">
        <f t="shared" si="7"/>
        <v>0</v>
      </c>
      <c r="E46" s="349">
        <v>0</v>
      </c>
      <c r="F46" s="346">
        <f t="shared" si="8"/>
        <v>0</v>
      </c>
      <c r="G46" s="349">
        <v>0</v>
      </c>
      <c r="H46" s="347">
        <f>G46/$G$64</f>
        <v>0</v>
      </c>
      <c r="I46" s="337">
        <f t="shared" si="1"/>
        <v>0</v>
      </c>
    </row>
    <row r="47" spans="1:9" ht="19.5">
      <c r="A47" s="350"/>
      <c r="B47" s="165"/>
      <c r="C47" s="166"/>
      <c r="D47" s="345"/>
      <c r="E47" s="165"/>
      <c r="F47" s="346"/>
      <c r="G47" s="166"/>
      <c r="H47" s="346"/>
      <c r="I47" s="337"/>
    </row>
    <row r="48" spans="1:9" ht="19.5">
      <c r="A48" s="353" t="s">
        <v>42</v>
      </c>
      <c r="B48" s="352">
        <f>SUM(B49:B62)</f>
        <v>3521</v>
      </c>
      <c r="C48" s="352">
        <f>SUM(C49:C62)</f>
        <v>8948358</v>
      </c>
      <c r="D48" s="345">
        <f t="shared" si="0"/>
        <v>2541.4251633058789</v>
      </c>
      <c r="E48" s="352">
        <f>SUM(E49:E62)</f>
        <v>41486</v>
      </c>
      <c r="F48" s="346">
        <f t="shared" ref="F48:F64" si="9">E48/$E$64</f>
        <v>0.12356217423678333</v>
      </c>
      <c r="G48" s="352">
        <f>SUM(G49:G62)</f>
        <v>93919256</v>
      </c>
      <c r="H48" s="347">
        <f t="shared" ref="H48:H64" si="10">G48/$G$64</f>
        <v>0.14055197198979338</v>
      </c>
      <c r="I48" s="337">
        <f t="shared" si="1"/>
        <v>2263.8783203972425</v>
      </c>
    </row>
    <row r="49" spans="1:9" ht="19.5">
      <c r="A49" s="348" t="s">
        <v>349</v>
      </c>
      <c r="B49" s="349">
        <f>VLOOKUP(A49,[12]進出口值表查詢結果!$A$10:$C$40,3,0)</f>
        <v>1488</v>
      </c>
      <c r="C49" s="349">
        <f>VLOOKUP(A49,[12]進出口值表查詢結果!$A$10:$C$40,2,0)</f>
        <v>3290048</v>
      </c>
      <c r="D49" s="345">
        <f t="shared" si="0"/>
        <v>2211.0537634408602</v>
      </c>
      <c r="E49" s="349">
        <f>VLOOKUP(A49,[13]進出口值表查詢結果!$A$4:$C$56,3,0)</f>
        <v>16983</v>
      </c>
      <c r="F49" s="346">
        <f t="shared" si="9"/>
        <v>5.0582278481012662E-2</v>
      </c>
      <c r="G49" s="349">
        <f>VLOOKUP(A49,[13]進出口值表查詢結果!$A$4:$C$56,2,0)</f>
        <v>35624650</v>
      </c>
      <c r="H49" s="347">
        <f t="shared" si="10"/>
        <v>5.331297352851893E-2</v>
      </c>
      <c r="I49" s="337">
        <f t="shared" si="1"/>
        <v>2097.6653123711949</v>
      </c>
    </row>
    <row r="50" spans="1:9" ht="19.5">
      <c r="A50" s="348" t="s">
        <v>360</v>
      </c>
      <c r="B50" s="349">
        <f>VLOOKUP(A50,[12]進出口值表查詢結果!$A$10:$C$40,3,0)</f>
        <v>217</v>
      </c>
      <c r="C50" s="349">
        <f>VLOOKUP(A50,[12]進出口值表查詢結果!$A$10:$C$40,2,0)</f>
        <v>195152</v>
      </c>
      <c r="D50" s="345">
        <f t="shared" ref="D50:D62" si="11">IF(B50,C50/B50,0)</f>
        <v>899.31797235023043</v>
      </c>
      <c r="E50" s="349">
        <f>VLOOKUP(A50,[13]進出口值表查詢結果!$A$4:$C$56,3,0)</f>
        <v>3720</v>
      </c>
      <c r="F50" s="346">
        <f t="shared" ref="F50:F62" si="12">E50/$E$64</f>
        <v>1.1079672375279225E-2</v>
      </c>
      <c r="G50" s="349">
        <f>VLOOKUP(A50,[13]進出口值表查詢結果!$A$4:$C$56,2,0)</f>
        <v>3702382</v>
      </c>
      <c r="H50" s="347">
        <f t="shared" si="10"/>
        <v>5.5406858329405334E-3</v>
      </c>
      <c r="I50" s="337">
        <f t="shared" si="1"/>
        <v>995.26397849462364</v>
      </c>
    </row>
    <row r="51" spans="1:9">
      <c r="A51" s="525" t="s">
        <v>339</v>
      </c>
      <c r="B51" s="349">
        <v>0</v>
      </c>
      <c r="C51" s="349">
        <v>0</v>
      </c>
      <c r="D51" s="345">
        <f t="shared" si="11"/>
        <v>0</v>
      </c>
      <c r="E51" s="349">
        <f>VLOOKUP(A51,[13]進出口值表查詢結果!$A$4:$C$56,3,0)</f>
        <v>118</v>
      </c>
      <c r="F51" s="346">
        <f t="shared" si="12"/>
        <v>3.5145197319434105E-4</v>
      </c>
      <c r="G51" s="349">
        <f>VLOOKUP(A51,[13]進出口值表查詢結果!$A$4:$C$56,2,0)</f>
        <v>292528</v>
      </c>
      <c r="H51" s="347">
        <f t="shared" si="10"/>
        <v>4.3777377519079022E-4</v>
      </c>
      <c r="I51" s="337">
        <f t="shared" si="1"/>
        <v>2479.0508474576272</v>
      </c>
    </row>
    <row r="52" spans="1:9" ht="19.5">
      <c r="A52" s="348" t="s">
        <v>361</v>
      </c>
      <c r="B52" s="349">
        <f>VLOOKUP(A52,[12]進出口值表查詢結果!$A$10:$C$40,3,0)</f>
        <v>367</v>
      </c>
      <c r="C52" s="349">
        <f>VLOOKUP(A52,[12]進出口值表查詢結果!$A$10:$C$40,2,0)</f>
        <v>1351865</v>
      </c>
      <c r="D52" s="345">
        <f t="shared" si="11"/>
        <v>3683.5558583106267</v>
      </c>
      <c r="E52" s="349">
        <f>VLOOKUP(A52,[13]進出口值表查詢結果!$A$4:$C$56,3,0)</f>
        <v>947</v>
      </c>
      <c r="F52" s="346">
        <f t="shared" si="12"/>
        <v>2.8205510052122114E-3</v>
      </c>
      <c r="G52" s="349">
        <f>VLOOKUP(A52,[13]進出口值表查詢結果!$A$4:$C$56,2,0)</f>
        <v>3282130</v>
      </c>
      <c r="H52" s="347">
        <f t="shared" si="10"/>
        <v>4.9117706365440173E-3</v>
      </c>
      <c r="I52" s="337">
        <f t="shared" si="1"/>
        <v>3465.8183738120379</v>
      </c>
    </row>
    <row r="53" spans="1:9" ht="19.5">
      <c r="A53" s="350" t="s">
        <v>46</v>
      </c>
      <c r="B53" s="349">
        <f>VLOOKUP(A53,[12]進出口值表查詢結果!$A$10:$C$40,3,0)</f>
        <v>96</v>
      </c>
      <c r="C53" s="349">
        <f>VLOOKUP(A53,[12]進出口值表查詢結果!$A$10:$C$40,2,0)</f>
        <v>300893</v>
      </c>
      <c r="D53" s="345">
        <f t="shared" si="11"/>
        <v>3134.3020833333335</v>
      </c>
      <c r="E53" s="349">
        <f>VLOOKUP(A53,[13]進出口值表查詢結果!$A$4:$C$56,3,0)</f>
        <v>834</v>
      </c>
      <c r="F53" s="346">
        <f t="shared" si="12"/>
        <v>2.4839910647803426E-3</v>
      </c>
      <c r="G53" s="349">
        <f>VLOOKUP(A53,[13]進出口值表查詢結果!$A$4:$C$56,2,0)</f>
        <v>2565203</v>
      </c>
      <c r="H53" s="347">
        <f t="shared" si="10"/>
        <v>3.8388755997399928E-3</v>
      </c>
      <c r="I53" s="337">
        <f t="shared" si="1"/>
        <v>3075.7829736211033</v>
      </c>
    </row>
    <row r="54" spans="1:9" ht="19.5">
      <c r="A54" s="348" t="s">
        <v>362</v>
      </c>
      <c r="B54" s="349">
        <f>VLOOKUP(A54,[12]進出口值表查詢結果!$A$10:$C$40,3,0)</f>
        <v>181</v>
      </c>
      <c r="C54" s="349">
        <f>VLOOKUP(A54,[12]進出口值表查詢結果!$A$10:$C$40,2,0)</f>
        <v>572313</v>
      </c>
      <c r="D54" s="345">
        <f t="shared" si="11"/>
        <v>3161.9502762430939</v>
      </c>
      <c r="E54" s="349">
        <f>VLOOKUP(A54,[13]進出口值表查詢結果!$A$4:$C$56,3,0)</f>
        <v>1461</v>
      </c>
      <c r="F54" s="346">
        <f t="shared" si="12"/>
        <v>4.3514519731943412E-3</v>
      </c>
      <c r="G54" s="349">
        <f>VLOOKUP(A54,[13]進出口值表查詢結果!$A$4:$C$56,2,0)</f>
        <v>4630010</v>
      </c>
      <c r="H54" s="347">
        <f t="shared" si="10"/>
        <v>6.928898966495893E-3</v>
      </c>
      <c r="I54" s="337">
        <f t="shared" si="1"/>
        <v>3169.069130732375</v>
      </c>
    </row>
    <row r="55" spans="1:9" ht="19.5">
      <c r="A55" s="350" t="s">
        <v>48</v>
      </c>
      <c r="B55" s="349">
        <f>VLOOKUP(A55,[12]進出口值表查詢結果!$A$10:$C$40,3,0)</f>
        <v>249</v>
      </c>
      <c r="C55" s="349">
        <f>VLOOKUP(A55,[12]進出口值表查詢結果!$A$10:$C$40,2,0)</f>
        <v>697257</v>
      </c>
      <c r="D55" s="345">
        <f t="shared" si="11"/>
        <v>2800.2289156626507</v>
      </c>
      <c r="E55" s="349">
        <f>VLOOKUP(A55,[13]進出口值表查詢結果!$A$4:$C$56,3,0)</f>
        <v>8277</v>
      </c>
      <c r="F55" s="346">
        <f t="shared" si="12"/>
        <v>2.4652271034996277E-2</v>
      </c>
      <c r="G55" s="349">
        <f>VLOOKUP(A55,[13]進出口值表查詢結果!$A$4:$C$56,2,0)</f>
        <v>19793393</v>
      </c>
      <c r="H55" s="347">
        <f t="shared" si="10"/>
        <v>2.9621193107822023E-2</v>
      </c>
      <c r="I55" s="337">
        <f t="shared" si="1"/>
        <v>2391.3728404011117</v>
      </c>
    </row>
    <row r="56" spans="1:9" ht="19.5">
      <c r="A56" s="350" t="s">
        <v>49</v>
      </c>
      <c r="B56" s="349">
        <v>0</v>
      </c>
      <c r="C56" s="349">
        <v>0</v>
      </c>
      <c r="D56" s="345">
        <f t="shared" si="11"/>
        <v>0</v>
      </c>
      <c r="E56" s="349">
        <f>VLOOKUP(A56,[13]進出口值表查詢結果!$A$4:$C$56,3,0)</f>
        <v>716</v>
      </c>
      <c r="F56" s="346">
        <f t="shared" si="12"/>
        <v>2.1325390915860015E-3</v>
      </c>
      <c r="G56" s="349">
        <f>VLOOKUP(A56,[13]進出口值表查詢結果!$A$4:$C$56,2,0)</f>
        <v>1979866</v>
      </c>
      <c r="H56" s="347">
        <f t="shared" si="10"/>
        <v>2.9629075274568216E-3</v>
      </c>
      <c r="I56" s="337">
        <f t="shared" si="1"/>
        <v>2765.1759776536314</v>
      </c>
    </row>
    <row r="57" spans="1:9" ht="19.5">
      <c r="A57" s="350" t="s">
        <v>50</v>
      </c>
      <c r="B57" s="349">
        <v>0</v>
      </c>
      <c r="C57" s="349">
        <v>0</v>
      </c>
      <c r="D57" s="345">
        <f t="shared" si="11"/>
        <v>0</v>
      </c>
      <c r="E57" s="349">
        <f>VLOOKUP(A57,[13]進出口值表查詢結果!$A$4:$C$56,3,0)</f>
        <v>195</v>
      </c>
      <c r="F57" s="346">
        <f t="shared" si="12"/>
        <v>5.8078927773641098E-4</v>
      </c>
      <c r="G57" s="349">
        <f>VLOOKUP(A57,[13]進出口值表查詢結果!$A$4:$C$56,2,0)</f>
        <v>417316</v>
      </c>
      <c r="H57" s="347">
        <f t="shared" si="10"/>
        <v>6.2452141595854013E-4</v>
      </c>
      <c r="I57" s="337">
        <f t="shared" si="1"/>
        <v>2140.0820512820515</v>
      </c>
    </row>
    <row r="58" spans="1:9">
      <c r="A58" s="524" t="s">
        <v>338</v>
      </c>
      <c r="B58" s="349">
        <f>VLOOKUP(A58,[12]進出口值表查詢結果!$A$10:$C$40,3,0)</f>
        <v>23</v>
      </c>
      <c r="C58" s="349">
        <f>VLOOKUP(A58,[12]進出口值表查詢結果!$A$10:$C$40,2,0)</f>
        <v>70941</v>
      </c>
      <c r="D58" s="345">
        <f t="shared" si="11"/>
        <v>3084.391304347826</v>
      </c>
      <c r="E58" s="349">
        <f>VLOOKUP(A58,[13]進出口值表查詢結果!$A$4:$C$56,3,0)</f>
        <v>260</v>
      </c>
      <c r="F58" s="346">
        <f t="shared" si="12"/>
        <v>7.74385703648548E-4</v>
      </c>
      <c r="G58" s="349">
        <f>VLOOKUP(A58,[13]進出口值表查詢結果!$A$4:$C$56,2,0)</f>
        <v>815624</v>
      </c>
      <c r="H58" s="347">
        <f t="shared" si="10"/>
        <v>1.2205969945311666E-3</v>
      </c>
      <c r="I58" s="337">
        <f t="shared" si="1"/>
        <v>3137.0153846153844</v>
      </c>
    </row>
    <row r="59" spans="1:9" ht="19.5">
      <c r="A59" s="350" t="s">
        <v>51</v>
      </c>
      <c r="B59" s="349">
        <v>0</v>
      </c>
      <c r="C59" s="349">
        <v>0</v>
      </c>
      <c r="D59" s="345">
        <f t="shared" si="11"/>
        <v>0</v>
      </c>
      <c r="E59" s="349">
        <v>0</v>
      </c>
      <c r="F59" s="346">
        <f t="shared" si="12"/>
        <v>0</v>
      </c>
      <c r="G59" s="349">
        <v>0</v>
      </c>
      <c r="H59" s="347">
        <f t="shared" si="10"/>
        <v>0</v>
      </c>
      <c r="I59" s="337">
        <f t="shared" si="1"/>
        <v>0</v>
      </c>
    </row>
    <row r="60" spans="1:9" ht="19.5">
      <c r="A60" s="350" t="s">
        <v>52</v>
      </c>
      <c r="B60" s="349">
        <v>0</v>
      </c>
      <c r="C60" s="349">
        <v>0</v>
      </c>
      <c r="D60" s="345">
        <f t="shared" si="11"/>
        <v>0</v>
      </c>
      <c r="E60" s="349">
        <v>0</v>
      </c>
      <c r="F60" s="346">
        <f t="shared" si="12"/>
        <v>0</v>
      </c>
      <c r="G60" s="349">
        <v>0</v>
      </c>
      <c r="H60" s="347">
        <f t="shared" si="10"/>
        <v>0</v>
      </c>
      <c r="I60" s="337">
        <f t="shared" si="1"/>
        <v>0</v>
      </c>
    </row>
    <row r="61" spans="1:9" ht="19.5">
      <c r="A61" s="350" t="s">
        <v>53</v>
      </c>
      <c r="B61" s="349">
        <f>VLOOKUP(A61,[12]進出口值表查詢結果!$A$10:$C$40,3,0)</f>
        <v>432</v>
      </c>
      <c r="C61" s="349">
        <f>VLOOKUP(A61,[12]進出口值表查詢結果!$A$10:$C$40,2,0)</f>
        <v>1003509</v>
      </c>
      <c r="D61" s="345">
        <f t="shared" si="11"/>
        <v>2322.9375</v>
      </c>
      <c r="E61" s="349">
        <f>VLOOKUP(A61,[13]進出口值表查詢結果!$A$4:$C$56,3,0)</f>
        <v>5356</v>
      </c>
      <c r="F61" s="346">
        <f t="shared" si="12"/>
        <v>1.595234549516009E-2</v>
      </c>
      <c r="G61" s="349">
        <f>VLOOKUP(A61,[13]進出口值表查詢結果!$A$4:$C$56,2,0)</f>
        <v>13115156</v>
      </c>
      <c r="H61" s="347">
        <f t="shared" si="10"/>
        <v>1.9627083063283323E-2</v>
      </c>
      <c r="I61" s="337">
        <f t="shared" si="1"/>
        <v>2448.6848394324124</v>
      </c>
    </row>
    <row r="62" spans="1:9">
      <c r="A62" s="524" t="s">
        <v>336</v>
      </c>
      <c r="B62" s="349">
        <f>VLOOKUP(A62,[12]進出口值表查詢結果!$A$10:$C$40,3,0)</f>
        <v>468</v>
      </c>
      <c r="C62" s="349">
        <f>VLOOKUP(A62,[12]進出口值表查詢結果!$A$10:$C$40,2,0)</f>
        <v>1466380</v>
      </c>
      <c r="D62" s="345">
        <f t="shared" si="11"/>
        <v>3133.2905982905982</v>
      </c>
      <c r="E62" s="349">
        <f>VLOOKUP(A62,[13]進出口值表查詢結果!$A$4:$C$56,3,0)</f>
        <v>2619</v>
      </c>
      <c r="F62" s="346">
        <f t="shared" si="12"/>
        <v>7.8004467609828739E-3</v>
      </c>
      <c r="G62" s="349">
        <f>VLOOKUP(A62,[13]進出口值表查詢結果!$A$4:$C$56,2,0)</f>
        <v>7700998</v>
      </c>
      <c r="H62" s="347">
        <f t="shared" si="10"/>
        <v>1.1524691541311345E-2</v>
      </c>
      <c r="I62" s="337">
        <f t="shared" si="1"/>
        <v>2940.4345169912181</v>
      </c>
    </row>
    <row r="63" spans="1:9" ht="19.5">
      <c r="A63" s="350" t="s">
        <v>56</v>
      </c>
      <c r="B63" s="349">
        <f>B64-B48-B42-B13-B8</f>
        <v>366</v>
      </c>
      <c r="C63" s="165">
        <f>C64-C48-C42-C13-C8</f>
        <v>1236874</v>
      </c>
      <c r="D63" s="345">
        <f t="shared" si="0"/>
        <v>3379.4371584699452</v>
      </c>
      <c r="E63" s="165">
        <f>E64-E48-E42-E13-E8</f>
        <v>2907</v>
      </c>
      <c r="F63" s="346">
        <f t="shared" si="9"/>
        <v>8.6582278481012655E-3</v>
      </c>
      <c r="G63" s="165">
        <f>G64-G48-G42-G13-G8</f>
        <v>8807893</v>
      </c>
      <c r="H63" s="347">
        <f t="shared" si="10"/>
        <v>1.3181181186370313E-2</v>
      </c>
      <c r="I63" s="337">
        <f t="shared" si="1"/>
        <v>3029.8909528723771</v>
      </c>
    </row>
    <row r="64" spans="1:9" ht="19.5">
      <c r="A64" s="351" t="s">
        <v>398</v>
      </c>
      <c r="B64" s="349">
        <f>VLOOKUP(A64,[12]進出口值表查詢結果!$A$10:$C$40,3,0)</f>
        <v>23602</v>
      </c>
      <c r="C64" s="349">
        <f>VLOOKUP(A64,[12]進出口值表查詢結果!$A$10:$C$40,2,0)</f>
        <v>46564119</v>
      </c>
      <c r="D64" s="345">
        <f t="shared" ref="D64" si="13">C64/B64</f>
        <v>1972.888695873231</v>
      </c>
      <c r="E64" s="349">
        <f>VLOOKUP(A64,[13]進出口值表查詢結果!$A$4:$C$56,3,0)</f>
        <v>335750</v>
      </c>
      <c r="F64" s="346">
        <f t="shared" si="9"/>
        <v>1</v>
      </c>
      <c r="G64" s="349">
        <f>VLOOKUP(A64,[13]進出口值表查詢結果!$A$4:$C$56,2,0)</f>
        <v>668217277</v>
      </c>
      <c r="H64" s="347">
        <f t="shared" si="10"/>
        <v>1</v>
      </c>
      <c r="I64" s="337">
        <f t="shared" ref="I64" si="14">G64/E64</f>
        <v>1990.222716306776</v>
      </c>
    </row>
    <row r="65" spans="1:9" ht="20.25" customHeight="1">
      <c r="A65" s="354" t="s">
        <v>75</v>
      </c>
      <c r="B65" s="3"/>
      <c r="C65" s="58"/>
      <c r="D65" s="59"/>
      <c r="E65" s="3"/>
      <c r="F65" s="3"/>
      <c r="G65" s="3"/>
      <c r="H65" s="3"/>
      <c r="I65" s="59"/>
    </row>
    <row r="66" spans="1:9" ht="18">
      <c r="A66" s="355" t="s">
        <v>60</v>
      </c>
      <c r="B66" s="61"/>
      <c r="C66" s="62"/>
      <c r="D66" s="63"/>
      <c r="E66" s="61"/>
      <c r="F66" s="62"/>
      <c r="G66" s="64"/>
      <c r="H66" s="60"/>
      <c r="I66" s="65"/>
    </row>
  </sheetData>
  <mergeCells count="2">
    <mergeCell ref="A3:I3"/>
    <mergeCell ref="A4:I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workbookViewId="0">
      <selection activeCell="A2" sqref="A2"/>
    </sheetView>
  </sheetViews>
  <sheetFormatPr defaultRowHeight="16.5"/>
  <cols>
    <col min="1" max="1" width="17" customWidth="1"/>
    <col min="2" max="2" width="12.875" customWidth="1"/>
    <col min="3" max="3" width="13.5" customWidth="1"/>
    <col min="4" max="4" width="13" customWidth="1"/>
    <col min="5" max="5" width="16.5" customWidth="1"/>
    <col min="6" max="6" width="16" customWidth="1"/>
    <col min="7" max="7" width="13.5" customWidth="1"/>
    <col min="8" max="8" width="14.125" customWidth="1"/>
    <col min="9" max="9" width="14.375" customWidth="1"/>
    <col min="10" max="10" width="11.5" customWidth="1"/>
  </cols>
  <sheetData>
    <row r="1" spans="1:10" ht="18.75">
      <c r="A1" s="772" t="s">
        <v>516</v>
      </c>
      <c r="B1" s="772"/>
      <c r="C1" s="772"/>
      <c r="D1" s="772"/>
      <c r="E1" s="772"/>
      <c r="F1" s="772"/>
      <c r="G1" s="772"/>
      <c r="H1" s="772"/>
      <c r="I1" s="772"/>
      <c r="J1" s="772"/>
    </row>
    <row r="2" spans="1:10" ht="10.5" customHeight="1">
      <c r="A2" s="3"/>
      <c r="B2" s="4"/>
      <c r="C2" s="365"/>
      <c r="D2" s="366"/>
      <c r="E2" s="4"/>
      <c r="F2" s="367"/>
      <c r="G2" s="368"/>
      <c r="H2" s="4"/>
      <c r="I2" s="4"/>
      <c r="J2" s="4"/>
    </row>
    <row r="3" spans="1:10">
      <c r="A3" s="773" t="s">
        <v>266</v>
      </c>
      <c r="B3" s="774"/>
      <c r="C3" s="774"/>
      <c r="D3" s="774"/>
      <c r="E3" s="774"/>
      <c r="F3" s="774"/>
      <c r="G3" s="774"/>
      <c r="H3" s="774"/>
      <c r="I3" s="774"/>
      <c r="J3" s="775"/>
    </row>
    <row r="4" spans="1:10">
      <c r="A4" s="776" t="s">
        <v>311</v>
      </c>
      <c r="B4" s="777"/>
      <c r="C4" s="777"/>
      <c r="D4" s="777"/>
      <c r="E4" s="777"/>
      <c r="F4" s="777"/>
      <c r="G4" s="777"/>
      <c r="H4" s="777"/>
      <c r="I4" s="777"/>
      <c r="J4" s="778"/>
    </row>
    <row r="5" spans="1:10">
      <c r="A5" s="75" t="s">
        <v>512</v>
      </c>
      <c r="B5" s="6" t="s">
        <v>497</v>
      </c>
      <c r="C5" s="76" t="s">
        <v>500</v>
      </c>
      <c r="D5" s="77" t="s">
        <v>61</v>
      </c>
      <c r="E5" s="6" t="s">
        <v>497</v>
      </c>
      <c r="F5" s="76" t="s">
        <v>500</v>
      </c>
      <c r="G5" s="78" t="s">
        <v>411</v>
      </c>
      <c r="H5" s="6" t="s">
        <v>497</v>
      </c>
      <c r="I5" s="76" t="s">
        <v>500</v>
      </c>
      <c r="J5" s="78" t="s">
        <v>411</v>
      </c>
    </row>
    <row r="6" spans="1:10">
      <c r="A6" s="12"/>
      <c r="B6" s="6" t="s">
        <v>62</v>
      </c>
      <c r="C6" s="369" t="s">
        <v>62</v>
      </c>
      <c r="D6" s="80" t="s">
        <v>2</v>
      </c>
      <c r="E6" s="81" t="s">
        <v>63</v>
      </c>
      <c r="F6" s="370" t="s">
        <v>63</v>
      </c>
      <c r="G6" s="80" t="s">
        <v>2</v>
      </c>
      <c r="H6" s="82" t="s">
        <v>64</v>
      </c>
      <c r="I6" s="83" t="s">
        <v>65</v>
      </c>
      <c r="J6" s="80" t="s">
        <v>2</v>
      </c>
    </row>
    <row r="7" spans="1:10">
      <c r="A7" s="84" t="s">
        <v>6</v>
      </c>
      <c r="B7" s="16"/>
      <c r="C7" s="371"/>
      <c r="D7" s="372"/>
      <c r="E7" s="16"/>
      <c r="F7" s="373"/>
      <c r="G7" s="374"/>
      <c r="H7" s="87"/>
      <c r="I7" s="88"/>
      <c r="J7" s="375"/>
    </row>
    <row r="8" spans="1:10">
      <c r="A8" s="84" t="s">
        <v>7</v>
      </c>
      <c r="B8" s="376">
        <f>SUM(B9:B11)</f>
        <v>98064</v>
      </c>
      <c r="C8" s="377">
        <f>SUM(C9:C11)</f>
        <v>111093</v>
      </c>
      <c r="D8" s="627">
        <f t="shared" ref="D8:D64" si="0">IF(C8,(B8-C8)/C8,0)</f>
        <v>-0.11728011665901542</v>
      </c>
      <c r="E8" s="376">
        <f>SUM(E9:E11)</f>
        <v>225497379</v>
      </c>
      <c r="F8" s="93">
        <f>SUM(F9:F11)</f>
        <v>231077579</v>
      </c>
      <c r="G8" s="627">
        <f t="shared" ref="G8:G64" si="1">IF(F8,(E8-F8)/F8,0)</f>
        <v>-2.4148599895102763E-2</v>
      </c>
      <c r="H8" s="91">
        <f>IF(B8,E8/B8,0)</f>
        <v>2299.4919542339699</v>
      </c>
      <c r="I8" s="92">
        <f>IF(C8,F8/C8,0)</f>
        <v>2080.0372570729028</v>
      </c>
      <c r="J8" s="613">
        <f t="shared" ref="J8:J64" si="2">IF(I8,(H8-I8)/I8,0)</f>
        <v>0.10550517612837906</v>
      </c>
    </row>
    <row r="9" spans="1:10">
      <c r="A9" s="24" t="s">
        <v>340</v>
      </c>
      <c r="B9" s="378">
        <f>電動輔助自行車!E9</f>
        <v>87561</v>
      </c>
      <c r="C9" s="93">
        <f>VLOOKUP(A9,[14]進出口值表查詢結果!$A$3:$C$58,3,0)</f>
        <v>98267</v>
      </c>
      <c r="D9" s="627">
        <f t="shared" si="0"/>
        <v>-0.10894807005403645</v>
      </c>
      <c r="E9" s="379">
        <f>電動輔助自行車!G9</f>
        <v>199498752</v>
      </c>
      <c r="F9" s="95">
        <f>VLOOKUP(A9,[14]進出口值表查詢結果!$A$3:$C$58,2,0)</f>
        <v>205109527</v>
      </c>
      <c r="G9" s="627">
        <f t="shared" si="1"/>
        <v>-2.735501896018706E-2</v>
      </c>
      <c r="H9" s="91">
        <f t="shared" ref="H9:H11" si="3">IF(B9,E9/B9,0)</f>
        <v>2278.3973686915406</v>
      </c>
      <c r="I9" s="92">
        <f t="shared" ref="I9:I11" si="4">IF(C9,F9/C9,0)</f>
        <v>2087.2676178167644</v>
      </c>
      <c r="J9" s="613">
        <f t="shared" si="2"/>
        <v>9.1569355670210434E-2</v>
      </c>
    </row>
    <row r="10" spans="1:10">
      <c r="A10" s="29" t="s">
        <v>8</v>
      </c>
      <c r="B10" s="378">
        <f>電動輔助自行車!E10</f>
        <v>8543</v>
      </c>
      <c r="C10" s="93">
        <f>VLOOKUP(A10,[14]進出口值表查詢結果!$A$3:$C$58,3,0)</f>
        <v>12324</v>
      </c>
      <c r="D10" s="627">
        <f t="shared" si="0"/>
        <v>-0.30679974034404411</v>
      </c>
      <c r="E10" s="379">
        <f>電動輔助自行車!G10</f>
        <v>20334163</v>
      </c>
      <c r="F10" s="95">
        <f>VLOOKUP(A10,[14]進出口值表查詢結果!$A$3:$C$58,2,0)</f>
        <v>24879520</v>
      </c>
      <c r="G10" s="627">
        <f t="shared" si="1"/>
        <v>-0.18269472240622006</v>
      </c>
      <c r="H10" s="91">
        <f t="shared" si="3"/>
        <v>2380.2133910804168</v>
      </c>
      <c r="I10" s="92">
        <f t="shared" si="4"/>
        <v>2018.7861084063616</v>
      </c>
      <c r="J10" s="613">
        <f t="shared" si="2"/>
        <v>0.17903198420528441</v>
      </c>
    </row>
    <row r="11" spans="1:10">
      <c r="A11" s="29" t="s">
        <v>9</v>
      </c>
      <c r="B11" s="378">
        <f>電動輔助自行車!E11</f>
        <v>1960</v>
      </c>
      <c r="C11" s="93">
        <f>VLOOKUP(A11,[14]進出口值表查詢結果!$A$3:$C$58,3,0)</f>
        <v>502</v>
      </c>
      <c r="D11" s="627">
        <f t="shared" si="0"/>
        <v>2.904382470119522</v>
      </c>
      <c r="E11" s="379">
        <f>電動輔助自行車!G11</f>
        <v>5664464</v>
      </c>
      <c r="F11" s="95">
        <f>VLOOKUP(A11,[14]進出口值表查詢結果!$A$3:$C$58,2,0)</f>
        <v>1088532</v>
      </c>
      <c r="G11" s="627">
        <f t="shared" si="1"/>
        <v>4.2037643358210879</v>
      </c>
      <c r="H11" s="91">
        <f t="shared" si="3"/>
        <v>2890.0326530612247</v>
      </c>
      <c r="I11" s="92">
        <f t="shared" si="4"/>
        <v>2168.3904382470118</v>
      </c>
      <c r="J11" s="613">
        <f t="shared" si="2"/>
        <v>0.33280086560315625</v>
      </c>
    </row>
    <row r="12" spans="1:10">
      <c r="A12" s="29"/>
      <c r="B12" s="378"/>
      <c r="C12" s="380"/>
      <c r="D12" s="627"/>
      <c r="E12" s="379"/>
      <c r="F12" s="95"/>
      <c r="G12" s="627"/>
      <c r="H12" s="91"/>
      <c r="I12" s="92"/>
      <c r="J12" s="613"/>
    </row>
    <row r="13" spans="1:10">
      <c r="A13" s="30" t="s">
        <v>10</v>
      </c>
      <c r="B13" s="381">
        <f>SUM(B14:B40)</f>
        <v>189953</v>
      </c>
      <c r="C13" s="380">
        <f>SUM(C14:C40)</f>
        <v>194010</v>
      </c>
      <c r="D13" s="627">
        <f t="shared" si="0"/>
        <v>-2.0911293232307612E-2</v>
      </c>
      <c r="E13" s="381">
        <f>SUM(E14:E40)</f>
        <v>333174187</v>
      </c>
      <c r="F13" s="95">
        <f>SUM(F14:F40)</f>
        <v>325448155</v>
      </c>
      <c r="G13" s="627">
        <f t="shared" si="1"/>
        <v>2.3739670608979177E-2</v>
      </c>
      <c r="H13" s="91">
        <f t="shared" ref="H13:H63" si="5">IF(B13,E13/B13,0)</f>
        <v>1753.9822324469737</v>
      </c>
      <c r="I13" s="92">
        <f t="shared" ref="I13:I63" si="6">IF(C13,F13/C13,0)</f>
        <v>1677.4813411679811</v>
      </c>
      <c r="J13" s="613">
        <f t="shared" si="2"/>
        <v>4.5604615325096437E-2</v>
      </c>
    </row>
    <row r="14" spans="1:10">
      <c r="A14" s="24" t="s">
        <v>365</v>
      </c>
      <c r="B14" s="378">
        <f>電動輔助自行車!E14</f>
        <v>120834</v>
      </c>
      <c r="C14" s="93">
        <f>VLOOKUP(A14,[14]進出口值表查詢結果!$A$3:$C$58,3,0)</f>
        <v>114996</v>
      </c>
      <c r="D14" s="627">
        <f t="shared" si="0"/>
        <v>5.0766983199415631E-2</v>
      </c>
      <c r="E14" s="379">
        <f>電動輔助自行車!G14</f>
        <v>224417564</v>
      </c>
      <c r="F14" s="95">
        <f>VLOOKUP(A14,[14]進出口值表查詢結果!$A$3:$C$58,2,0)</f>
        <v>202886172</v>
      </c>
      <c r="G14" s="627">
        <f t="shared" si="1"/>
        <v>0.10612547808334616</v>
      </c>
      <c r="H14" s="91">
        <f t="shared" si="5"/>
        <v>1857.2385586838141</v>
      </c>
      <c r="I14" s="92">
        <f t="shared" si="6"/>
        <v>1764.288949180841</v>
      </c>
      <c r="J14" s="613">
        <f t="shared" si="2"/>
        <v>5.2683892593744112E-2</v>
      </c>
    </row>
    <row r="15" spans="1:10">
      <c r="A15" s="24" t="s">
        <v>366</v>
      </c>
      <c r="B15" s="378">
        <f>電動輔助自行車!E15</f>
        <v>32854</v>
      </c>
      <c r="C15" s="93">
        <f>VLOOKUP(A15,[14]進出口值表查詢結果!$A$3:$C$58,3,0)</f>
        <v>34903</v>
      </c>
      <c r="D15" s="627">
        <f t="shared" si="0"/>
        <v>-5.8705555396384265E-2</v>
      </c>
      <c r="E15" s="379">
        <f>電動輔助自行車!G15</f>
        <v>43592360</v>
      </c>
      <c r="F15" s="95">
        <f>VLOOKUP(A15,[14]進出口值表查詢結果!$A$3:$C$58,2,0)</f>
        <v>45918313</v>
      </c>
      <c r="G15" s="627">
        <f t="shared" si="1"/>
        <v>-5.0654147507553253E-2</v>
      </c>
      <c r="H15" s="91">
        <f t="shared" si="5"/>
        <v>1326.8509161745906</v>
      </c>
      <c r="I15" s="92">
        <f t="shared" si="6"/>
        <v>1315.5978855685757</v>
      </c>
      <c r="J15" s="613">
        <f t="shared" si="2"/>
        <v>8.5535487168645584E-3</v>
      </c>
    </row>
    <row r="16" spans="1:10">
      <c r="A16" s="29" t="s">
        <v>13</v>
      </c>
      <c r="B16" s="378">
        <f>電動輔助自行車!E16</f>
        <v>8236</v>
      </c>
      <c r="C16" s="93">
        <f>VLOOKUP(A16,[14]進出口值表查詢結果!$A$3:$C$58,3,0)</f>
        <v>8134</v>
      </c>
      <c r="D16" s="627">
        <f t="shared" si="0"/>
        <v>1.2539955741332678E-2</v>
      </c>
      <c r="E16" s="379">
        <f>電動輔助自行車!G16</f>
        <v>19341380</v>
      </c>
      <c r="F16" s="95">
        <f>VLOOKUP(A16,[14]進出口值表查詢結果!$A$3:$C$58,2,0)</f>
        <v>16725409</v>
      </c>
      <c r="G16" s="627">
        <f t="shared" si="1"/>
        <v>0.15640699728180041</v>
      </c>
      <c r="H16" s="91">
        <f t="shared" si="5"/>
        <v>2348.3948518698398</v>
      </c>
      <c r="I16" s="92">
        <f t="shared" si="6"/>
        <v>2056.234202114581</v>
      </c>
      <c r="J16" s="613">
        <f t="shared" si="2"/>
        <v>0.14208529818967508</v>
      </c>
    </row>
    <row r="17" spans="1:10">
      <c r="A17" s="24" t="s">
        <v>368</v>
      </c>
      <c r="B17" s="378">
        <f>電動輔助自行車!E17</f>
        <v>9332</v>
      </c>
      <c r="C17" s="93">
        <f>VLOOKUP(A17,[14]進出口值表查詢結果!$A$3:$C$58,3,0)</f>
        <v>7778</v>
      </c>
      <c r="D17" s="627">
        <f t="shared" si="0"/>
        <v>0.19979429159166881</v>
      </c>
      <c r="E17" s="379">
        <f>電動輔助自行車!G17</f>
        <v>13060496</v>
      </c>
      <c r="F17" s="95">
        <f>VLOOKUP(A17,[14]進出口值表查詢結果!$A$3:$C$58,2,0)</f>
        <v>11483362</v>
      </c>
      <c r="G17" s="627">
        <f t="shared" si="1"/>
        <v>0.13734078922183243</v>
      </c>
      <c r="H17" s="91">
        <f t="shared" si="5"/>
        <v>1399.5387912558938</v>
      </c>
      <c r="I17" s="92">
        <f t="shared" si="6"/>
        <v>1476.3900745692981</v>
      </c>
      <c r="J17" s="613">
        <f t="shared" si="2"/>
        <v>-5.2053508511850352E-2</v>
      </c>
    </row>
    <row r="18" spans="1:10">
      <c r="A18" s="29" t="s">
        <v>16</v>
      </c>
      <c r="B18" s="378">
        <f>電動輔助自行車!E18</f>
        <v>8025</v>
      </c>
      <c r="C18" s="93">
        <f>VLOOKUP(A18,[14]進出口值表查詢結果!$A$3:$C$58,3,0)</f>
        <v>8838</v>
      </c>
      <c r="D18" s="627">
        <f t="shared" si="0"/>
        <v>-9.1989137813985059E-2</v>
      </c>
      <c r="E18" s="379">
        <f>電動輔助自行車!G18</f>
        <v>19744072</v>
      </c>
      <c r="F18" s="95">
        <f>VLOOKUP(A18,[14]進出口值表查詢結果!$A$3:$C$58,2,0)</f>
        <v>19394579</v>
      </c>
      <c r="G18" s="627">
        <f t="shared" si="1"/>
        <v>1.8020138513963103E-2</v>
      </c>
      <c r="H18" s="91">
        <f t="shared" si="5"/>
        <v>2460.3204984423678</v>
      </c>
      <c r="I18" s="92">
        <f t="shared" si="6"/>
        <v>2194.4533831183526</v>
      </c>
      <c r="J18" s="613">
        <f t="shared" si="2"/>
        <v>0.12115414133163946</v>
      </c>
    </row>
    <row r="19" spans="1:10">
      <c r="A19" s="29" t="s">
        <v>17</v>
      </c>
      <c r="B19" s="378">
        <f>電動輔助自行車!E19</f>
        <v>1361</v>
      </c>
      <c r="C19" s="93">
        <f>VLOOKUP(A19,[14]進出口值表查詢結果!$A$3:$C$58,3,0)</f>
        <v>1279</v>
      </c>
      <c r="D19" s="627">
        <f t="shared" si="0"/>
        <v>6.4112587959343242E-2</v>
      </c>
      <c r="E19" s="379">
        <f>電動輔助自行車!G19</f>
        <v>3492523</v>
      </c>
      <c r="F19" s="95">
        <f>VLOOKUP(A19,[14]進出口值表查詢結果!$A$3:$C$58,2,0)</f>
        <v>3355365</v>
      </c>
      <c r="G19" s="627">
        <f t="shared" si="1"/>
        <v>4.0877222001183176E-2</v>
      </c>
      <c r="H19" s="91">
        <f t="shared" si="5"/>
        <v>2566.1447465099191</v>
      </c>
      <c r="I19" s="92">
        <f t="shared" si="6"/>
        <v>2623.4284597341675</v>
      </c>
      <c r="J19" s="613">
        <f t="shared" si="2"/>
        <v>-2.1835439427249723E-2</v>
      </c>
    </row>
    <row r="20" spans="1:10">
      <c r="A20" s="24" t="s">
        <v>369</v>
      </c>
      <c r="B20" s="378">
        <f>電動輔助自行車!E20</f>
        <v>1860</v>
      </c>
      <c r="C20" s="93">
        <f>VLOOKUP(A20,[14]進出口值表查詢結果!$A$3:$C$58,3,0)</f>
        <v>2649</v>
      </c>
      <c r="D20" s="627">
        <f t="shared" si="0"/>
        <v>-0.29784824462061155</v>
      </c>
      <c r="E20" s="379">
        <f>電動輔助自行車!G20</f>
        <v>3594369</v>
      </c>
      <c r="F20" s="95">
        <f>VLOOKUP(A20,[14]進出口值表查詢結果!$A$3:$C$58,2,0)</f>
        <v>4475767</v>
      </c>
      <c r="G20" s="627">
        <f t="shared" si="1"/>
        <v>-0.19692669435205185</v>
      </c>
      <c r="H20" s="91">
        <f t="shared" si="5"/>
        <v>1932.4564516129033</v>
      </c>
      <c r="I20" s="92">
        <f t="shared" si="6"/>
        <v>1689.6062665156662</v>
      </c>
      <c r="J20" s="613">
        <f t="shared" si="2"/>
        <v>0.1437318207857069</v>
      </c>
    </row>
    <row r="21" spans="1:10">
      <c r="A21" s="29" t="s">
        <v>67</v>
      </c>
      <c r="B21" s="378">
        <f>電動輔助自行車!E21</f>
        <v>2</v>
      </c>
      <c r="C21" s="93">
        <f>VLOOKUP(A21,[14]進出口值表查詢結果!$A$3:$C$58,3,0)</f>
        <v>12</v>
      </c>
      <c r="D21" s="627">
        <f t="shared" si="0"/>
        <v>-0.83333333333333337</v>
      </c>
      <c r="E21" s="379">
        <f>電動輔助自行車!G21</f>
        <v>4813</v>
      </c>
      <c r="F21" s="95">
        <f>VLOOKUP(A21,[14]進出口值表查詢結果!$A$3:$C$58,2,0)</f>
        <v>9282</v>
      </c>
      <c r="G21" s="627">
        <f t="shared" si="1"/>
        <v>-0.4814695108812756</v>
      </c>
      <c r="H21" s="91">
        <f t="shared" si="5"/>
        <v>2406.5</v>
      </c>
      <c r="I21" s="92">
        <f t="shared" si="6"/>
        <v>773.5</v>
      </c>
      <c r="J21" s="613">
        <f t="shared" si="2"/>
        <v>2.1111829347123465</v>
      </c>
    </row>
    <row r="22" spans="1:10">
      <c r="A22" s="24" t="s">
        <v>370</v>
      </c>
      <c r="B22" s="378">
        <f>電動輔助自行車!E22</f>
        <v>0</v>
      </c>
      <c r="C22" s="93">
        <v>0</v>
      </c>
      <c r="D22" s="627">
        <f t="shared" si="0"/>
        <v>0</v>
      </c>
      <c r="E22" s="379">
        <f>電動輔助自行車!G22</f>
        <v>0</v>
      </c>
      <c r="F22" s="95">
        <f>_xlfn.IFNA(VLOOKUP(A22,[15]進出口值表查詢結果!$C$11:$J$887,3,0),-[4]整車!$B$22)</f>
        <v>0</v>
      </c>
      <c r="G22" s="627">
        <f t="shared" si="1"/>
        <v>0</v>
      </c>
      <c r="H22" s="91">
        <f t="shared" si="5"/>
        <v>0</v>
      </c>
      <c r="I22" s="92">
        <f t="shared" si="6"/>
        <v>0</v>
      </c>
      <c r="J22" s="613">
        <f t="shared" si="2"/>
        <v>0</v>
      </c>
    </row>
    <row r="23" spans="1:10">
      <c r="A23" s="29" t="s">
        <v>21</v>
      </c>
      <c r="B23" s="378">
        <f>電動輔助自行車!E23</f>
        <v>0</v>
      </c>
      <c r="C23" s="93">
        <f>VLOOKUP(A23,[14]進出口值表查詢結果!$A$3:$C$58,3,0)</f>
        <v>52</v>
      </c>
      <c r="D23" s="627">
        <f t="shared" si="0"/>
        <v>-1</v>
      </c>
      <c r="E23" s="379">
        <f>電動輔助自行車!G23</f>
        <v>0</v>
      </c>
      <c r="F23" s="95">
        <f>VLOOKUP(A23,[14]進出口值表查詢結果!$A$3:$C$58,2,0)</f>
        <v>62350</v>
      </c>
      <c r="G23" s="627">
        <f t="shared" si="1"/>
        <v>-1</v>
      </c>
      <c r="H23" s="91">
        <f t="shared" si="5"/>
        <v>0</v>
      </c>
      <c r="I23" s="92">
        <f t="shared" si="6"/>
        <v>1199.0384615384614</v>
      </c>
      <c r="J23" s="613">
        <f t="shared" si="2"/>
        <v>-1</v>
      </c>
    </row>
    <row r="24" spans="1:10">
      <c r="A24" s="29" t="s">
        <v>22</v>
      </c>
      <c r="B24" s="378">
        <f>電動輔助自行車!E24</f>
        <v>0</v>
      </c>
      <c r="C24" s="93">
        <v>0</v>
      </c>
      <c r="D24" s="627">
        <f t="shared" si="0"/>
        <v>0</v>
      </c>
      <c r="E24" s="379">
        <f>電動輔助自行車!G24</f>
        <v>0</v>
      </c>
      <c r="F24" s="95">
        <f>_xlfn.IFNA(VLOOKUP(A24,[15]進出口值表查詢結果!$C$11:$J$887,3,0),-[4]整車!$B$22)</f>
        <v>0</v>
      </c>
      <c r="G24" s="627">
        <f t="shared" si="1"/>
        <v>0</v>
      </c>
      <c r="H24" s="91">
        <f t="shared" si="5"/>
        <v>0</v>
      </c>
      <c r="I24" s="92">
        <f t="shared" si="6"/>
        <v>0</v>
      </c>
      <c r="J24" s="613">
        <f t="shared" si="2"/>
        <v>0</v>
      </c>
    </row>
    <row r="25" spans="1:10">
      <c r="A25" s="29" t="s">
        <v>23</v>
      </c>
      <c r="B25" s="378">
        <f>電動輔助自行車!E25</f>
        <v>4</v>
      </c>
      <c r="C25" s="93">
        <f>VLOOKUP(A25,[14]進出口值表查詢結果!$A$3:$C$58,3,0)</f>
        <v>223</v>
      </c>
      <c r="D25" s="627">
        <f t="shared" si="0"/>
        <v>-0.98206278026905824</v>
      </c>
      <c r="E25" s="379">
        <f>電動輔助自行車!G25</f>
        <v>14230</v>
      </c>
      <c r="F25" s="95">
        <f>VLOOKUP(A25,[14]進出口值表查詢結果!$A$3:$C$58,2,0)</f>
        <v>518810</v>
      </c>
      <c r="G25" s="627">
        <f t="shared" si="1"/>
        <v>-0.97257184711165934</v>
      </c>
      <c r="H25" s="91">
        <f t="shared" si="5"/>
        <v>3557.5</v>
      </c>
      <c r="I25" s="92">
        <f t="shared" si="6"/>
        <v>2326.5022421524664</v>
      </c>
      <c r="J25" s="613">
        <f t="shared" si="2"/>
        <v>0.52911952352498992</v>
      </c>
    </row>
    <row r="26" spans="1:10">
      <c r="A26" s="24" t="s">
        <v>371</v>
      </c>
      <c r="B26" s="378">
        <f>電動輔助自行車!E26</f>
        <v>4008</v>
      </c>
      <c r="C26" s="93">
        <f>VLOOKUP(A26,[14]進出口值表查詢結果!$A$3:$C$58,3,0)</f>
        <v>4825</v>
      </c>
      <c r="D26" s="627">
        <f t="shared" si="0"/>
        <v>-0.16932642487046631</v>
      </c>
      <c r="E26" s="379">
        <f>電動輔助自行車!G26</f>
        <v>1548005</v>
      </c>
      <c r="F26" s="95">
        <f>VLOOKUP(A26,[14]進出口值表查詢結果!$A$3:$C$58,2,0)</f>
        <v>1931732</v>
      </c>
      <c r="G26" s="627">
        <f t="shared" si="1"/>
        <v>-0.19864401480122501</v>
      </c>
      <c r="H26" s="91">
        <f t="shared" si="5"/>
        <v>386.22879241516966</v>
      </c>
      <c r="I26" s="92">
        <f t="shared" si="6"/>
        <v>400.35896373056994</v>
      </c>
      <c r="J26" s="613">
        <f t="shared" si="2"/>
        <v>-3.5293755343291065E-2</v>
      </c>
    </row>
    <row r="27" spans="1:10">
      <c r="A27" s="24" t="s">
        <v>372</v>
      </c>
      <c r="B27" s="378">
        <f>電動輔助自行車!E27</f>
        <v>204</v>
      </c>
      <c r="C27" s="93">
        <f>VLOOKUP(A27,[14]進出口值表查詢結果!$A$3:$C$58,3,0)</f>
        <v>421</v>
      </c>
      <c r="D27" s="627">
        <f t="shared" si="0"/>
        <v>-0.51543942992874114</v>
      </c>
      <c r="E27" s="379">
        <f>電動輔助自行車!G27</f>
        <v>461666</v>
      </c>
      <c r="F27" s="95">
        <f>VLOOKUP(A27,[14]進出口值表查詢結果!$A$3:$C$58,2,0)</f>
        <v>633468</v>
      </c>
      <c r="G27" s="627">
        <f t="shared" si="1"/>
        <v>-0.27120864826636865</v>
      </c>
      <c r="H27" s="91">
        <f t="shared" si="5"/>
        <v>2263.0686274509803</v>
      </c>
      <c r="I27" s="92">
        <f t="shared" si="6"/>
        <v>1504.6745843230403</v>
      </c>
      <c r="J27" s="613">
        <f t="shared" si="2"/>
        <v>0.50402528960715098</v>
      </c>
    </row>
    <row r="28" spans="1:10">
      <c r="A28" s="29" t="s">
        <v>355</v>
      </c>
      <c r="B28" s="378">
        <f>電動輔助自行車!E28</f>
        <v>992</v>
      </c>
      <c r="C28" s="93">
        <f>VLOOKUP(A28,[14]進出口值表查詢結果!$A$3:$C$58,3,0)</f>
        <v>954</v>
      </c>
      <c r="D28" s="627">
        <f t="shared" si="0"/>
        <v>3.9832285115303984E-2</v>
      </c>
      <c r="E28" s="379">
        <f>電動輔助自行車!G28</f>
        <v>1802816</v>
      </c>
      <c r="F28" s="95">
        <f>VLOOKUP(A28,[14]進出口值表查詢結果!$A$3:$C$58,2,0)</f>
        <v>1923596</v>
      </c>
      <c r="G28" s="627">
        <f t="shared" si="1"/>
        <v>-6.2788652087028662E-2</v>
      </c>
      <c r="H28" s="91">
        <f t="shared" si="5"/>
        <v>1817.3548387096773</v>
      </c>
      <c r="I28" s="92">
        <f t="shared" si="6"/>
        <v>2016.3480083857442</v>
      </c>
      <c r="J28" s="613">
        <f t="shared" si="2"/>
        <v>-9.868989323692072E-2</v>
      </c>
    </row>
    <row r="29" spans="1:10">
      <c r="A29" s="382" t="s">
        <v>356</v>
      </c>
      <c r="B29" s="378">
        <f>電動輔助自行車!E29</f>
        <v>2146</v>
      </c>
      <c r="C29" s="93">
        <f>VLOOKUP(A29,[14]進出口值表查詢結果!$A$3:$C$58,3,0)</f>
        <v>1568</v>
      </c>
      <c r="D29" s="627">
        <f t="shared" si="0"/>
        <v>0.36862244897959184</v>
      </c>
      <c r="E29" s="379">
        <f>電動輔助自行車!G29</f>
        <v>1937702</v>
      </c>
      <c r="F29" s="95">
        <f>VLOOKUP(A29,[14]進出口值表查詢結果!$A$3:$C$58,2,0)</f>
        <v>1572701</v>
      </c>
      <c r="G29" s="627">
        <f t="shared" si="1"/>
        <v>0.23208543772783255</v>
      </c>
      <c r="H29" s="91">
        <f t="shared" si="5"/>
        <v>902.93662628145387</v>
      </c>
      <c r="I29" s="92">
        <f t="shared" si="6"/>
        <v>1002.9980867346939</v>
      </c>
      <c r="J29" s="613">
        <f t="shared" si="2"/>
        <v>-9.9762364232413095E-2</v>
      </c>
    </row>
    <row r="30" spans="1:10">
      <c r="A30" s="382" t="s">
        <v>373</v>
      </c>
      <c r="B30" s="378">
        <f>電動輔助自行車!E30</f>
        <v>95</v>
      </c>
      <c r="C30" s="93">
        <f>VLOOKUP(A30,[14]進出口值表查詢結果!$A$3:$C$58,3,0)</f>
        <v>218</v>
      </c>
      <c r="D30" s="627">
        <f t="shared" si="0"/>
        <v>-0.56422018348623848</v>
      </c>
      <c r="E30" s="379">
        <f>電動輔助自行車!G30</f>
        <v>162191</v>
      </c>
      <c r="F30" s="95">
        <f>VLOOKUP(A30,[14]進出口值表查詢結果!$A$3:$C$58,2,0)</f>
        <v>418743</v>
      </c>
      <c r="G30" s="627">
        <f t="shared" si="1"/>
        <v>-0.61267173421406451</v>
      </c>
      <c r="H30" s="91">
        <f t="shared" si="5"/>
        <v>1707.2736842105264</v>
      </c>
      <c r="I30" s="92">
        <f t="shared" si="6"/>
        <v>1920.8394495412845</v>
      </c>
      <c r="J30" s="613">
        <f t="shared" si="2"/>
        <v>-0.11118355851227424</v>
      </c>
    </row>
    <row r="31" spans="1:10">
      <c r="A31" s="382" t="s">
        <v>374</v>
      </c>
      <c r="B31" s="378">
        <f>電動輔助自行車!E31</f>
        <v>0</v>
      </c>
      <c r="C31" s="93">
        <v>0</v>
      </c>
      <c r="D31" s="627">
        <f t="shared" si="0"/>
        <v>0</v>
      </c>
      <c r="E31" s="379">
        <f>電動輔助自行車!G31</f>
        <v>0</v>
      </c>
      <c r="F31" s="95">
        <f>_xlfn.IFNA(VLOOKUP(A31,[15]進出口值表查詢結果!$C$11:$J$887,3,0),-[4]整車!$B$22)</f>
        <v>0</v>
      </c>
      <c r="G31" s="627">
        <f t="shared" si="1"/>
        <v>0</v>
      </c>
      <c r="H31" s="91">
        <f t="shared" si="5"/>
        <v>0</v>
      </c>
      <c r="I31" s="92">
        <f t="shared" si="6"/>
        <v>0</v>
      </c>
      <c r="J31" s="613">
        <f t="shared" si="2"/>
        <v>0</v>
      </c>
    </row>
    <row r="32" spans="1:10">
      <c r="A32" s="382" t="s">
        <v>375</v>
      </c>
      <c r="B32" s="378">
        <f>電動輔助自行車!E32</f>
        <v>0</v>
      </c>
      <c r="C32" s="93">
        <v>0</v>
      </c>
      <c r="D32" s="627">
        <f t="shared" si="0"/>
        <v>0</v>
      </c>
      <c r="E32" s="379">
        <f>電動輔助自行車!G32</f>
        <v>0</v>
      </c>
      <c r="F32" s="95">
        <f>_xlfn.IFNA(VLOOKUP(A32,[15]進出口值表查詢結果!$C$11:$J$887,3,0),-[4]整車!$B$22)</f>
        <v>0</v>
      </c>
      <c r="G32" s="627">
        <f t="shared" si="1"/>
        <v>0</v>
      </c>
      <c r="H32" s="91">
        <f t="shared" si="5"/>
        <v>0</v>
      </c>
      <c r="I32" s="92">
        <f t="shared" si="6"/>
        <v>0</v>
      </c>
      <c r="J32" s="613">
        <f t="shared" si="2"/>
        <v>0</v>
      </c>
    </row>
    <row r="33" spans="1:10">
      <c r="A33" s="382" t="s">
        <v>376</v>
      </c>
      <c r="B33" s="378">
        <f>電動輔助自行車!E33</f>
        <v>0</v>
      </c>
      <c r="C33" s="93">
        <v>0</v>
      </c>
      <c r="D33" s="627">
        <f t="shared" si="0"/>
        <v>0</v>
      </c>
      <c r="E33" s="379">
        <f>電動輔助自行車!G33</f>
        <v>0</v>
      </c>
      <c r="F33" s="95">
        <f>_xlfn.IFNA(VLOOKUP(A33,[15]進出口值表查詢結果!$C$11:$J$887,3,0),-[4]整車!$B$22)</f>
        <v>0</v>
      </c>
      <c r="G33" s="627">
        <f t="shared" si="1"/>
        <v>0</v>
      </c>
      <c r="H33" s="91">
        <f t="shared" si="5"/>
        <v>0</v>
      </c>
      <c r="I33" s="92">
        <f t="shared" si="6"/>
        <v>0</v>
      </c>
      <c r="J33" s="613">
        <f t="shared" si="2"/>
        <v>0</v>
      </c>
    </row>
    <row r="34" spans="1:10">
      <c r="A34" s="382" t="s">
        <v>377</v>
      </c>
      <c r="B34" s="378">
        <f>電動輔助自行車!E34</f>
        <v>0</v>
      </c>
      <c r="C34" s="93">
        <v>0</v>
      </c>
      <c r="D34" s="627">
        <f t="shared" si="0"/>
        <v>0</v>
      </c>
      <c r="E34" s="379">
        <f>電動輔助自行車!G34</f>
        <v>0</v>
      </c>
      <c r="F34" s="95">
        <f>_xlfn.IFNA(VLOOKUP(A34,[15]進出口值表查詢結果!$C$11:$J$887,3,0),-[4]整車!$B$22)</f>
        <v>0</v>
      </c>
      <c r="G34" s="627">
        <f t="shared" si="1"/>
        <v>0</v>
      </c>
      <c r="H34" s="91">
        <f t="shared" si="5"/>
        <v>0</v>
      </c>
      <c r="I34" s="92">
        <f t="shared" si="6"/>
        <v>0</v>
      </c>
      <c r="J34" s="613">
        <f t="shared" si="2"/>
        <v>0</v>
      </c>
    </row>
    <row r="35" spans="1:10">
      <c r="A35" s="383" t="s">
        <v>378</v>
      </c>
      <c r="B35" s="378">
        <f>電動輔助自行車!E35</f>
        <v>0</v>
      </c>
      <c r="C35" s="93">
        <v>0</v>
      </c>
      <c r="D35" s="627">
        <f t="shared" si="0"/>
        <v>0</v>
      </c>
      <c r="E35" s="379">
        <f>電動輔助自行車!G35</f>
        <v>0</v>
      </c>
      <c r="F35" s="95">
        <f>_xlfn.IFNA(VLOOKUP(A35,[15]進出口值表查詢結果!$C$11:$J$887,3,0),-[4]整車!$B$22)</f>
        <v>0</v>
      </c>
      <c r="G35" s="627">
        <f t="shared" si="1"/>
        <v>0</v>
      </c>
      <c r="H35" s="91">
        <f t="shared" si="5"/>
        <v>0</v>
      </c>
      <c r="I35" s="92">
        <f t="shared" si="6"/>
        <v>0</v>
      </c>
      <c r="J35" s="613">
        <f t="shared" si="2"/>
        <v>0</v>
      </c>
    </row>
    <row r="36" spans="1:10">
      <c r="A36" s="382" t="s">
        <v>379</v>
      </c>
      <c r="B36" s="378">
        <f>電動輔助自行車!E36</f>
        <v>0</v>
      </c>
      <c r="C36" s="93">
        <v>0</v>
      </c>
      <c r="D36" s="627">
        <f t="shared" si="0"/>
        <v>0</v>
      </c>
      <c r="E36" s="379">
        <f>電動輔助自行車!G36</f>
        <v>0</v>
      </c>
      <c r="F36" s="95">
        <f>_xlfn.IFNA(VLOOKUP(A36,[15]進出口值表查詢結果!$C$11:$J$887,3,0),-[4]整車!$B$22)</f>
        <v>0</v>
      </c>
      <c r="G36" s="627">
        <f t="shared" si="1"/>
        <v>0</v>
      </c>
      <c r="H36" s="91">
        <f t="shared" si="5"/>
        <v>0</v>
      </c>
      <c r="I36" s="92">
        <f t="shared" si="6"/>
        <v>0</v>
      </c>
      <c r="J36" s="613">
        <f t="shared" si="2"/>
        <v>0</v>
      </c>
    </row>
    <row r="37" spans="1:10">
      <c r="A37" s="382" t="s">
        <v>380</v>
      </c>
      <c r="B37" s="378">
        <f>電動輔助自行車!E37</f>
        <v>0</v>
      </c>
      <c r="C37" s="93">
        <v>0</v>
      </c>
      <c r="D37" s="627">
        <f t="shared" si="0"/>
        <v>0</v>
      </c>
      <c r="E37" s="379">
        <f>電動輔助自行車!G37</f>
        <v>0</v>
      </c>
      <c r="F37" s="95">
        <f>_xlfn.IFNA(VLOOKUP(A37,[15]進出口值表查詢結果!$C$11:$J$887,3,0),-[4]整車!$B$22)</f>
        <v>0</v>
      </c>
      <c r="G37" s="627">
        <f t="shared" si="1"/>
        <v>0</v>
      </c>
      <c r="H37" s="91">
        <f t="shared" si="5"/>
        <v>0</v>
      </c>
      <c r="I37" s="92">
        <f t="shared" si="6"/>
        <v>0</v>
      </c>
      <c r="J37" s="613">
        <f t="shared" si="2"/>
        <v>0</v>
      </c>
    </row>
    <row r="38" spans="1:10">
      <c r="A38" s="382" t="s">
        <v>381</v>
      </c>
      <c r="B38" s="378">
        <f>電動輔助自行車!E38</f>
        <v>0</v>
      </c>
      <c r="C38" s="93">
        <v>0</v>
      </c>
      <c r="D38" s="627">
        <f t="shared" si="0"/>
        <v>0</v>
      </c>
      <c r="E38" s="379">
        <f>電動輔助自行車!G38</f>
        <v>0</v>
      </c>
      <c r="F38" s="95">
        <f>_xlfn.IFNA(VLOOKUP(A38,[15]進出口值表查詢結果!$C$11:$J$887,3,0),-[4]整車!$B$22)</f>
        <v>0</v>
      </c>
      <c r="G38" s="627">
        <f t="shared" si="1"/>
        <v>0</v>
      </c>
      <c r="H38" s="91">
        <f t="shared" si="5"/>
        <v>0</v>
      </c>
      <c r="I38" s="92">
        <f t="shared" si="6"/>
        <v>0</v>
      </c>
      <c r="J38" s="613">
        <f t="shared" si="2"/>
        <v>0</v>
      </c>
    </row>
    <row r="39" spans="1:10">
      <c r="A39" s="382" t="s">
        <v>382</v>
      </c>
      <c r="B39" s="378">
        <f>電動輔助自行車!E39</f>
        <v>0</v>
      </c>
      <c r="C39" s="93">
        <f>VLOOKUP(A39,[14]進出口值表查詢結果!$A$3:$C$58,3,0)</f>
        <v>7160</v>
      </c>
      <c r="D39" s="627">
        <f t="shared" si="0"/>
        <v>-1</v>
      </c>
      <c r="E39" s="379">
        <f>電動輔助自行車!G39</f>
        <v>0</v>
      </c>
      <c r="F39" s="95">
        <f>VLOOKUP(A39,[14]進出口值表查詢結果!$A$3:$C$58,2,0)</f>
        <v>14138506</v>
      </c>
      <c r="G39" s="627">
        <f t="shared" si="1"/>
        <v>-1</v>
      </c>
      <c r="H39" s="91">
        <f t="shared" si="5"/>
        <v>0</v>
      </c>
      <c r="I39" s="92">
        <f t="shared" si="6"/>
        <v>1974.6516759776537</v>
      </c>
      <c r="J39" s="613">
        <f t="shared" si="2"/>
        <v>-1</v>
      </c>
    </row>
    <row r="40" spans="1:10">
      <c r="A40" s="29" t="s">
        <v>383</v>
      </c>
      <c r="B40" s="378">
        <f>電動輔助自行車!E40</f>
        <v>0</v>
      </c>
      <c r="C40" s="93">
        <v>0</v>
      </c>
      <c r="D40" s="627">
        <f t="shared" si="0"/>
        <v>0</v>
      </c>
      <c r="E40" s="379">
        <f>電動輔助自行車!G40</f>
        <v>0</v>
      </c>
      <c r="F40" s="95">
        <f>_xlfn.IFNA(VLOOKUP(A40,[15]進出口值表查詢結果!$C$11:$J$887,3,0),-[4]整車!$B$22)</f>
        <v>0</v>
      </c>
      <c r="G40" s="627">
        <f t="shared" si="1"/>
        <v>0</v>
      </c>
      <c r="H40" s="91">
        <f t="shared" si="5"/>
        <v>0</v>
      </c>
      <c r="I40" s="92">
        <f t="shared" si="6"/>
        <v>0</v>
      </c>
      <c r="J40" s="613">
        <f t="shared" si="2"/>
        <v>0</v>
      </c>
    </row>
    <row r="41" spans="1:10" ht="16.899999999999999" customHeight="1">
      <c r="A41" s="29"/>
      <c r="B41" s="379"/>
      <c r="C41" s="380"/>
      <c r="D41" s="627"/>
      <c r="E41" s="379"/>
      <c r="F41" s="95"/>
      <c r="G41" s="627"/>
      <c r="H41" s="91"/>
      <c r="I41" s="92"/>
      <c r="J41" s="613"/>
    </row>
    <row r="42" spans="1:10">
      <c r="A42" s="32" t="s">
        <v>37</v>
      </c>
      <c r="B42" s="381">
        <f>SUM(B43:B46)</f>
        <v>3340</v>
      </c>
      <c r="C42" s="380">
        <f>SUM(C43:C46)</f>
        <v>14227</v>
      </c>
      <c r="D42" s="627">
        <f t="shared" si="0"/>
        <v>-0.76523511632810848</v>
      </c>
      <c r="E42" s="381">
        <f>SUM(E43:E46)</f>
        <v>6818562</v>
      </c>
      <c r="F42" s="95">
        <f>SUM(F43:F46)</f>
        <v>30893070</v>
      </c>
      <c r="G42" s="627">
        <f t="shared" si="1"/>
        <v>-0.77928506296072231</v>
      </c>
      <c r="H42" s="91">
        <f t="shared" si="5"/>
        <v>2041.485628742515</v>
      </c>
      <c r="I42" s="92">
        <f t="shared" si="6"/>
        <v>2171.4395164124553</v>
      </c>
      <c r="J42" s="613">
        <f t="shared" si="2"/>
        <v>-5.9846883455747207E-2</v>
      </c>
    </row>
    <row r="43" spans="1:10">
      <c r="A43" s="24" t="s">
        <v>384</v>
      </c>
      <c r="B43" s="378">
        <f>電動輔助自行車!E43</f>
        <v>1471</v>
      </c>
      <c r="C43" s="93">
        <f>VLOOKUP(A43,[14]進出口值表查詢結果!$A$3:$C$58,3,0)</f>
        <v>9962</v>
      </c>
      <c r="D43" s="627">
        <f t="shared" si="0"/>
        <v>-0.8523388877735395</v>
      </c>
      <c r="E43" s="379">
        <f>電動輔助自行車!G43</f>
        <v>3382784</v>
      </c>
      <c r="F43" s="95">
        <f>VLOOKUP(A43,[14]進出口值表查詢結果!$A$3:$C$58,2,0)</f>
        <v>23205740</v>
      </c>
      <c r="G43" s="627">
        <f t="shared" si="1"/>
        <v>-0.85422641122411958</v>
      </c>
      <c r="H43" s="91">
        <f t="shared" si="5"/>
        <v>2299.6492182188986</v>
      </c>
      <c r="I43" s="92">
        <f t="shared" si="6"/>
        <v>2329.4258181088135</v>
      </c>
      <c r="J43" s="613">
        <f t="shared" si="2"/>
        <v>-1.278280667211355E-2</v>
      </c>
    </row>
    <row r="44" spans="1:10">
      <c r="A44" s="24" t="s">
        <v>385</v>
      </c>
      <c r="B44" s="378">
        <f>電動輔助自行車!E44</f>
        <v>1869</v>
      </c>
      <c r="C44" s="93">
        <f>VLOOKUP(A44,[14]進出口值表查詢結果!$A$3:$C$58,3,0)</f>
        <v>4220</v>
      </c>
      <c r="D44" s="627">
        <f t="shared" si="0"/>
        <v>-0.55710900473933644</v>
      </c>
      <c r="E44" s="379">
        <f>電動輔助自行車!G44</f>
        <v>3435778</v>
      </c>
      <c r="F44" s="95">
        <f>VLOOKUP(A44,[14]進出口值表查詢結果!$A$3:$C$58,2,0)</f>
        <v>7577480</v>
      </c>
      <c r="G44" s="627">
        <f t="shared" si="1"/>
        <v>-0.54658039348173804</v>
      </c>
      <c r="H44" s="91">
        <f t="shared" si="5"/>
        <v>1838.2974852862494</v>
      </c>
      <c r="I44" s="92">
        <f t="shared" si="6"/>
        <v>1795.6113744075828</v>
      </c>
      <c r="J44" s="613">
        <f t="shared" si="2"/>
        <v>2.3772466295915388E-2</v>
      </c>
    </row>
    <row r="45" spans="1:10">
      <c r="A45" s="24" t="s">
        <v>386</v>
      </c>
      <c r="B45" s="378">
        <f>電動輔助自行車!E45</f>
        <v>0</v>
      </c>
      <c r="C45" s="93">
        <f>VLOOKUP(A45,[14]進出口值表查詢結果!$A$3:$C$58,3,0)</f>
        <v>45</v>
      </c>
      <c r="D45" s="627">
        <f t="shared" si="0"/>
        <v>-1</v>
      </c>
      <c r="E45" s="379">
        <f>電動輔助自行車!G45</f>
        <v>0</v>
      </c>
      <c r="F45" s="95">
        <f>VLOOKUP(A45,[14]進出口值表查詢結果!$A$3:$C$58,2,0)</f>
        <v>109850</v>
      </c>
      <c r="G45" s="627">
        <f t="shared" si="1"/>
        <v>-1</v>
      </c>
      <c r="H45" s="91">
        <f t="shared" si="5"/>
        <v>0</v>
      </c>
      <c r="I45" s="92">
        <f t="shared" si="6"/>
        <v>2441.1111111111113</v>
      </c>
      <c r="J45" s="613">
        <f t="shared" si="2"/>
        <v>-1</v>
      </c>
    </row>
    <row r="46" spans="1:10">
      <c r="A46" s="29" t="s">
        <v>41</v>
      </c>
      <c r="B46" s="378">
        <f>電動輔助自行車!E46</f>
        <v>0</v>
      </c>
      <c r="C46" s="93">
        <v>0</v>
      </c>
      <c r="D46" s="627">
        <f t="shared" si="0"/>
        <v>0</v>
      </c>
      <c r="E46" s="379">
        <f>電動輔助自行車!G46</f>
        <v>0</v>
      </c>
      <c r="F46" s="95">
        <f>_xlfn.IFNA(VLOOKUP(A46,[15]進出口值表查詢結果!$C$11:$J$887,3,0),-[4]整車!$B$22)</f>
        <v>0</v>
      </c>
      <c r="G46" s="627">
        <f t="shared" si="1"/>
        <v>0</v>
      </c>
      <c r="H46" s="91">
        <f t="shared" si="5"/>
        <v>0</v>
      </c>
      <c r="I46" s="92">
        <f t="shared" si="6"/>
        <v>0</v>
      </c>
      <c r="J46" s="613">
        <f t="shared" si="2"/>
        <v>0</v>
      </c>
    </row>
    <row r="47" spans="1:10">
      <c r="A47" s="29"/>
      <c r="B47" s="379"/>
      <c r="C47" s="380"/>
      <c r="D47" s="627"/>
      <c r="E47" s="379"/>
      <c r="F47" s="95"/>
      <c r="G47" s="627"/>
      <c r="H47" s="91"/>
      <c r="I47" s="92"/>
      <c r="J47" s="613"/>
    </row>
    <row r="48" spans="1:10">
      <c r="A48" s="32" t="s">
        <v>42</v>
      </c>
      <c r="B48" s="381">
        <f>SUM(B49:B62)</f>
        <v>41486</v>
      </c>
      <c r="C48" s="380">
        <f>SUM(C49:C62)</f>
        <v>41871</v>
      </c>
      <c r="D48" s="627">
        <f t="shared" si="0"/>
        <v>-9.1949081703326888E-3</v>
      </c>
      <c r="E48" s="381">
        <f>SUM(E49:E62)</f>
        <v>93919256</v>
      </c>
      <c r="F48" s="95">
        <f>SUM(F49:F62)</f>
        <v>77726916</v>
      </c>
      <c r="G48" s="627">
        <f t="shared" si="1"/>
        <v>0.20832345901900959</v>
      </c>
      <c r="H48" s="91">
        <f t="shared" si="5"/>
        <v>2263.8783203972425</v>
      </c>
      <c r="I48" s="92">
        <f t="shared" si="6"/>
        <v>1856.3424804757469</v>
      </c>
      <c r="J48" s="613">
        <f t="shared" si="2"/>
        <v>0.2195369896491576</v>
      </c>
    </row>
    <row r="49" spans="1:10">
      <c r="A49" s="24" t="s">
        <v>367</v>
      </c>
      <c r="B49" s="378">
        <f>電動輔助自行車!E49</f>
        <v>16983</v>
      </c>
      <c r="C49" s="93">
        <f>VLOOKUP(A49,[14]進出口值表查詢結果!$A$3:$C$58,3,0)</f>
        <v>20483</v>
      </c>
      <c r="D49" s="627">
        <f t="shared" si="0"/>
        <v>-0.17087340721573988</v>
      </c>
      <c r="E49" s="379">
        <f>電動輔助自行車!G49</f>
        <v>35624650</v>
      </c>
      <c r="F49" s="95">
        <f>VLOOKUP(A49,[14]進出口值表查詢結果!$A$3:$C$58,2,0)</f>
        <v>33231326</v>
      </c>
      <c r="G49" s="627">
        <f t="shared" si="1"/>
        <v>7.2020117403681097E-2</v>
      </c>
      <c r="H49" s="91">
        <f t="shared" si="5"/>
        <v>2097.6653123711949</v>
      </c>
      <c r="I49" s="92">
        <f t="shared" si="6"/>
        <v>1622.3856856905727</v>
      </c>
      <c r="J49" s="613">
        <f t="shared" si="2"/>
        <v>0.29295107253015373</v>
      </c>
    </row>
    <row r="50" spans="1:10">
      <c r="A50" s="24" t="s">
        <v>387</v>
      </c>
      <c r="B50" s="378">
        <f>電動輔助自行車!E50</f>
        <v>3720</v>
      </c>
      <c r="C50" s="93">
        <f>VLOOKUP(A50,[14]進出口值表查詢結果!$A$3:$C$58,3,0)</f>
        <v>3810</v>
      </c>
      <c r="D50" s="627">
        <f t="shared" si="0"/>
        <v>-2.3622047244094488E-2</v>
      </c>
      <c r="E50" s="379">
        <f>電動輔助自行車!G50</f>
        <v>3702382</v>
      </c>
      <c r="F50" s="95">
        <f>VLOOKUP(A50,[14]進出口值表查詢結果!$A$3:$C$58,2,0)</f>
        <v>4675855</v>
      </c>
      <c r="G50" s="627">
        <f t="shared" si="1"/>
        <v>-0.20819144306228488</v>
      </c>
      <c r="H50" s="91">
        <f t="shared" si="5"/>
        <v>995.26397849462364</v>
      </c>
      <c r="I50" s="92">
        <f t="shared" si="6"/>
        <v>1227.2585301837271</v>
      </c>
      <c r="J50" s="613">
        <f t="shared" si="2"/>
        <v>-0.18903478442669502</v>
      </c>
    </row>
    <row r="51" spans="1:10">
      <c r="A51" s="24" t="s">
        <v>395</v>
      </c>
      <c r="B51" s="378">
        <f>電動輔助自行車!E51</f>
        <v>118</v>
      </c>
      <c r="C51" s="93">
        <f>VLOOKUP(A51,[14]進出口值表查詢結果!$A$3:$C$58,3,0)</f>
        <v>69</v>
      </c>
      <c r="D51" s="627">
        <f t="shared" si="0"/>
        <v>0.71014492753623193</v>
      </c>
      <c r="E51" s="379">
        <f>電動輔助自行車!G51</f>
        <v>292528</v>
      </c>
      <c r="F51" s="95">
        <f>VLOOKUP(A51,[14]進出口值表查詢結果!$A$3:$C$58,2,0)</f>
        <v>114347</v>
      </c>
      <c r="G51" s="627">
        <f t="shared" si="1"/>
        <v>1.5582481394352279</v>
      </c>
      <c r="H51" s="91">
        <f t="shared" si="5"/>
        <v>2479.0508474576272</v>
      </c>
      <c r="I51" s="92">
        <f t="shared" si="6"/>
        <v>1657.2028985507247</v>
      </c>
      <c r="J51" s="613">
        <f t="shared" si="2"/>
        <v>0.49592475950026033</v>
      </c>
    </row>
    <row r="52" spans="1:10">
      <c r="A52" s="24" t="s">
        <v>388</v>
      </c>
      <c r="B52" s="378">
        <f>電動輔助自行車!E52</f>
        <v>947</v>
      </c>
      <c r="C52" s="93">
        <f>VLOOKUP(A52,[14]進出口值表查詢結果!$A$3:$C$58,3,0)</f>
        <v>202</v>
      </c>
      <c r="D52" s="627">
        <f t="shared" si="0"/>
        <v>3.6881188118811883</v>
      </c>
      <c r="E52" s="379">
        <f>電動輔助自行車!G52</f>
        <v>3282130</v>
      </c>
      <c r="F52" s="95">
        <f>VLOOKUP(A52,[14]進出口值表查詢結果!$A$3:$C$58,2,0)</f>
        <v>580082</v>
      </c>
      <c r="G52" s="627">
        <f t="shared" si="1"/>
        <v>4.6580448971007549</v>
      </c>
      <c r="H52" s="91">
        <f t="shared" si="5"/>
        <v>3465.8183738120379</v>
      </c>
      <c r="I52" s="92">
        <f t="shared" si="6"/>
        <v>2871.6930693069307</v>
      </c>
      <c r="J52" s="613">
        <f t="shared" si="2"/>
        <v>0.20689025260227284</v>
      </c>
    </row>
    <row r="53" spans="1:10">
      <c r="A53" s="29" t="s">
        <v>46</v>
      </c>
      <c r="B53" s="378">
        <f>電動輔助自行車!E53</f>
        <v>834</v>
      </c>
      <c r="C53" s="93">
        <f>VLOOKUP(A53,[14]進出口值表查詢結果!$A$3:$C$58,3,0)</f>
        <v>10</v>
      </c>
      <c r="D53" s="627">
        <f t="shared" si="0"/>
        <v>82.4</v>
      </c>
      <c r="E53" s="379">
        <f>電動輔助自行車!G53</f>
        <v>2565203</v>
      </c>
      <c r="F53" s="95">
        <f>VLOOKUP(A53,[14]進出口值表查詢結果!$A$3:$C$58,2,0)</f>
        <v>26511</v>
      </c>
      <c r="G53" s="627">
        <f t="shared" si="1"/>
        <v>95.759948700539397</v>
      </c>
      <c r="H53" s="91">
        <f t="shared" si="5"/>
        <v>3075.7829736211033</v>
      </c>
      <c r="I53" s="92">
        <f t="shared" si="6"/>
        <v>2651.1</v>
      </c>
      <c r="J53" s="613">
        <f t="shared" si="2"/>
        <v>0.16019123142133584</v>
      </c>
    </row>
    <row r="54" spans="1:10">
      <c r="A54" s="24" t="s">
        <v>389</v>
      </c>
      <c r="B54" s="378">
        <f>電動輔助自行車!E54</f>
        <v>1461</v>
      </c>
      <c r="C54" s="93">
        <f>VLOOKUP(A54,[14]進出口值表查詢結果!$A$3:$C$58,3,0)</f>
        <v>177</v>
      </c>
      <c r="D54" s="627">
        <f t="shared" si="0"/>
        <v>7.2542372881355934</v>
      </c>
      <c r="E54" s="379">
        <f>電動輔助自行車!G54</f>
        <v>4630010</v>
      </c>
      <c r="F54" s="95">
        <f>VLOOKUP(A54,[14]進出口值表查詢結果!$A$3:$C$58,2,0)</f>
        <v>439646</v>
      </c>
      <c r="G54" s="627">
        <f t="shared" si="1"/>
        <v>9.5312228474727387</v>
      </c>
      <c r="H54" s="91">
        <f t="shared" si="5"/>
        <v>3169.069130732375</v>
      </c>
      <c r="I54" s="92">
        <f t="shared" si="6"/>
        <v>2483.8757062146892</v>
      </c>
      <c r="J54" s="613">
        <f t="shared" si="2"/>
        <v>0.27585656673694381</v>
      </c>
    </row>
    <row r="55" spans="1:10">
      <c r="A55" s="29" t="s">
        <v>390</v>
      </c>
      <c r="B55" s="378">
        <f>電動輔助自行車!E55</f>
        <v>8277</v>
      </c>
      <c r="C55" s="93">
        <f>VLOOKUP(A55,[14]進出口值表查詢結果!$A$3:$C$58,3,0)</f>
        <v>7377</v>
      </c>
      <c r="D55" s="627">
        <f t="shared" si="0"/>
        <v>0.12200081333875559</v>
      </c>
      <c r="E55" s="379">
        <f>電動輔助自行車!G55</f>
        <v>19793393</v>
      </c>
      <c r="F55" s="95">
        <f>VLOOKUP(A55,[14]進出口值表查詢結果!$A$3:$C$58,2,0)</f>
        <v>16296964</v>
      </c>
      <c r="G55" s="627">
        <f t="shared" si="1"/>
        <v>0.21454480724139785</v>
      </c>
      <c r="H55" s="91">
        <f t="shared" si="5"/>
        <v>2391.3728404011117</v>
      </c>
      <c r="I55" s="92">
        <f t="shared" si="6"/>
        <v>2209.1587366137996</v>
      </c>
      <c r="J55" s="613">
        <f t="shared" si="2"/>
        <v>8.2481218197389475E-2</v>
      </c>
    </row>
    <row r="56" spans="1:10">
      <c r="A56" s="29" t="s">
        <v>49</v>
      </c>
      <c r="B56" s="378">
        <f>電動輔助自行車!E56</f>
        <v>716</v>
      </c>
      <c r="C56" s="93">
        <f>VLOOKUP(A56,[14]進出口值表查詢結果!$A$3:$C$58,3,0)</f>
        <v>473</v>
      </c>
      <c r="D56" s="627">
        <f t="shared" si="0"/>
        <v>0.51374207188160681</v>
      </c>
      <c r="E56" s="379">
        <f>電動輔助自行車!G56</f>
        <v>1979866</v>
      </c>
      <c r="F56" s="95">
        <f>VLOOKUP(A56,[14]進出口值表查詢結果!$A$3:$C$58,2,0)</f>
        <v>1257205</v>
      </c>
      <c r="G56" s="627">
        <f t="shared" si="1"/>
        <v>0.57481556309432436</v>
      </c>
      <c r="H56" s="91">
        <f t="shared" si="5"/>
        <v>2765.1759776536314</v>
      </c>
      <c r="I56" s="92">
        <f t="shared" si="6"/>
        <v>2657.938689217759</v>
      </c>
      <c r="J56" s="613">
        <f t="shared" si="2"/>
        <v>4.0346035396110938E-2</v>
      </c>
    </row>
    <row r="57" spans="1:10">
      <c r="A57" s="29" t="s">
        <v>391</v>
      </c>
      <c r="B57" s="378">
        <f>電動輔助自行車!E57</f>
        <v>195</v>
      </c>
      <c r="C57" s="93">
        <f>VLOOKUP(A57,[14]進出口值表查詢結果!$A$3:$C$58,3,0)</f>
        <v>172</v>
      </c>
      <c r="D57" s="627">
        <f t="shared" si="0"/>
        <v>0.13372093023255813</v>
      </c>
      <c r="E57" s="379">
        <f>電動輔助自行車!G57</f>
        <v>417316</v>
      </c>
      <c r="F57" s="95">
        <f>VLOOKUP(A57,[14]進出口值表查詢結果!$A$3:$C$58,2,0)</f>
        <v>518624</v>
      </c>
      <c r="G57" s="627">
        <f t="shared" si="1"/>
        <v>-0.19533997655334115</v>
      </c>
      <c r="H57" s="91">
        <f t="shared" si="5"/>
        <v>2140.0820512820515</v>
      </c>
      <c r="I57" s="92">
        <f t="shared" si="6"/>
        <v>3015.2558139534885</v>
      </c>
      <c r="J57" s="613">
        <f t="shared" si="2"/>
        <v>-0.29024859470345987</v>
      </c>
    </row>
    <row r="58" spans="1:10">
      <c r="A58" s="29" t="s">
        <v>364</v>
      </c>
      <c r="B58" s="378">
        <f>電動輔助自行車!E58</f>
        <v>260</v>
      </c>
      <c r="C58" s="93">
        <f>VLOOKUP(A58,[14]進出口值表查詢結果!$A$3:$C$58,3,0)</f>
        <v>3755</v>
      </c>
      <c r="D58" s="627">
        <f t="shared" si="0"/>
        <v>-0.93075898801597867</v>
      </c>
      <c r="E58" s="379">
        <f>電動輔助自行車!G58</f>
        <v>815624</v>
      </c>
      <c r="F58" s="95">
        <f>VLOOKUP(A58,[14]進出口值表查詢結果!$A$3:$C$58,2,0)</f>
        <v>7856350</v>
      </c>
      <c r="G58" s="627">
        <f t="shared" si="1"/>
        <v>-0.89618283299496582</v>
      </c>
      <c r="H58" s="91">
        <f t="shared" si="5"/>
        <v>3137.0153846153844</v>
      </c>
      <c r="I58" s="92">
        <f t="shared" si="6"/>
        <v>2092.2370173102531</v>
      </c>
      <c r="J58" s="613">
        <f t="shared" si="2"/>
        <v>0.49935946963039679</v>
      </c>
    </row>
    <row r="59" spans="1:10">
      <c r="A59" s="29" t="s">
        <v>392</v>
      </c>
      <c r="B59" s="378">
        <f>電動輔助自行車!E59</f>
        <v>0</v>
      </c>
      <c r="C59" s="93">
        <v>0</v>
      </c>
      <c r="D59" s="627">
        <f t="shared" si="0"/>
        <v>0</v>
      </c>
      <c r="E59" s="379">
        <f>電動輔助自行車!G59</f>
        <v>0</v>
      </c>
      <c r="F59" s="95">
        <f>_xlfn.IFNA(VLOOKUP(A59,[15]進出口值表查詢結果!$C$11:$J$817,3,0),-[4]整車!$B$22)</f>
        <v>0</v>
      </c>
      <c r="G59" s="627">
        <f t="shared" si="1"/>
        <v>0</v>
      </c>
      <c r="H59" s="91">
        <f t="shared" si="5"/>
        <v>0</v>
      </c>
      <c r="I59" s="92">
        <f t="shared" si="6"/>
        <v>0</v>
      </c>
      <c r="J59" s="613">
        <f t="shared" si="2"/>
        <v>0</v>
      </c>
    </row>
    <row r="60" spans="1:10">
      <c r="A60" s="29" t="s">
        <v>393</v>
      </c>
      <c r="B60" s="378">
        <f>電動輔助自行車!E60</f>
        <v>0</v>
      </c>
      <c r="C60" s="93">
        <v>0</v>
      </c>
      <c r="D60" s="627">
        <f t="shared" si="0"/>
        <v>0</v>
      </c>
      <c r="E60" s="379">
        <f>電動輔助自行車!G60</f>
        <v>0</v>
      </c>
      <c r="F60" s="95">
        <f>_xlfn.IFNA(VLOOKUP(A60,[15]進出口值表查詢結果!$C$11:$J$817,3,0),-[4]整車!$B$22)</f>
        <v>0</v>
      </c>
      <c r="G60" s="627">
        <f t="shared" si="1"/>
        <v>0</v>
      </c>
      <c r="H60" s="91">
        <f t="shared" si="5"/>
        <v>0</v>
      </c>
      <c r="I60" s="92">
        <f t="shared" si="6"/>
        <v>0</v>
      </c>
      <c r="J60" s="613">
        <f t="shared" si="2"/>
        <v>0</v>
      </c>
    </row>
    <row r="61" spans="1:10">
      <c r="A61" s="29" t="s">
        <v>394</v>
      </c>
      <c r="B61" s="378">
        <f>電動輔助自行車!E61</f>
        <v>5356</v>
      </c>
      <c r="C61" s="93">
        <f>VLOOKUP(A61,[14]進出口值表查詢結果!$A$3:$C$58,3,0)</f>
        <v>3698</v>
      </c>
      <c r="D61" s="627">
        <f t="shared" si="0"/>
        <v>0.44835045970795023</v>
      </c>
      <c r="E61" s="379">
        <f>電動輔助自行車!G61</f>
        <v>13115156</v>
      </c>
      <c r="F61" s="95">
        <f>VLOOKUP(A61,[14]進出口值表查詢結果!$A$3:$C$58,2,0)</f>
        <v>8522317</v>
      </c>
      <c r="G61" s="627">
        <f t="shared" si="1"/>
        <v>0.53891905217794644</v>
      </c>
      <c r="H61" s="91">
        <f t="shared" si="5"/>
        <v>2448.6848394324124</v>
      </c>
      <c r="I61" s="92">
        <f t="shared" si="6"/>
        <v>2304.5746349378041</v>
      </c>
      <c r="J61" s="613">
        <f t="shared" si="2"/>
        <v>6.2532235801726399E-2</v>
      </c>
    </row>
    <row r="62" spans="1:10">
      <c r="A62" s="29" t="s">
        <v>363</v>
      </c>
      <c r="B62" s="378">
        <f>電動輔助自行車!E62</f>
        <v>2619</v>
      </c>
      <c r="C62" s="93">
        <f>VLOOKUP(A62,[14]進出口值表查詢結果!$A$3:$C$58,3,0)</f>
        <v>1645</v>
      </c>
      <c r="D62" s="627">
        <f t="shared" si="0"/>
        <v>0.59209726443768995</v>
      </c>
      <c r="E62" s="379">
        <f>電動輔助自行車!G62</f>
        <v>7700998</v>
      </c>
      <c r="F62" s="95">
        <f>VLOOKUP(A62,[14]進出口值表查詢結果!$A$3:$C$58,2,0)</f>
        <v>4207689</v>
      </c>
      <c r="G62" s="627">
        <f t="shared" si="1"/>
        <v>0.83022034185511329</v>
      </c>
      <c r="H62" s="91">
        <f t="shared" si="5"/>
        <v>2940.4345169912181</v>
      </c>
      <c r="I62" s="92">
        <f t="shared" si="6"/>
        <v>2557.8656534954407</v>
      </c>
      <c r="J62" s="613">
        <f t="shared" si="2"/>
        <v>0.1495656595462625</v>
      </c>
    </row>
    <row r="63" spans="1:10">
      <c r="A63" s="29" t="s">
        <v>56</v>
      </c>
      <c r="B63" s="379">
        <f>B64-B48-B42-B13-B8</f>
        <v>2907</v>
      </c>
      <c r="C63" s="95">
        <f>C64-C48-C42-C13-C8</f>
        <v>2720</v>
      </c>
      <c r="D63" s="627">
        <f t="shared" si="0"/>
        <v>6.8750000000000006E-2</v>
      </c>
      <c r="E63" s="379">
        <f>E64-E48-E42-E13-E8</f>
        <v>8807893</v>
      </c>
      <c r="F63" s="95">
        <f>F64-F48-F42-F13-F8</f>
        <v>7100006</v>
      </c>
      <c r="G63" s="627">
        <f t="shared" si="1"/>
        <v>0.24054726150935646</v>
      </c>
      <c r="H63" s="91">
        <f t="shared" si="5"/>
        <v>3029.8909528723771</v>
      </c>
      <c r="I63" s="92">
        <f t="shared" si="6"/>
        <v>2610.2963235294119</v>
      </c>
      <c r="J63" s="613">
        <f t="shared" si="2"/>
        <v>0.16074597568126917</v>
      </c>
    </row>
    <row r="64" spans="1:10">
      <c r="A64" s="30" t="s">
        <v>396</v>
      </c>
      <c r="B64" s="378">
        <f>電動輔助自行車!E64</f>
        <v>335750</v>
      </c>
      <c r="C64" s="93">
        <f>VLOOKUP(A64,[14]進出口值表查詢結果!$A$3:$C$58,3,0)</f>
        <v>363921</v>
      </c>
      <c r="D64" s="627">
        <f t="shared" si="0"/>
        <v>-7.7409657590521014E-2</v>
      </c>
      <c r="E64" s="379">
        <f>電動輔助自行車!G64</f>
        <v>668217277</v>
      </c>
      <c r="F64" s="95">
        <f>VLOOKUP(A64,[14]進出口值表查詢結果!$A$3:$C$58,2,0)</f>
        <v>672245726</v>
      </c>
      <c r="G64" s="627">
        <f t="shared" si="1"/>
        <v>-5.9925245251763789E-3</v>
      </c>
      <c r="H64" s="91">
        <f t="shared" ref="H64" si="7">E64/B64</f>
        <v>1990.222716306776</v>
      </c>
      <c r="I64" s="92">
        <f t="shared" ref="I64" si="8">F64/C64</f>
        <v>1847.2298273526396</v>
      </c>
      <c r="J64" s="613">
        <f t="shared" si="2"/>
        <v>7.7409365546607059E-2</v>
      </c>
    </row>
    <row r="65" spans="1:10">
      <c r="A65" s="57" t="s">
        <v>75</v>
      </c>
      <c r="B65" s="3"/>
      <c r="C65" s="384"/>
      <c r="D65" s="3"/>
      <c r="E65" s="3"/>
      <c r="F65" s="385"/>
      <c r="G65" s="3"/>
      <c r="H65" s="3"/>
      <c r="I65" s="3"/>
      <c r="J65" s="3"/>
    </row>
  </sheetData>
  <mergeCells count="3">
    <mergeCell ref="A1:J1"/>
    <mergeCell ref="A3:J3"/>
    <mergeCell ref="A4:J4"/>
  </mergeCells>
  <phoneticPr fontId="3" type="noConversion"/>
  <conditionalFormatting sqref="D1:D4 G1:G4 J1:J4 D6:D1048576 G6:G1048576 J6:J1048576">
    <cfRule type="cellIs" dxfId="38" priority="15" operator="greaterThanOrEqual">
      <formula>0</formula>
    </cfRule>
  </conditionalFormatting>
  <conditionalFormatting sqref="D1:D1048576 G1:G1048576">
    <cfRule type="cellIs" dxfId="37" priority="1" operator="lessThan">
      <formula>0</formula>
    </cfRule>
  </conditionalFormatting>
  <conditionalFormatting sqref="J1:J1048576">
    <cfRule type="cellIs" dxfId="36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0"/>
  <sheetViews>
    <sheetView zoomScaleNormal="100" workbookViewId="0">
      <selection activeCell="A2" sqref="A2"/>
    </sheetView>
  </sheetViews>
  <sheetFormatPr defaultRowHeight="16.5"/>
  <cols>
    <col min="1" max="1" width="16.375" customWidth="1"/>
    <col min="2" max="2" width="11.5" customWidth="1"/>
    <col min="3" max="3" width="12.5" customWidth="1"/>
    <col min="4" max="4" width="11.875" customWidth="1"/>
    <col min="5" max="5" width="14" customWidth="1"/>
    <col min="6" max="6" width="10.5" customWidth="1"/>
    <col min="7" max="7" width="16.125" customWidth="1"/>
    <col min="8" max="8" width="10.375" customWidth="1"/>
    <col min="9" max="9" width="15.75" customWidth="1"/>
  </cols>
  <sheetData>
    <row r="1" spans="1:9" ht="23.25">
      <c r="A1" s="765" t="s">
        <v>517</v>
      </c>
      <c r="B1" s="765"/>
      <c r="C1" s="765"/>
      <c r="D1" s="765"/>
      <c r="E1" s="765"/>
      <c r="F1" s="765"/>
      <c r="G1" s="765"/>
      <c r="H1" s="765"/>
      <c r="I1" s="765"/>
    </row>
    <row r="2" spans="1:9" ht="7.5" customHeight="1">
      <c r="A2" s="3"/>
      <c r="B2" s="138"/>
      <c r="C2" s="4"/>
      <c r="D2" s="138"/>
      <c r="E2" s="4"/>
      <c r="F2" s="138"/>
      <c r="G2" s="138"/>
      <c r="H2" s="4"/>
      <c r="I2" s="138"/>
    </row>
    <row r="3" spans="1:9">
      <c r="A3" s="759" t="s">
        <v>313</v>
      </c>
      <c r="B3" s="760"/>
      <c r="C3" s="760"/>
      <c r="D3" s="760"/>
      <c r="E3" s="760"/>
      <c r="F3" s="760"/>
      <c r="G3" s="760"/>
      <c r="H3" s="760"/>
      <c r="I3" s="761"/>
    </row>
    <row r="4" spans="1:9" ht="19.5">
      <c r="A4" s="6" t="s">
        <v>505</v>
      </c>
      <c r="B4" s="7" t="s">
        <v>518</v>
      </c>
      <c r="C4" s="7" t="s">
        <v>519</v>
      </c>
      <c r="D4" s="8" t="s">
        <v>1</v>
      </c>
      <c r="E4" s="9" t="s">
        <v>520</v>
      </c>
      <c r="F4" s="10" t="s">
        <v>2</v>
      </c>
      <c r="G4" s="9" t="s">
        <v>521</v>
      </c>
      <c r="H4" s="10" t="s">
        <v>2</v>
      </c>
      <c r="I4" s="11" t="s">
        <v>410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19" t="s">
        <v>4</v>
      </c>
    </row>
    <row r="6" spans="1:9">
      <c r="A6" s="155" t="s">
        <v>6</v>
      </c>
      <c r="B6" s="167"/>
      <c r="C6" s="16"/>
      <c r="D6" s="168"/>
      <c r="E6" s="16"/>
      <c r="F6" s="168"/>
      <c r="G6" s="168"/>
      <c r="H6" s="16"/>
      <c r="I6" s="169"/>
    </row>
    <row r="7" spans="1:9">
      <c r="A7" s="19" t="s">
        <v>7</v>
      </c>
      <c r="B7" s="170">
        <f>SUM(B8:B10)</f>
        <v>0</v>
      </c>
      <c r="C7" s="21">
        <f>SUM(C8:C10)</f>
        <v>0</v>
      </c>
      <c r="D7" s="171">
        <f>IF(B7,C7/B7,0)</f>
        <v>0</v>
      </c>
      <c r="E7" s="170">
        <f>SUM(E8:E10)</f>
        <v>47</v>
      </c>
      <c r="F7" s="172">
        <f>E7/$E$68</f>
        <v>1.1385658914728682E-2</v>
      </c>
      <c r="G7" s="21">
        <f>SUM(G8:G10)</f>
        <v>50723</v>
      </c>
      <c r="H7" s="22">
        <f>G7/$G$68</f>
        <v>1.5028533859458928E-2</v>
      </c>
      <c r="I7" s="173">
        <f>IF(E7,G7/E7,0)</f>
        <v>1079.2127659574469</v>
      </c>
    </row>
    <row r="8" spans="1:9">
      <c r="A8" s="24" t="s">
        <v>340</v>
      </c>
      <c r="B8" s="174">
        <f>_xlfn.IFNA(VLOOKUP(A8,[16]進出口值表查詢結果!$C$11:$G$185,5,0),-[4]整車!$B$22)</f>
        <v>0</v>
      </c>
      <c r="C8" s="26">
        <f>_xlfn.IFNA(VLOOKUP(A8,[16]進出口值表查詢結果!$C$11:$G$157,3,0),-[4]整車!$B$22)</f>
        <v>0</v>
      </c>
      <c r="D8" s="171">
        <f t="shared" ref="D8:D10" si="0">IF(B8,C8/B8,0)</f>
        <v>0</v>
      </c>
      <c r="E8" s="174">
        <f>VLOOKUP(A8,[17]進出口值表查詢結果!$A$3:$C$16,3,0)</f>
        <v>46</v>
      </c>
      <c r="F8" s="172">
        <f>E8/$E$68</f>
        <v>1.1143410852713179E-2</v>
      </c>
      <c r="G8" s="26">
        <f>VLOOKUP(A8,[17]進出口值表查詢結果!$A$3:$C$16,2,0)</f>
        <v>48595</v>
      </c>
      <c r="H8" s="22">
        <f>G8/$G$68</f>
        <v>1.4398036450927717E-2</v>
      </c>
      <c r="I8" s="173">
        <f t="shared" ref="I8:I67" si="1">IF(E8,G8/E8,0)</f>
        <v>1056.4130434782608</v>
      </c>
    </row>
    <row r="9" spans="1:9">
      <c r="A9" s="29" t="s">
        <v>8</v>
      </c>
      <c r="B9" s="174">
        <f>_xlfn.IFNA(VLOOKUP(A9,[16]進出口值表查詢結果!$C$11:$G$185,5,0),-[4]整車!$B$22)</f>
        <v>0</v>
      </c>
      <c r="C9" s="26">
        <f>_xlfn.IFNA(VLOOKUP(A9,[16]進出口值表查詢結果!$C$11:$G$157,3,0),-[4]整車!$B$22)</f>
        <v>0</v>
      </c>
      <c r="D9" s="171">
        <f t="shared" si="0"/>
        <v>0</v>
      </c>
      <c r="E9" s="174">
        <v>0</v>
      </c>
      <c r="F9" s="172">
        <f>E9/$E$68</f>
        <v>0</v>
      </c>
      <c r="G9" s="26">
        <f>_xlfn.IFNA(VLOOKUP(A9,[18]進出口值表查詢結果!$C$11:$J$40,4,0),-[4]整車!$B$22)</f>
        <v>0</v>
      </c>
      <c r="H9" s="22">
        <f>G9/$G$68</f>
        <v>0</v>
      </c>
      <c r="I9" s="173">
        <f t="shared" si="1"/>
        <v>0</v>
      </c>
    </row>
    <row r="10" spans="1:9">
      <c r="A10" s="29" t="s">
        <v>9</v>
      </c>
      <c r="B10" s="174">
        <f>_xlfn.IFNA(VLOOKUP(A10,[16]進出口值表查詢結果!$C$11:$G$185,5,0),-[4]整車!$B$22)</f>
        <v>0</v>
      </c>
      <c r="C10" s="26">
        <f>_xlfn.IFNA(VLOOKUP(A10,[16]進出口值表查詢結果!$C$11:$G$157,3,0),-[4]整車!$B$22)</f>
        <v>0</v>
      </c>
      <c r="D10" s="171">
        <f t="shared" si="0"/>
        <v>0</v>
      </c>
      <c r="E10" s="174">
        <f>VLOOKUP(A10,[17]進出口值表查詢結果!$A$3:$C$16,3,0)</f>
        <v>1</v>
      </c>
      <c r="F10" s="172">
        <f>E10/$E$68</f>
        <v>2.4224806201550387E-4</v>
      </c>
      <c r="G10" s="26">
        <f>VLOOKUP(A10,[17]進出口值表查詢結果!$A$3:$C$16,2,0)</f>
        <v>2128</v>
      </c>
      <c r="H10" s="22">
        <f>G10/$G$68</f>
        <v>6.3049740853121064E-4</v>
      </c>
      <c r="I10" s="173">
        <f t="shared" si="1"/>
        <v>2128</v>
      </c>
    </row>
    <row r="11" spans="1:9">
      <c r="A11" s="29"/>
      <c r="B11" s="174"/>
      <c r="C11" s="25"/>
      <c r="D11" s="171"/>
      <c r="E11" s="174"/>
      <c r="F11" s="175"/>
      <c r="G11" s="25"/>
      <c r="H11" s="28"/>
      <c r="I11" s="173"/>
    </row>
    <row r="12" spans="1:9">
      <c r="A12" s="30" t="s">
        <v>10</v>
      </c>
      <c r="B12" s="178">
        <f>SUM(B13:B39)</f>
        <v>6</v>
      </c>
      <c r="C12" s="31">
        <f>SUM(C13:C39)</f>
        <v>3764</v>
      </c>
      <c r="D12" s="171">
        <f>IF(B12,C12/B12,0)</f>
        <v>627.33333333333337</v>
      </c>
      <c r="E12" s="178">
        <f>SUM(E13:E39)</f>
        <v>280</v>
      </c>
      <c r="F12" s="172">
        <f t="shared" ref="F12:F13" si="2">E12/$E$68</f>
        <v>6.7829457364341081E-2</v>
      </c>
      <c r="G12" s="31">
        <f>SUM(G13:G39)</f>
        <v>166022</v>
      </c>
      <c r="H12" s="22">
        <f t="shared" ref="H12:H39" si="3">G12/$G$68</f>
        <v>4.9190056747729631E-2</v>
      </c>
      <c r="I12" s="173">
        <f t="shared" si="1"/>
        <v>592.93571428571431</v>
      </c>
    </row>
    <row r="13" spans="1:9">
      <c r="A13" s="24" t="s">
        <v>320</v>
      </c>
      <c r="B13" s="174">
        <v>5</v>
      </c>
      <c r="C13" s="25">
        <v>2105</v>
      </c>
      <c r="D13" s="171">
        <f t="shared" ref="D13:D67" si="4">IF(B13,C13/B13,0)</f>
        <v>421</v>
      </c>
      <c r="E13" s="174">
        <f>VLOOKUP(A13,[17]進出口值表查詢結果!$A$3:$C$16,3,0)</f>
        <v>268</v>
      </c>
      <c r="F13" s="172">
        <f t="shared" si="2"/>
        <v>6.4922480620155043E-2</v>
      </c>
      <c r="G13" s="26">
        <f>VLOOKUP(A13,[17]進出口值表查詢結果!$A$3:$C$16,2,0)</f>
        <v>125476</v>
      </c>
      <c r="H13" s="22">
        <f t="shared" si="3"/>
        <v>3.7176829338751029E-2</v>
      </c>
      <c r="I13" s="173">
        <f t="shared" si="1"/>
        <v>468.19402985074629</v>
      </c>
    </row>
    <row r="14" spans="1:9">
      <c r="A14" s="24" t="s">
        <v>321</v>
      </c>
      <c r="B14" s="174">
        <v>1</v>
      </c>
      <c r="C14" s="25">
        <v>1659</v>
      </c>
      <c r="D14" s="171">
        <f t="shared" ref="D14:D39" si="5">IF(B14,C14/B14,0)</f>
        <v>1659</v>
      </c>
      <c r="E14" s="174">
        <f>VLOOKUP(A14,[17]進出口值表查詢結果!$A$3:$C$16,3,0)</f>
        <v>12</v>
      </c>
      <c r="F14" s="172">
        <f t="shared" ref="F14:F39" si="6">E14/$E$68</f>
        <v>2.9069767441860465E-3</v>
      </c>
      <c r="G14" s="26">
        <f>VLOOKUP(A14,[17]進出口值表查詢結果!$A$3:$C$16,2,0)</f>
        <v>40546</v>
      </c>
      <c r="H14" s="22">
        <f t="shared" si="3"/>
        <v>1.2013227408978602E-2</v>
      </c>
      <c r="I14" s="173">
        <f t="shared" si="1"/>
        <v>3378.8333333333335</v>
      </c>
    </row>
    <row r="15" spans="1:9">
      <c r="A15" s="29" t="s">
        <v>13</v>
      </c>
      <c r="B15" s="174">
        <f>_xlfn.IFNA(VLOOKUP(A15,[16]進出口值表查詢結果!$C$11:$G$158,5,0),-[4]整車!$B$22)</f>
        <v>0</v>
      </c>
      <c r="C15" s="25">
        <f>_xlfn.IFNA(VLOOKUP(A15,[16]進出口值表查詢結果!$C$11:$G$185,3,0),-[4]整車!$B$22)</f>
        <v>0</v>
      </c>
      <c r="D15" s="171">
        <f t="shared" si="5"/>
        <v>0</v>
      </c>
      <c r="E15" s="174">
        <v>0</v>
      </c>
      <c r="F15" s="172">
        <f t="shared" si="6"/>
        <v>0</v>
      </c>
      <c r="G15" s="26">
        <v>0</v>
      </c>
      <c r="H15" s="22">
        <f t="shared" si="3"/>
        <v>0</v>
      </c>
      <c r="I15" s="173">
        <f t="shared" si="1"/>
        <v>0</v>
      </c>
    </row>
    <row r="16" spans="1:9">
      <c r="A16" s="24" t="s">
        <v>323</v>
      </c>
      <c r="B16" s="174">
        <f>_xlfn.IFNA(VLOOKUP(A16,[16]進出口值表查詢結果!$C$11:$G$158,5,0),-[4]整車!$B$22)</f>
        <v>0</v>
      </c>
      <c r="C16" s="25">
        <f>_xlfn.IFNA(VLOOKUP(A16,[16]進出口值表查詢結果!$C$11:$G$185,3,0),-[4]整車!$B$22)</f>
        <v>0</v>
      </c>
      <c r="D16" s="171">
        <f t="shared" si="5"/>
        <v>0</v>
      </c>
      <c r="E16" s="174">
        <v>0</v>
      </c>
      <c r="F16" s="172">
        <f t="shared" si="6"/>
        <v>0</v>
      </c>
      <c r="G16" s="26">
        <v>0</v>
      </c>
      <c r="H16" s="22">
        <f t="shared" si="3"/>
        <v>0</v>
      </c>
      <c r="I16" s="173">
        <f t="shared" si="1"/>
        <v>0</v>
      </c>
    </row>
    <row r="17" spans="1:9">
      <c r="A17" s="29" t="s">
        <v>16</v>
      </c>
      <c r="B17" s="174">
        <f>_xlfn.IFNA(VLOOKUP(A17,[16]進出口值表查詢結果!$C$11:$G$158,5,0),-[4]整車!$B$22)</f>
        <v>0</v>
      </c>
      <c r="C17" s="25">
        <f>_xlfn.IFNA(VLOOKUP(A17,[16]進出口值表查詢結果!$C$11:$G$185,3,0),-[4]整車!$B$22)</f>
        <v>0</v>
      </c>
      <c r="D17" s="171">
        <f t="shared" si="5"/>
        <v>0</v>
      </c>
      <c r="E17" s="174">
        <v>0</v>
      </c>
      <c r="F17" s="172">
        <f t="shared" si="6"/>
        <v>0</v>
      </c>
      <c r="G17" s="26">
        <v>0</v>
      </c>
      <c r="H17" s="22">
        <f t="shared" si="3"/>
        <v>0</v>
      </c>
      <c r="I17" s="173">
        <f t="shared" si="1"/>
        <v>0</v>
      </c>
    </row>
    <row r="18" spans="1:9">
      <c r="A18" s="29" t="s">
        <v>17</v>
      </c>
      <c r="B18" s="174">
        <f>_xlfn.IFNA(VLOOKUP(A18,[16]進出口值表查詢結果!$C$11:$G$158,5,0),-[4]整車!$B$22)</f>
        <v>0</v>
      </c>
      <c r="C18" s="25">
        <f>_xlfn.IFNA(VLOOKUP(A18,[16]進出口值表查詢結果!$C$11:$G$185,3,0),-[4]整車!$B$22)</f>
        <v>0</v>
      </c>
      <c r="D18" s="171">
        <f t="shared" si="5"/>
        <v>0</v>
      </c>
      <c r="E18" s="174">
        <v>0</v>
      </c>
      <c r="F18" s="172">
        <f t="shared" si="6"/>
        <v>0</v>
      </c>
      <c r="G18" s="26">
        <v>0</v>
      </c>
      <c r="H18" s="22">
        <f t="shared" si="3"/>
        <v>0</v>
      </c>
      <c r="I18" s="173">
        <f t="shared" si="1"/>
        <v>0</v>
      </c>
    </row>
    <row r="19" spans="1:9">
      <c r="A19" s="24" t="s">
        <v>324</v>
      </c>
      <c r="B19" s="174">
        <f>_xlfn.IFNA(VLOOKUP(A19,[16]進出口值表查詢結果!$C$11:$G$158,5,0),-[4]整車!$B$22)</f>
        <v>0</v>
      </c>
      <c r="C19" s="25">
        <f>_xlfn.IFNA(VLOOKUP(A19,[16]進出口值表查詢結果!$C$11:$G$185,3,0),-[4]整車!$B$22)</f>
        <v>0</v>
      </c>
      <c r="D19" s="171">
        <f t="shared" si="5"/>
        <v>0</v>
      </c>
      <c r="E19" s="174">
        <v>0</v>
      </c>
      <c r="F19" s="172">
        <f t="shared" si="6"/>
        <v>0</v>
      </c>
      <c r="G19" s="26">
        <v>0</v>
      </c>
      <c r="H19" s="22">
        <f t="shared" si="3"/>
        <v>0</v>
      </c>
      <c r="I19" s="173">
        <f t="shared" si="1"/>
        <v>0</v>
      </c>
    </row>
    <row r="20" spans="1:9">
      <c r="A20" s="29" t="s">
        <v>67</v>
      </c>
      <c r="B20" s="174">
        <f>_xlfn.IFNA(VLOOKUP(A20,[16]進出口值表查詢結果!$C$11:$G$158,5,0),-[4]整車!$B$22)</f>
        <v>0</v>
      </c>
      <c r="C20" s="25">
        <f>_xlfn.IFNA(VLOOKUP(A20,[16]進出口值表查詢結果!$C$11:$G$185,3,0),-[4]整車!$B$22)</f>
        <v>0</v>
      </c>
      <c r="D20" s="171">
        <f t="shared" si="5"/>
        <v>0</v>
      </c>
      <c r="E20" s="174">
        <v>0</v>
      </c>
      <c r="F20" s="172">
        <f t="shared" si="6"/>
        <v>0</v>
      </c>
      <c r="G20" s="26">
        <v>0</v>
      </c>
      <c r="H20" s="22">
        <f t="shared" si="3"/>
        <v>0</v>
      </c>
      <c r="I20" s="173">
        <f t="shared" si="1"/>
        <v>0</v>
      </c>
    </row>
    <row r="21" spans="1:9">
      <c r="A21" s="24" t="s">
        <v>325</v>
      </c>
      <c r="B21" s="174">
        <f>_xlfn.IFNA(VLOOKUP(A21,[16]進出口值表查詢結果!$C$11:$G$158,5,0),-[4]整車!$B$22)</f>
        <v>0</v>
      </c>
      <c r="C21" s="25">
        <f>_xlfn.IFNA(VLOOKUP(A21,[16]進出口值表查詢結果!$C$11:$G$185,3,0),-[4]整車!$B$22)</f>
        <v>0</v>
      </c>
      <c r="D21" s="171">
        <f t="shared" si="5"/>
        <v>0</v>
      </c>
      <c r="E21" s="174">
        <v>0</v>
      </c>
      <c r="F21" s="172">
        <f t="shared" si="6"/>
        <v>0</v>
      </c>
      <c r="G21" s="26">
        <v>0</v>
      </c>
      <c r="H21" s="22">
        <f t="shared" si="3"/>
        <v>0</v>
      </c>
      <c r="I21" s="173">
        <f t="shared" si="1"/>
        <v>0</v>
      </c>
    </row>
    <row r="22" spans="1:9">
      <c r="A22" s="29" t="s">
        <v>21</v>
      </c>
      <c r="B22" s="174">
        <f>_xlfn.IFNA(VLOOKUP(A22,[16]進出口值表查詢結果!$C$11:$G$158,5,0),-[4]整車!$B$22)</f>
        <v>0</v>
      </c>
      <c r="C22" s="25">
        <f>_xlfn.IFNA(VLOOKUP(A22,[16]進出口值表查詢結果!$C$11:$G$185,3,0),-[4]整車!$B$22)</f>
        <v>0</v>
      </c>
      <c r="D22" s="171">
        <f t="shared" si="5"/>
        <v>0</v>
      </c>
      <c r="E22" s="174">
        <v>0</v>
      </c>
      <c r="F22" s="172">
        <f t="shared" si="6"/>
        <v>0</v>
      </c>
      <c r="G22" s="26">
        <v>0</v>
      </c>
      <c r="H22" s="22">
        <f t="shared" si="3"/>
        <v>0</v>
      </c>
      <c r="I22" s="173">
        <f t="shared" si="1"/>
        <v>0</v>
      </c>
    </row>
    <row r="23" spans="1:9">
      <c r="A23" s="29" t="s">
        <v>22</v>
      </c>
      <c r="B23" s="174">
        <f>_xlfn.IFNA(VLOOKUP(A23,[16]進出口值表查詢結果!$C$11:$G$158,5,0),-[4]整車!$B$22)</f>
        <v>0</v>
      </c>
      <c r="C23" s="25">
        <f>_xlfn.IFNA(VLOOKUP(A23,[16]進出口值表查詢結果!$C$11:$G$185,3,0),-[4]整車!$B$22)</f>
        <v>0</v>
      </c>
      <c r="D23" s="171">
        <f t="shared" si="5"/>
        <v>0</v>
      </c>
      <c r="E23" s="174">
        <v>0</v>
      </c>
      <c r="F23" s="172">
        <f t="shared" si="6"/>
        <v>0</v>
      </c>
      <c r="G23" s="26">
        <v>0</v>
      </c>
      <c r="H23" s="22">
        <f t="shared" si="3"/>
        <v>0</v>
      </c>
      <c r="I23" s="173">
        <f t="shared" si="1"/>
        <v>0</v>
      </c>
    </row>
    <row r="24" spans="1:9">
      <c r="A24" s="29" t="s">
        <v>23</v>
      </c>
      <c r="B24" s="174">
        <f>_xlfn.IFNA(VLOOKUP(A24,[16]進出口值表查詢結果!$C$11:$G$158,5,0),-[4]整車!$B$22)</f>
        <v>0</v>
      </c>
      <c r="C24" s="25">
        <f>_xlfn.IFNA(VLOOKUP(A24,[16]進出口值表查詢結果!$C$11:$G$185,3,0),-[4]整車!$B$22)</f>
        <v>0</v>
      </c>
      <c r="D24" s="171">
        <f t="shared" si="5"/>
        <v>0</v>
      </c>
      <c r="E24" s="174">
        <v>0</v>
      </c>
      <c r="F24" s="172">
        <f t="shared" si="6"/>
        <v>0</v>
      </c>
      <c r="G24" s="26">
        <v>0</v>
      </c>
      <c r="H24" s="22">
        <f t="shared" si="3"/>
        <v>0</v>
      </c>
      <c r="I24" s="173">
        <f t="shared" si="1"/>
        <v>0</v>
      </c>
    </row>
    <row r="25" spans="1:9">
      <c r="A25" s="24" t="s">
        <v>326</v>
      </c>
      <c r="B25" s="174">
        <f>_xlfn.IFNA(VLOOKUP(A25,[16]進出口值表查詢結果!$C$11:$G$158,5,0),-[4]整車!$B$22)</f>
        <v>0</v>
      </c>
      <c r="C25" s="25">
        <f>_xlfn.IFNA(VLOOKUP(A25,[16]進出口值表查詢結果!$C$11:$G$185,3,0),-[4]整車!$B$22)</f>
        <v>0</v>
      </c>
      <c r="D25" s="171">
        <f t="shared" si="5"/>
        <v>0</v>
      </c>
      <c r="E25" s="174">
        <v>0</v>
      </c>
      <c r="F25" s="172">
        <f t="shared" si="6"/>
        <v>0</v>
      </c>
      <c r="G25" s="26">
        <v>0</v>
      </c>
      <c r="H25" s="22">
        <f t="shared" si="3"/>
        <v>0</v>
      </c>
      <c r="I25" s="173">
        <f t="shared" si="1"/>
        <v>0</v>
      </c>
    </row>
    <row r="26" spans="1:9">
      <c r="A26" s="24" t="s">
        <v>327</v>
      </c>
      <c r="B26" s="174">
        <f>_xlfn.IFNA(VLOOKUP(A26,[16]進出口值表查詢結果!$C$11:$G$158,5,0),-[4]整車!$B$22)</f>
        <v>0</v>
      </c>
      <c r="C26" s="25">
        <f>_xlfn.IFNA(VLOOKUP(A26,[16]進出口值表查詢結果!$C$11:$G$185,3,0),-[4]整車!$B$22)</f>
        <v>0</v>
      </c>
      <c r="D26" s="171">
        <f t="shared" si="5"/>
        <v>0</v>
      </c>
      <c r="E26" s="174">
        <v>0</v>
      </c>
      <c r="F26" s="172">
        <f t="shared" si="6"/>
        <v>0</v>
      </c>
      <c r="G26" s="26">
        <v>0</v>
      </c>
      <c r="H26" s="22">
        <f t="shared" si="3"/>
        <v>0</v>
      </c>
      <c r="I26" s="173">
        <f t="shared" si="1"/>
        <v>0</v>
      </c>
    </row>
    <row r="27" spans="1:9">
      <c r="A27" s="520" t="s">
        <v>328</v>
      </c>
      <c r="B27" s="174">
        <f>_xlfn.IFNA(VLOOKUP(A27,[16]進出口值表查詢結果!$C$11:$G$158,5,0),-[4]整車!$B$22)</f>
        <v>0</v>
      </c>
      <c r="C27" s="25">
        <f>_xlfn.IFNA(VLOOKUP(A27,[16]進出口值表查詢結果!$C$11:$G$185,3,0),-[4]整車!$B$22)</f>
        <v>0</v>
      </c>
      <c r="D27" s="171">
        <f t="shared" si="5"/>
        <v>0</v>
      </c>
      <c r="E27" s="174">
        <v>0</v>
      </c>
      <c r="F27" s="172">
        <f t="shared" si="6"/>
        <v>0</v>
      </c>
      <c r="G27" s="26">
        <v>0</v>
      </c>
      <c r="H27" s="22">
        <f t="shared" si="3"/>
        <v>0</v>
      </c>
      <c r="I27" s="173">
        <f t="shared" si="1"/>
        <v>0</v>
      </c>
    </row>
    <row r="28" spans="1:9">
      <c r="A28" s="520" t="s">
        <v>329</v>
      </c>
      <c r="B28" s="174">
        <f>_xlfn.IFNA(VLOOKUP(A28,[16]進出口值表查詢結果!$C$11:$G$158,5,0),-[4]整車!$B$22)</f>
        <v>0</v>
      </c>
      <c r="C28" s="25">
        <f>_xlfn.IFNA(VLOOKUP(A28,[16]進出口值表查詢結果!$C$11:$G$185,3,0),-[4]整車!$B$22)</f>
        <v>0</v>
      </c>
      <c r="D28" s="171">
        <f t="shared" si="5"/>
        <v>0</v>
      </c>
      <c r="E28" s="174">
        <v>0</v>
      </c>
      <c r="F28" s="172">
        <f t="shared" si="6"/>
        <v>0</v>
      </c>
      <c r="G28" s="26">
        <v>0</v>
      </c>
      <c r="H28" s="22">
        <f t="shared" si="3"/>
        <v>0</v>
      </c>
      <c r="I28" s="173">
        <f t="shared" si="1"/>
        <v>0</v>
      </c>
    </row>
    <row r="29" spans="1:9">
      <c r="A29" s="29" t="s">
        <v>26</v>
      </c>
      <c r="B29" s="174">
        <f>_xlfn.IFNA(VLOOKUP(A29,[16]進出口值表查詢結果!$C$11:$G$158,5,0),-[4]整車!$B$22)</f>
        <v>0</v>
      </c>
      <c r="C29" s="25">
        <f>_xlfn.IFNA(VLOOKUP(A29,[16]進出口值表查詢結果!$C$11:$G$185,3,0),-[4]整車!$B$22)</f>
        <v>0</v>
      </c>
      <c r="D29" s="171">
        <f t="shared" si="5"/>
        <v>0</v>
      </c>
      <c r="E29" s="174">
        <v>0</v>
      </c>
      <c r="F29" s="172">
        <f t="shared" si="6"/>
        <v>0</v>
      </c>
      <c r="G29" s="26">
        <v>0</v>
      </c>
      <c r="H29" s="22">
        <f t="shared" si="3"/>
        <v>0</v>
      </c>
      <c r="I29" s="173">
        <f t="shared" si="1"/>
        <v>0</v>
      </c>
    </row>
    <row r="30" spans="1:9">
      <c r="A30" s="29" t="s">
        <v>27</v>
      </c>
      <c r="B30" s="174">
        <f>_xlfn.IFNA(VLOOKUP(A30,[16]進出口值表查詢結果!$C$11:$G$158,5,0),-[4]整車!$B$22)</f>
        <v>0</v>
      </c>
      <c r="C30" s="25">
        <f>_xlfn.IFNA(VLOOKUP(A30,[16]進出口值表查詢結果!$C$11:$G$185,3,0),-[4]整車!$B$22)</f>
        <v>0</v>
      </c>
      <c r="D30" s="171">
        <f t="shared" si="5"/>
        <v>0</v>
      </c>
      <c r="E30" s="174">
        <v>0</v>
      </c>
      <c r="F30" s="172">
        <f t="shared" si="6"/>
        <v>0</v>
      </c>
      <c r="G30" s="26">
        <v>0</v>
      </c>
      <c r="H30" s="22">
        <f t="shared" si="3"/>
        <v>0</v>
      </c>
      <c r="I30" s="173">
        <f t="shared" si="1"/>
        <v>0</v>
      </c>
    </row>
    <row r="31" spans="1:9">
      <c r="A31" s="29" t="s">
        <v>28</v>
      </c>
      <c r="B31" s="174">
        <f>_xlfn.IFNA(VLOOKUP(A31,[16]進出口值表查詢結果!$C$11:$G$158,5,0),-[4]整車!$B$22)</f>
        <v>0</v>
      </c>
      <c r="C31" s="25">
        <f>_xlfn.IFNA(VLOOKUP(A31,[16]進出口值表查詢結果!$C$11:$G$185,3,0),-[4]整車!$B$22)</f>
        <v>0</v>
      </c>
      <c r="D31" s="171">
        <f t="shared" si="5"/>
        <v>0</v>
      </c>
      <c r="E31" s="174">
        <v>0</v>
      </c>
      <c r="F31" s="172">
        <f t="shared" si="6"/>
        <v>0</v>
      </c>
      <c r="G31" s="26">
        <v>0</v>
      </c>
      <c r="H31" s="22">
        <f t="shared" si="3"/>
        <v>0</v>
      </c>
      <c r="I31" s="173">
        <f t="shared" si="1"/>
        <v>0</v>
      </c>
    </row>
    <row r="32" spans="1:9">
      <c r="A32" s="29" t="s">
        <v>29</v>
      </c>
      <c r="B32" s="174">
        <f>_xlfn.IFNA(VLOOKUP(A32,[16]進出口值表查詢結果!$C$11:$G$158,5,0),-[4]整車!$B$22)</f>
        <v>0</v>
      </c>
      <c r="C32" s="25">
        <f>_xlfn.IFNA(VLOOKUP(A32,[16]進出口值表查詢結果!$C$11:$G$185,3,0),-[4]整車!$B$22)</f>
        <v>0</v>
      </c>
      <c r="D32" s="171">
        <f t="shared" si="5"/>
        <v>0</v>
      </c>
      <c r="E32" s="174">
        <v>0</v>
      </c>
      <c r="F32" s="172">
        <f t="shared" si="6"/>
        <v>0</v>
      </c>
      <c r="G32" s="26">
        <v>0</v>
      </c>
      <c r="H32" s="22">
        <f t="shared" si="3"/>
        <v>0</v>
      </c>
      <c r="I32" s="173">
        <f t="shared" si="1"/>
        <v>0</v>
      </c>
    </row>
    <row r="33" spans="1:9">
      <c r="A33" s="29" t="s">
        <v>30</v>
      </c>
      <c r="B33" s="174">
        <f>_xlfn.IFNA(VLOOKUP(A33,[16]進出口值表查詢結果!$C$11:$G$158,5,0),-[4]整車!$B$22)</f>
        <v>0</v>
      </c>
      <c r="C33" s="25">
        <f>_xlfn.IFNA(VLOOKUP(A33,[16]進出口值表查詢結果!$C$11:$G$185,3,0),-[4]整車!$B$22)</f>
        <v>0</v>
      </c>
      <c r="D33" s="171">
        <f t="shared" si="5"/>
        <v>0</v>
      </c>
      <c r="E33" s="174">
        <v>0</v>
      </c>
      <c r="F33" s="172">
        <f t="shared" si="6"/>
        <v>0</v>
      </c>
      <c r="G33" s="26">
        <v>0</v>
      </c>
      <c r="H33" s="22">
        <f t="shared" si="3"/>
        <v>0</v>
      </c>
      <c r="I33" s="173">
        <f t="shared" si="1"/>
        <v>0</v>
      </c>
    </row>
    <row r="34" spans="1:9">
      <c r="A34" s="29" t="s">
        <v>31</v>
      </c>
      <c r="B34" s="174">
        <f>_xlfn.IFNA(VLOOKUP(A34,[16]進出口值表查詢結果!$C$11:$G$158,5,0),-[4]整車!$B$22)</f>
        <v>0</v>
      </c>
      <c r="C34" s="25">
        <f>_xlfn.IFNA(VLOOKUP(A34,[16]進出口值表查詢結果!$C$11:$G$185,3,0),-[4]整車!$B$22)</f>
        <v>0</v>
      </c>
      <c r="D34" s="171">
        <f t="shared" si="5"/>
        <v>0</v>
      </c>
      <c r="E34" s="174">
        <v>0</v>
      </c>
      <c r="F34" s="172">
        <f t="shared" si="6"/>
        <v>0</v>
      </c>
      <c r="G34" s="26">
        <v>0</v>
      </c>
      <c r="H34" s="22">
        <f t="shared" si="3"/>
        <v>0</v>
      </c>
      <c r="I34" s="173">
        <f t="shared" si="1"/>
        <v>0</v>
      </c>
    </row>
    <row r="35" spans="1:9">
      <c r="A35" s="29" t="s">
        <v>32</v>
      </c>
      <c r="B35" s="174">
        <f>_xlfn.IFNA(VLOOKUP(A35,[16]進出口值表查詢結果!$C$11:$G$158,5,0),-[4]整車!$B$22)</f>
        <v>0</v>
      </c>
      <c r="C35" s="25">
        <f>_xlfn.IFNA(VLOOKUP(A35,[16]進出口值表查詢結果!$C$11:$G$185,3,0),-[4]整車!$B$22)</f>
        <v>0</v>
      </c>
      <c r="D35" s="171">
        <f t="shared" si="5"/>
        <v>0</v>
      </c>
      <c r="E35" s="174">
        <v>0</v>
      </c>
      <c r="F35" s="172">
        <f t="shared" si="6"/>
        <v>0</v>
      </c>
      <c r="G35" s="26">
        <v>0</v>
      </c>
      <c r="H35" s="22">
        <f t="shared" si="3"/>
        <v>0</v>
      </c>
      <c r="I35" s="173">
        <f t="shared" si="1"/>
        <v>0</v>
      </c>
    </row>
    <row r="36" spans="1:9">
      <c r="A36" s="29" t="s">
        <v>78</v>
      </c>
      <c r="B36" s="174">
        <f>_xlfn.IFNA(VLOOKUP(A36,[16]進出口值表查詢結果!$C$11:$G$158,5,0),-[4]整車!$B$22)</f>
        <v>0</v>
      </c>
      <c r="C36" s="25">
        <f>_xlfn.IFNA(VLOOKUP(A36,[16]進出口值表查詢結果!$C$11:$G$185,3,0),-[4]整車!$B$22)</f>
        <v>0</v>
      </c>
      <c r="D36" s="171">
        <f t="shared" si="5"/>
        <v>0</v>
      </c>
      <c r="E36" s="174">
        <v>0</v>
      </c>
      <c r="F36" s="172">
        <f t="shared" si="6"/>
        <v>0</v>
      </c>
      <c r="G36" s="26">
        <v>0</v>
      </c>
      <c r="H36" s="22">
        <f t="shared" si="3"/>
        <v>0</v>
      </c>
      <c r="I36" s="173">
        <f t="shared" si="1"/>
        <v>0</v>
      </c>
    </row>
    <row r="37" spans="1:9">
      <c r="A37" s="29" t="s">
        <v>34</v>
      </c>
      <c r="B37" s="174">
        <f>_xlfn.IFNA(VLOOKUP(A37,[16]進出口值表查詢結果!$C$11:$G$158,5,0),-[4]整車!$B$22)</f>
        <v>0</v>
      </c>
      <c r="C37" s="25">
        <f>_xlfn.IFNA(VLOOKUP(A37,[16]進出口值表查詢結果!$C$11:$G$185,3,0),-[4]整車!$B$22)</f>
        <v>0</v>
      </c>
      <c r="D37" s="171">
        <f t="shared" si="5"/>
        <v>0</v>
      </c>
      <c r="E37" s="174">
        <v>0</v>
      </c>
      <c r="F37" s="172">
        <f t="shared" si="6"/>
        <v>0</v>
      </c>
      <c r="G37" s="26">
        <v>0</v>
      </c>
      <c r="H37" s="22">
        <f t="shared" si="3"/>
        <v>0</v>
      </c>
      <c r="I37" s="173">
        <f t="shared" si="1"/>
        <v>0</v>
      </c>
    </row>
    <row r="38" spans="1:9">
      <c r="A38" s="29" t="s">
        <v>35</v>
      </c>
      <c r="B38" s="174">
        <f>_xlfn.IFNA(VLOOKUP(A38,[16]進出口值表查詢結果!$C$11:$G$158,5,0),-[4]整車!$B$22)</f>
        <v>0</v>
      </c>
      <c r="C38" s="25">
        <f>_xlfn.IFNA(VLOOKUP(A38,[16]進出口值表查詢結果!$C$11:$G$185,3,0),-[4]整車!$B$22)</f>
        <v>0</v>
      </c>
      <c r="D38" s="171">
        <f t="shared" si="5"/>
        <v>0</v>
      </c>
      <c r="E38" s="174">
        <v>0</v>
      </c>
      <c r="F38" s="172">
        <f t="shared" si="6"/>
        <v>0</v>
      </c>
      <c r="G38" s="26">
        <v>0</v>
      </c>
      <c r="H38" s="22">
        <f t="shared" si="3"/>
        <v>0</v>
      </c>
      <c r="I38" s="173">
        <f t="shared" si="1"/>
        <v>0</v>
      </c>
    </row>
    <row r="39" spans="1:9">
      <c r="A39" s="29" t="s">
        <v>36</v>
      </c>
      <c r="B39" s="174">
        <f>_xlfn.IFNA(VLOOKUP(A39,[16]進出口值表查詢結果!$C$11:$G$158,5,0),-[4]整車!$B$22)</f>
        <v>0</v>
      </c>
      <c r="C39" s="25">
        <f>_xlfn.IFNA(VLOOKUP(A39,[16]進出口值表查詢結果!$C$11:$G$185,3,0),-[4]整車!$B$22)</f>
        <v>0</v>
      </c>
      <c r="D39" s="171">
        <f t="shared" si="5"/>
        <v>0</v>
      </c>
      <c r="E39" s="174">
        <v>0</v>
      </c>
      <c r="F39" s="172">
        <f t="shared" si="6"/>
        <v>0</v>
      </c>
      <c r="G39" s="26">
        <v>0</v>
      </c>
      <c r="H39" s="22">
        <f t="shared" si="3"/>
        <v>0</v>
      </c>
      <c r="I39" s="173">
        <f t="shared" si="1"/>
        <v>0</v>
      </c>
    </row>
    <row r="40" spans="1:9">
      <c r="A40" s="29"/>
      <c r="B40" s="174"/>
      <c r="C40" s="25"/>
      <c r="D40" s="171"/>
      <c r="E40" s="174"/>
      <c r="F40" s="175"/>
      <c r="G40" s="25"/>
      <c r="H40" s="28"/>
      <c r="I40" s="173"/>
    </row>
    <row r="41" spans="1:9">
      <c r="A41" s="32" t="s">
        <v>37</v>
      </c>
      <c r="B41" s="178">
        <f>SUM(B42:B45)</f>
        <v>0</v>
      </c>
      <c r="C41" s="25">
        <f>SUM(C42:C45)</f>
        <v>0</v>
      </c>
      <c r="D41" s="171">
        <f t="shared" si="4"/>
        <v>0</v>
      </c>
      <c r="E41" s="178">
        <f>SUM(E42:E45)</f>
        <v>0</v>
      </c>
      <c r="F41" s="172">
        <f>E41/$E$68</f>
        <v>0</v>
      </c>
      <c r="G41" s="31">
        <f>SUM(G42:G45)</f>
        <v>0</v>
      </c>
      <c r="H41" s="28">
        <f>G41/$G$68</f>
        <v>0</v>
      </c>
      <c r="I41" s="173">
        <f t="shared" si="1"/>
        <v>0</v>
      </c>
    </row>
    <row r="42" spans="1:9">
      <c r="A42" s="24" t="s">
        <v>330</v>
      </c>
      <c r="B42" s="174">
        <f>_xlfn.IFNA(VLOOKUP(A42,[16]進出口值表查詢結果!$C$11:$G$155,5,0),-[4]整車!$B$22)</f>
        <v>0</v>
      </c>
      <c r="C42" s="25">
        <f>_xlfn.IFNA(VLOOKUP(A42,[16]進出口值表查詢結果!$C$11:$G$185,3,0),-[4]整車!$B$22)</f>
        <v>0</v>
      </c>
      <c r="D42" s="171">
        <f t="shared" si="4"/>
        <v>0</v>
      </c>
      <c r="E42" s="174">
        <v>0</v>
      </c>
      <c r="F42" s="172">
        <f>E42/$E$68</f>
        <v>0</v>
      </c>
      <c r="G42" s="26">
        <v>0</v>
      </c>
      <c r="H42" s="28">
        <f>G42/$G$68</f>
        <v>0</v>
      </c>
      <c r="I42" s="173">
        <f t="shared" si="1"/>
        <v>0</v>
      </c>
    </row>
    <row r="43" spans="1:9">
      <c r="A43" s="24" t="s">
        <v>331</v>
      </c>
      <c r="B43" s="174">
        <f>_xlfn.IFNA(VLOOKUP(A43,[16]進出口值表查詢結果!$C$11:$G$155,5,0),-[4]整車!$B$22)</f>
        <v>0</v>
      </c>
      <c r="C43" s="25">
        <f>_xlfn.IFNA(VLOOKUP(A43,[16]進出口值表查詢結果!$C$11:$G$185,3,0),-[4]整車!$B$22)</f>
        <v>0</v>
      </c>
      <c r="D43" s="171">
        <f t="shared" si="4"/>
        <v>0</v>
      </c>
      <c r="E43" s="174">
        <v>0</v>
      </c>
      <c r="F43" s="172">
        <f>E43/$E$68</f>
        <v>0</v>
      </c>
      <c r="G43" s="26">
        <v>0</v>
      </c>
      <c r="H43" s="28">
        <f>G43/$G$68</f>
        <v>0</v>
      </c>
      <c r="I43" s="173">
        <f t="shared" si="1"/>
        <v>0</v>
      </c>
    </row>
    <row r="44" spans="1:9">
      <c r="A44" s="24" t="s">
        <v>332</v>
      </c>
      <c r="B44" s="174">
        <f>_xlfn.IFNA(VLOOKUP(A44,[16]進出口值表查詢結果!$C$11:$G$155,5,0),-[4]整車!$B$22)</f>
        <v>0</v>
      </c>
      <c r="C44" s="25">
        <f>_xlfn.IFNA(VLOOKUP(A44,[16]進出口值表查詢結果!$C$11:$G$185,3,0),-[4]整車!$B$22)</f>
        <v>0</v>
      </c>
      <c r="D44" s="171">
        <f t="shared" si="4"/>
        <v>0</v>
      </c>
      <c r="E44" s="174">
        <v>0</v>
      </c>
      <c r="F44" s="172">
        <f>E44/$E$68</f>
        <v>0</v>
      </c>
      <c r="G44" s="26">
        <v>0</v>
      </c>
      <c r="H44" s="28">
        <f>G44/$G$68</f>
        <v>0</v>
      </c>
      <c r="I44" s="173">
        <f t="shared" si="1"/>
        <v>0</v>
      </c>
    </row>
    <row r="45" spans="1:9">
      <c r="A45" s="29" t="s">
        <v>41</v>
      </c>
      <c r="B45" s="174">
        <f>_xlfn.IFNA(VLOOKUP(A45,[16]進出口值表查詢結果!$C$11:$G$155,5,0),-[4]整車!$B$22)</f>
        <v>0</v>
      </c>
      <c r="C45" s="25">
        <f>_xlfn.IFNA(VLOOKUP(A45,[16]進出口值表查詢結果!$C$11:$G$185,3,0),-[4]整車!$B$22)</f>
        <v>0</v>
      </c>
      <c r="D45" s="171">
        <f t="shared" si="4"/>
        <v>0</v>
      </c>
      <c r="E45" s="174">
        <v>0</v>
      </c>
      <c r="F45" s="172">
        <f>E45/$E$68</f>
        <v>0</v>
      </c>
      <c r="G45" s="26">
        <v>0</v>
      </c>
      <c r="H45" s="28">
        <f>G45/$G$68</f>
        <v>0</v>
      </c>
      <c r="I45" s="173">
        <f t="shared" si="1"/>
        <v>0</v>
      </c>
    </row>
    <row r="46" spans="1:9">
      <c r="A46" s="29"/>
      <c r="B46" s="174"/>
      <c r="C46" s="25"/>
      <c r="D46" s="171"/>
      <c r="E46" s="174"/>
      <c r="F46" s="175"/>
      <c r="G46" s="25"/>
      <c r="H46" s="28"/>
      <c r="I46" s="173"/>
    </row>
    <row r="47" spans="1:9">
      <c r="A47" s="32" t="s">
        <v>106</v>
      </c>
      <c r="B47" s="178">
        <f>SUM(B48:B66)</f>
        <v>261</v>
      </c>
      <c r="C47" s="31">
        <f>SUM(C48:C66)</f>
        <v>218947</v>
      </c>
      <c r="D47" s="171">
        <f t="shared" si="4"/>
        <v>838.87739463601531</v>
      </c>
      <c r="E47" s="178">
        <f>SUM(E48:E66)</f>
        <v>3779</v>
      </c>
      <c r="F47" s="172">
        <f t="shared" ref="F47:F68" si="7">E47/$E$68</f>
        <v>0.91545542635658916</v>
      </c>
      <c r="G47" s="31">
        <f>SUM(G48:G66)</f>
        <v>3138010</v>
      </c>
      <c r="H47" s="22">
        <f t="shared" ref="H47:H68" si="8">G47/$G$68</f>
        <v>0.92974961134634604</v>
      </c>
      <c r="I47" s="173">
        <f t="shared" si="1"/>
        <v>830.38105318867429</v>
      </c>
    </row>
    <row r="48" spans="1:9">
      <c r="A48" s="24" t="s">
        <v>322</v>
      </c>
      <c r="B48" s="174">
        <f>_xlfn.IFNA(VLOOKUP(A48,[16]進出口值表查詢結果!$C$11:$G$185,5,0),-[4]整車!$B$22)</f>
        <v>0</v>
      </c>
      <c r="C48" s="25">
        <f>_xlfn.IFNA(VLOOKUP(A48,[16]進出口值表查詢結果!$C$11:$G$185,3,0),-[4]整車!$B$22)</f>
        <v>0</v>
      </c>
      <c r="D48" s="171">
        <f t="shared" si="4"/>
        <v>0</v>
      </c>
      <c r="E48" s="174">
        <v>0</v>
      </c>
      <c r="F48" s="172">
        <f t="shared" si="7"/>
        <v>0</v>
      </c>
      <c r="G48" s="26">
        <v>0</v>
      </c>
      <c r="H48" s="22">
        <f t="shared" si="8"/>
        <v>0</v>
      </c>
      <c r="I48" s="173">
        <f t="shared" si="1"/>
        <v>0</v>
      </c>
    </row>
    <row r="49" spans="1:9">
      <c r="A49" s="24" t="s">
        <v>333</v>
      </c>
      <c r="B49" s="174">
        <v>223</v>
      </c>
      <c r="C49" s="25">
        <v>179776</v>
      </c>
      <c r="D49" s="171">
        <f t="shared" ref="D49:D66" si="9">IF(B49,C49/B49,0)</f>
        <v>806.17040358744396</v>
      </c>
      <c r="E49" s="174">
        <f>VLOOKUP(A49,[17]進出口值表查詢結果!$A$3:$C$16,3,0)</f>
        <v>869</v>
      </c>
      <c r="F49" s="172">
        <f t="shared" ref="F49:F66" si="10">E49/$E$68</f>
        <v>0.21051356589147288</v>
      </c>
      <c r="G49" s="26">
        <f>VLOOKUP(A49,[17]進出口值表查詢結果!$A$3:$C$16,2,0)</f>
        <v>503751</v>
      </c>
      <c r="H49" s="22">
        <f t="shared" si="8"/>
        <v>0.14925455829182607</v>
      </c>
      <c r="I49" s="173">
        <f t="shared" si="1"/>
        <v>579.69044879171463</v>
      </c>
    </row>
    <row r="50" spans="1:9">
      <c r="A50" s="522" t="s">
        <v>339</v>
      </c>
      <c r="B50" s="174">
        <f>_xlfn.IFNA(VLOOKUP(A50,[16]進出口值表查詢結果!$C$11:$G$185,5,0),-[4]整車!$B$22)</f>
        <v>0</v>
      </c>
      <c r="C50" s="25">
        <f>_xlfn.IFNA(VLOOKUP(A50,[16]進出口值表查詢結果!$C$11:$G$185,3,0),-[4]整車!$B$22)</f>
        <v>0</v>
      </c>
      <c r="D50" s="171">
        <f t="shared" si="9"/>
        <v>0</v>
      </c>
      <c r="E50" s="174">
        <v>0</v>
      </c>
      <c r="F50" s="172">
        <f t="shared" si="10"/>
        <v>0</v>
      </c>
      <c r="G50" s="174">
        <v>0</v>
      </c>
      <c r="H50" s="22">
        <f t="shared" si="8"/>
        <v>0</v>
      </c>
      <c r="I50" s="173">
        <f t="shared" si="1"/>
        <v>0</v>
      </c>
    </row>
    <row r="51" spans="1:9">
      <c r="A51" s="24" t="s">
        <v>334</v>
      </c>
      <c r="B51" s="174">
        <f>_xlfn.IFNA(VLOOKUP(A51,[16]進出口值表查詢結果!$C$11:$G$185,5,0),-[4]整車!$B$22)</f>
        <v>0</v>
      </c>
      <c r="C51" s="25">
        <f>_xlfn.IFNA(VLOOKUP(A51,[16]進出口值表查詢結果!$C$11:$G$185,3,0),-[4]整車!$B$22)</f>
        <v>0</v>
      </c>
      <c r="D51" s="171">
        <f t="shared" si="9"/>
        <v>0</v>
      </c>
      <c r="E51" s="174">
        <v>0</v>
      </c>
      <c r="F51" s="172">
        <f t="shared" si="10"/>
        <v>0</v>
      </c>
      <c r="G51" s="174">
        <v>0</v>
      </c>
      <c r="H51" s="22">
        <f t="shared" si="8"/>
        <v>0</v>
      </c>
      <c r="I51" s="173">
        <f t="shared" si="1"/>
        <v>0</v>
      </c>
    </row>
    <row r="52" spans="1:9">
      <c r="A52" s="29" t="s">
        <v>46</v>
      </c>
      <c r="B52" s="174">
        <f>_xlfn.IFNA(VLOOKUP(A52,[16]進出口值表查詢結果!$C$11:$G$185,5,0),-[4]整車!$B$22)</f>
        <v>0</v>
      </c>
      <c r="C52" s="25">
        <f>_xlfn.IFNA(VLOOKUP(A52,[16]進出口值表查詢結果!$C$11:$G$185,3,0),-[4]整車!$B$22)</f>
        <v>0</v>
      </c>
      <c r="D52" s="171">
        <f t="shared" si="9"/>
        <v>0</v>
      </c>
      <c r="E52" s="174">
        <v>0</v>
      </c>
      <c r="F52" s="172">
        <f t="shared" si="10"/>
        <v>0</v>
      </c>
      <c r="G52" s="174">
        <v>0</v>
      </c>
      <c r="H52" s="22">
        <f t="shared" si="8"/>
        <v>0</v>
      </c>
      <c r="I52" s="173">
        <f t="shared" si="1"/>
        <v>0</v>
      </c>
    </row>
    <row r="53" spans="1:9">
      <c r="A53" s="24" t="s">
        <v>335</v>
      </c>
      <c r="B53" s="174">
        <f>_xlfn.IFNA(VLOOKUP(A53,[16]進出口值表查詢結果!$C$11:$G$185,5,0),-[4]整車!$B$22)</f>
        <v>0</v>
      </c>
      <c r="C53" s="25">
        <f>_xlfn.IFNA(VLOOKUP(A53,[16]進出口值表查詢結果!$C$11:$G$185,3,0),-[4]整車!$B$22)</f>
        <v>0</v>
      </c>
      <c r="D53" s="171">
        <f t="shared" si="9"/>
        <v>0</v>
      </c>
      <c r="E53" s="174">
        <v>0</v>
      </c>
      <c r="F53" s="172">
        <f t="shared" si="10"/>
        <v>0</v>
      </c>
      <c r="G53" s="174">
        <v>0</v>
      </c>
      <c r="H53" s="22">
        <f t="shared" si="8"/>
        <v>0</v>
      </c>
      <c r="I53" s="173">
        <f t="shared" si="1"/>
        <v>0</v>
      </c>
    </row>
    <row r="54" spans="1:9">
      <c r="A54" s="29" t="s">
        <v>48</v>
      </c>
      <c r="B54" s="174">
        <f>_xlfn.IFNA(VLOOKUP(A54,[16]進出口值表查詢結果!$C$11:$G$185,5,0),-[4]整車!$B$22)</f>
        <v>0</v>
      </c>
      <c r="C54" s="25">
        <f>_xlfn.IFNA(VLOOKUP(A54,[16]進出口值表查詢結果!$C$11:$G$185,3,0),-[4]整車!$B$22)</f>
        <v>0</v>
      </c>
      <c r="D54" s="171">
        <f t="shared" si="9"/>
        <v>0</v>
      </c>
      <c r="E54" s="174">
        <v>0</v>
      </c>
      <c r="F54" s="172">
        <f t="shared" si="10"/>
        <v>0</v>
      </c>
      <c r="G54" s="174">
        <v>0</v>
      </c>
      <c r="H54" s="22">
        <f t="shared" si="8"/>
        <v>0</v>
      </c>
      <c r="I54" s="173">
        <f t="shared" si="1"/>
        <v>0</v>
      </c>
    </row>
    <row r="55" spans="1:9">
      <c r="A55" s="29" t="s">
        <v>49</v>
      </c>
      <c r="B55" s="174">
        <f>_xlfn.IFNA(VLOOKUP(A55,[16]進出口值表查詢結果!$C$11:$G$185,5,0),-[4]整車!$B$22)</f>
        <v>0</v>
      </c>
      <c r="C55" s="25">
        <f>_xlfn.IFNA(VLOOKUP(A55,[16]進出口值表查詢結果!$C$11:$G$185,3,0),-[4]整車!$B$22)</f>
        <v>0</v>
      </c>
      <c r="D55" s="171">
        <f t="shared" si="9"/>
        <v>0</v>
      </c>
      <c r="E55" s="174">
        <v>0</v>
      </c>
      <c r="F55" s="172">
        <f t="shared" si="10"/>
        <v>0</v>
      </c>
      <c r="G55" s="174">
        <v>0</v>
      </c>
      <c r="H55" s="22">
        <f t="shared" si="8"/>
        <v>0</v>
      </c>
      <c r="I55" s="173">
        <f t="shared" si="1"/>
        <v>0</v>
      </c>
    </row>
    <row r="56" spans="1:9">
      <c r="A56" s="29" t="s">
        <v>50</v>
      </c>
      <c r="B56" s="174">
        <v>0</v>
      </c>
      <c r="C56" s="25">
        <v>0</v>
      </c>
      <c r="D56" s="171">
        <f t="shared" si="9"/>
        <v>0</v>
      </c>
      <c r="E56" s="174">
        <f>VLOOKUP(A56,[17]進出口值表查詢結果!$A$3:$C$16,3,0)</f>
        <v>1497</v>
      </c>
      <c r="F56" s="172">
        <f t="shared" si="10"/>
        <v>0.36264534883720928</v>
      </c>
      <c r="G56" s="26">
        <f>VLOOKUP(A56,[17]進出口值表查詢結果!$A$3:$C$16,2,0)</f>
        <v>1511856</v>
      </c>
      <c r="H56" s="22">
        <f t="shared" si="8"/>
        <v>0.44794233556032048</v>
      </c>
      <c r="I56" s="173">
        <f t="shared" si="1"/>
        <v>1009.9238476953908</v>
      </c>
    </row>
    <row r="57" spans="1:9">
      <c r="A57" s="521" t="s">
        <v>338</v>
      </c>
      <c r="B57" s="174">
        <f>_xlfn.IFNA(VLOOKUP(A57,[16]進出口值表查詢結果!$C$11:$G$185,5,0),-[4]整車!$B$22)</f>
        <v>0</v>
      </c>
      <c r="C57" s="25">
        <f>_xlfn.IFNA(VLOOKUP(A57,[16]進出口值表查詢結果!$C$11:$G$185,3,0),-[4]整車!$B$22)</f>
        <v>0</v>
      </c>
      <c r="D57" s="171">
        <f t="shared" si="9"/>
        <v>0</v>
      </c>
      <c r="E57" s="174">
        <f>VLOOKUP(A57,[17]進出口值表查詢結果!$A$3:$C$16,3,0)</f>
        <v>756</v>
      </c>
      <c r="F57" s="172">
        <f t="shared" si="10"/>
        <v>0.18313953488372092</v>
      </c>
      <c r="G57" s="26">
        <f>VLOOKUP(A57,[17]進出口值表查詢結果!$A$3:$C$16,2,0)</f>
        <v>646667</v>
      </c>
      <c r="H57" s="22">
        <f t="shared" si="8"/>
        <v>0.19159862203132161</v>
      </c>
      <c r="I57" s="173">
        <f t="shared" si="1"/>
        <v>855.37962962962968</v>
      </c>
    </row>
    <row r="58" spans="1:9">
      <c r="A58" s="520" t="s">
        <v>345</v>
      </c>
      <c r="B58" s="174">
        <v>38</v>
      </c>
      <c r="C58" s="25">
        <v>39171</v>
      </c>
      <c r="D58" s="171">
        <f t="shared" si="9"/>
        <v>1030.8157894736842</v>
      </c>
      <c r="E58" s="174">
        <f>VLOOKUP(A58,[17]進出口值表查詢結果!$A$3:$C$16,3,0)</f>
        <v>254</v>
      </c>
      <c r="F58" s="172">
        <f t="shared" si="10"/>
        <v>6.1531007751937983E-2</v>
      </c>
      <c r="G58" s="26">
        <f>VLOOKUP(A58,[17]進出口值表查詢結果!$A$3:$C$16,2,0)</f>
        <v>320535</v>
      </c>
      <c r="H58" s="22">
        <f t="shared" si="8"/>
        <v>9.4970153591894549E-2</v>
      </c>
      <c r="I58" s="173">
        <f t="shared" si="1"/>
        <v>1261.9488188976377</v>
      </c>
    </row>
    <row r="59" spans="1:9">
      <c r="A59" s="29" t="s">
        <v>51</v>
      </c>
      <c r="B59" s="174">
        <f>_xlfn.IFNA(VLOOKUP(A59,[16]進出口值表查詢結果!$C$11:$G$185,5,0),-[4]整車!$B$22)</f>
        <v>0</v>
      </c>
      <c r="C59" s="25">
        <f>_xlfn.IFNA(VLOOKUP(A59,[16]進出口值表查詢結果!$C$11:$G$185,3,0),-[4]整車!$B$22)</f>
        <v>0</v>
      </c>
      <c r="D59" s="171">
        <f t="shared" si="9"/>
        <v>0</v>
      </c>
      <c r="E59" s="174">
        <f>VLOOKUP(A59,[17]進出口值表查詢結果!$A$3:$C$16,3,0)</f>
        <v>400</v>
      </c>
      <c r="F59" s="172">
        <f t="shared" si="10"/>
        <v>9.6899224806201556E-2</v>
      </c>
      <c r="G59" s="26">
        <f>VLOOKUP(A59,[17]進出口值表查詢結果!$A$3:$C$16,2,0)</f>
        <v>154715</v>
      </c>
      <c r="H59" s="22">
        <f t="shared" si="8"/>
        <v>4.5839946692155194E-2</v>
      </c>
      <c r="I59" s="173">
        <f t="shared" si="1"/>
        <v>386.78750000000002</v>
      </c>
    </row>
    <row r="60" spans="1:9">
      <c r="A60" s="29" t="s">
        <v>52</v>
      </c>
      <c r="B60" s="174">
        <f>_xlfn.IFNA(VLOOKUP(A60,[16]進出口值表查詢結果!$C$11:$G$185,5,0),-[4]整車!$B$22)</f>
        <v>0</v>
      </c>
      <c r="C60" s="25">
        <f>_xlfn.IFNA(VLOOKUP(A60,[16]進出口值表查詢結果!$C$11:$G$185,3,0),-[4]整車!$B$22)</f>
        <v>0</v>
      </c>
      <c r="D60" s="171">
        <f t="shared" si="9"/>
        <v>0</v>
      </c>
      <c r="E60" s="174">
        <v>0</v>
      </c>
      <c r="F60" s="172">
        <f t="shared" si="10"/>
        <v>0</v>
      </c>
      <c r="G60" s="26">
        <v>0</v>
      </c>
      <c r="H60" s="22">
        <f t="shared" si="8"/>
        <v>0</v>
      </c>
      <c r="I60" s="173">
        <f t="shared" si="1"/>
        <v>0</v>
      </c>
    </row>
    <row r="61" spans="1:9">
      <c r="A61" s="29" t="s">
        <v>53</v>
      </c>
      <c r="B61" s="174">
        <f>_xlfn.IFNA(VLOOKUP(A61,[16]進出口值表查詢結果!$C$11:$G$185,5,0),-[4]整車!$B$22)</f>
        <v>0</v>
      </c>
      <c r="C61" s="25">
        <f>_xlfn.IFNA(VLOOKUP(A61,[16]進出口值表查詢結果!$C$11:$G$185,3,0),-[4]整車!$B$22)</f>
        <v>0</v>
      </c>
      <c r="D61" s="171">
        <f t="shared" si="9"/>
        <v>0</v>
      </c>
      <c r="E61" s="174">
        <v>0</v>
      </c>
      <c r="F61" s="172">
        <f t="shared" si="10"/>
        <v>0</v>
      </c>
      <c r="G61" s="26">
        <v>0</v>
      </c>
      <c r="H61" s="22">
        <f t="shared" si="8"/>
        <v>0</v>
      </c>
      <c r="I61" s="173">
        <f t="shared" si="1"/>
        <v>0</v>
      </c>
    </row>
    <row r="62" spans="1:9">
      <c r="A62" s="520" t="s">
        <v>336</v>
      </c>
      <c r="B62" s="174">
        <f>_xlfn.IFNA(VLOOKUP(A62,[16]進出口值表查詢結果!$C$11:$G$185,5,0),-[4]整車!$B$22)</f>
        <v>0</v>
      </c>
      <c r="C62" s="25">
        <f>_xlfn.IFNA(VLOOKUP(A62,[16]進出口值表查詢結果!$C$11:$G$185,3,0),-[4]整車!$B$22)</f>
        <v>0</v>
      </c>
      <c r="D62" s="171">
        <f t="shared" si="9"/>
        <v>0</v>
      </c>
      <c r="E62" s="174">
        <v>0</v>
      </c>
      <c r="F62" s="172">
        <f t="shared" si="10"/>
        <v>0</v>
      </c>
      <c r="G62" s="26">
        <v>0</v>
      </c>
      <c r="H62" s="22">
        <f t="shared" si="8"/>
        <v>0</v>
      </c>
      <c r="I62" s="173">
        <f t="shared" si="1"/>
        <v>0</v>
      </c>
    </row>
    <row r="63" spans="1:9">
      <c r="A63" s="29" t="s">
        <v>54</v>
      </c>
      <c r="B63" s="174">
        <f>_xlfn.IFNA(VLOOKUP(A63,[16]進出口值表查詢結果!$C$11:$G$185,5,0),-[4]整車!$B$22)</f>
        <v>0</v>
      </c>
      <c r="C63" s="25">
        <f>_xlfn.IFNA(VLOOKUP(A63,[16]進出口值表查詢結果!$C$11:$G$185,3,0),-[4]整車!$B$22)</f>
        <v>0</v>
      </c>
      <c r="D63" s="171">
        <f t="shared" si="9"/>
        <v>0</v>
      </c>
      <c r="E63" s="174">
        <v>0</v>
      </c>
      <c r="F63" s="172">
        <f t="shared" si="10"/>
        <v>0</v>
      </c>
      <c r="G63" s="26">
        <v>0</v>
      </c>
      <c r="H63" s="22">
        <f t="shared" si="8"/>
        <v>0</v>
      </c>
      <c r="I63" s="173">
        <f t="shared" si="1"/>
        <v>0</v>
      </c>
    </row>
    <row r="64" spans="1:9">
      <c r="A64" s="520" t="s">
        <v>102</v>
      </c>
      <c r="B64" s="174">
        <f>_xlfn.IFNA(VLOOKUP(A64,[16]進出口值表查詢結果!$C$11:$G$185,5,0),-[4]整車!$B$22)</f>
        <v>0</v>
      </c>
      <c r="C64" s="25">
        <f>_xlfn.IFNA(VLOOKUP(A64,[16]進出口值表查詢結果!$C$11:$G$185,3,0),-[4]整車!$B$22)</f>
        <v>0</v>
      </c>
      <c r="D64" s="171">
        <f t="shared" si="9"/>
        <v>0</v>
      </c>
      <c r="E64" s="174">
        <v>0</v>
      </c>
      <c r="F64" s="172">
        <f t="shared" si="10"/>
        <v>0</v>
      </c>
      <c r="G64" s="26">
        <v>0</v>
      </c>
      <c r="H64" s="22">
        <f t="shared" si="8"/>
        <v>0</v>
      </c>
      <c r="I64" s="173">
        <f t="shared" si="1"/>
        <v>0</v>
      </c>
    </row>
    <row r="65" spans="1:9">
      <c r="A65" s="29" t="s">
        <v>55</v>
      </c>
      <c r="B65" s="174">
        <f>_xlfn.IFNA(VLOOKUP(A65,[16]進出口值表查詢結果!$C$11:$G$185,5,0),-[4]整車!$B$22)</f>
        <v>0</v>
      </c>
      <c r="C65" s="25">
        <f>_xlfn.IFNA(VLOOKUP(A65,[16]進出口值表查詢結果!$C$11:$G$185,3,0),-[4]整車!$B$22)</f>
        <v>0</v>
      </c>
      <c r="D65" s="171">
        <f t="shared" si="9"/>
        <v>0</v>
      </c>
      <c r="E65" s="174">
        <v>0</v>
      </c>
      <c r="F65" s="172">
        <f t="shared" si="10"/>
        <v>0</v>
      </c>
      <c r="G65" s="26">
        <v>0</v>
      </c>
      <c r="H65" s="22">
        <f t="shared" si="8"/>
        <v>0</v>
      </c>
      <c r="I65" s="173">
        <f t="shared" si="1"/>
        <v>0</v>
      </c>
    </row>
    <row r="66" spans="1:9">
      <c r="A66" s="520" t="s">
        <v>337</v>
      </c>
      <c r="B66" s="174">
        <f>_xlfn.IFNA(VLOOKUP(A66,[16]進出口值表查詢結果!$C$11:$G$185,5,0),-[4]整車!$B$22)</f>
        <v>0</v>
      </c>
      <c r="C66" s="25">
        <f>_xlfn.IFNA(VLOOKUP(A66,[16]進出口值表查詢結果!$C$11:$G$185,3,0),-[4]整車!$B$22)</f>
        <v>0</v>
      </c>
      <c r="D66" s="171">
        <f t="shared" si="9"/>
        <v>0</v>
      </c>
      <c r="E66" s="174">
        <f>VLOOKUP(A66,[17]進出口值表查詢結果!$A$3:$C$16,3,0)</f>
        <v>3</v>
      </c>
      <c r="F66" s="172">
        <f t="shared" si="10"/>
        <v>7.2674418604651162E-4</v>
      </c>
      <c r="G66" s="26">
        <f>VLOOKUP(A66,[17]進出口值表查詢結果!$A$3:$C$16,2,0)</f>
        <v>486</v>
      </c>
      <c r="H66" s="22">
        <f t="shared" si="8"/>
        <v>1.4399517882808665E-4</v>
      </c>
      <c r="I66" s="173">
        <f t="shared" si="1"/>
        <v>162</v>
      </c>
    </row>
    <row r="67" spans="1:9">
      <c r="A67" s="29" t="s">
        <v>56</v>
      </c>
      <c r="B67" s="174">
        <f>B68-B7-B12-B41-B47</f>
        <v>1</v>
      </c>
      <c r="C67" s="174">
        <f>C68-C7-C12-C41-C47</f>
        <v>128</v>
      </c>
      <c r="D67" s="171">
        <f t="shared" si="4"/>
        <v>128</v>
      </c>
      <c r="E67" s="174">
        <f>E68-E7-E12-E41-E47</f>
        <v>22</v>
      </c>
      <c r="F67" s="172">
        <f t="shared" si="7"/>
        <v>5.3294573643410852E-3</v>
      </c>
      <c r="G67" s="174">
        <f>G68-G7-G12-G41-G47</f>
        <v>20358</v>
      </c>
      <c r="H67" s="22">
        <f t="shared" si="8"/>
        <v>6.0317980464654076E-3</v>
      </c>
      <c r="I67" s="173">
        <f t="shared" si="1"/>
        <v>925.36363636363637</v>
      </c>
    </row>
    <row r="68" spans="1:9">
      <c r="A68" s="30" t="s">
        <v>396</v>
      </c>
      <c r="B68" s="178">
        <v>268</v>
      </c>
      <c r="C68" s="31">
        <v>222839</v>
      </c>
      <c r="D68" s="171">
        <f t="shared" ref="D68" si="11">C68/B68</f>
        <v>831.4888059701492</v>
      </c>
      <c r="E68" s="174">
        <f>VLOOKUP(A68,[17]進出口值表查詢結果!$A$3:$C$16,3,0)</f>
        <v>4128</v>
      </c>
      <c r="F68" s="172">
        <f t="shared" si="7"/>
        <v>1</v>
      </c>
      <c r="G68" s="26">
        <f>VLOOKUP(A68,[17]進出口值表查詢結果!$A$3:$C$16,2,0)</f>
        <v>3375113</v>
      </c>
      <c r="H68" s="22">
        <f t="shared" si="8"/>
        <v>1</v>
      </c>
      <c r="I68" s="173">
        <f t="shared" ref="I68" si="12">G68/E68</f>
        <v>817.61458333333337</v>
      </c>
    </row>
    <row r="69" spans="1:9">
      <c r="A69" s="57" t="s">
        <v>75</v>
      </c>
      <c r="B69" s="3"/>
      <c r="C69" s="58"/>
      <c r="D69" s="3"/>
      <c r="E69" s="3"/>
      <c r="F69" s="3"/>
      <c r="G69" s="3"/>
      <c r="H69" s="3"/>
      <c r="I69" s="3"/>
    </row>
    <row r="70" spans="1:9">
      <c r="A70" s="60" t="s">
        <v>60</v>
      </c>
      <c r="B70" s="61"/>
      <c r="C70" s="62"/>
      <c r="D70" s="64"/>
      <c r="E70" s="61"/>
      <c r="F70" s="62"/>
      <c r="G70" s="64"/>
      <c r="H70" s="60"/>
      <c r="I70" s="60"/>
    </row>
  </sheetData>
  <mergeCells count="2">
    <mergeCell ref="A1:I1"/>
    <mergeCell ref="A3:I3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整車出口</vt:lpstr>
      <vt:lpstr>整車出口比較</vt:lpstr>
      <vt:lpstr>整車出口試算</vt:lpstr>
      <vt:lpstr>整車進口試算</vt:lpstr>
      <vt:lpstr>整車進口</vt:lpstr>
      <vt:lpstr>整車進口比較</vt:lpstr>
      <vt:lpstr>電動輔助自行車</vt:lpstr>
      <vt:lpstr>電動輔助自行車比較</vt:lpstr>
      <vt:lpstr>折疊車出口</vt:lpstr>
      <vt:lpstr>折疊車出口比較</vt:lpstr>
      <vt:lpstr>折疊車出口試算</vt:lpstr>
      <vt:lpstr>台灣--中國</vt:lpstr>
      <vt:lpstr>台灣出口至中國</vt:lpstr>
      <vt:lpstr>台灣出口中國試算</vt:lpstr>
      <vt:lpstr>台灣自中國進口試算</vt:lpstr>
      <vt:lpstr>台灣自中國進口</vt:lpstr>
      <vt:lpstr>電動輔助自行車試算</vt:lpstr>
      <vt:lpstr>零件進出口</vt:lpstr>
      <vt:lpstr>零件進出口試算表</vt:lpstr>
      <vt:lpstr>零件出口比較</vt:lpstr>
      <vt:lpstr>零件進口比較</vt:lpstr>
      <vt:lpstr>整車-數量 </vt:lpstr>
      <vt:lpstr>整車-金額 </vt:lpstr>
      <vt:lpstr>整車-平均單價 </vt:lpstr>
      <vt:lpstr>電輔車-數量</vt:lpstr>
      <vt:lpstr>電輔車-金額</vt:lpstr>
      <vt:lpstr>電輔車-平均單價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TBA teresa</cp:lastModifiedBy>
  <cp:lastPrinted>2023-03-14T05:48:38Z</cp:lastPrinted>
  <dcterms:created xsi:type="dcterms:W3CDTF">2020-05-13T08:04:59Z</dcterms:created>
  <dcterms:modified xsi:type="dcterms:W3CDTF">2026-01-15T04:02:13Z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