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BA\Emily\各年統計\2023統計\"/>
    </mc:Choice>
  </mc:AlternateContent>
  <xr:revisionPtr revIDLastSave="0" documentId="13_ncr:1_{E2643021-FC68-4990-AEA5-AAB81526264A}" xr6:coauthVersionLast="47" xr6:coauthVersionMax="47" xr10:uidLastSave="{00000000-0000-0000-0000-000000000000}"/>
  <bookViews>
    <workbookView xWindow="3510" yWindow="0" windowWidth="17100" windowHeight="10905" tabRatio="570" xr2:uid="{00000000-000D-0000-FFFF-FFFF00000000}"/>
  </bookViews>
  <sheets>
    <sheet name="12月台灣--中國" sheetId="72" r:id="rId1"/>
    <sheet name="12月台灣出口中國" sheetId="71" r:id="rId2"/>
    <sheet name="12月自中國進口 " sheetId="70" r:id="rId3"/>
    <sheet name="11月台灣--中國 " sheetId="69" r:id="rId4"/>
    <sheet name="11月台灣出口中國" sheetId="68" r:id="rId5"/>
    <sheet name="11月自中國進口" sheetId="67" r:id="rId6"/>
    <sheet name="10月自中國進口" sheetId="66" r:id="rId7"/>
    <sheet name="10月台灣出口中國 " sheetId="65" r:id="rId8"/>
    <sheet name="10月台灣--中國 " sheetId="64" r:id="rId9"/>
    <sheet name="9月自中國進口 " sheetId="63" r:id="rId10"/>
    <sheet name="9月台灣出口中國" sheetId="62" r:id="rId11"/>
    <sheet name="9月台灣--中國" sheetId="61" r:id="rId12"/>
    <sheet name="8月台灣--中國" sheetId="60" r:id="rId13"/>
    <sheet name="8月台灣出口中國" sheetId="58" r:id="rId14"/>
    <sheet name="8月自中國進口" sheetId="57" r:id="rId15"/>
    <sheet name="7月台灣--中國" sheetId="54" r:id="rId16"/>
    <sheet name="7月台灣出口中國" sheetId="55" r:id="rId17"/>
    <sheet name="7月自中國進口" sheetId="56" r:id="rId18"/>
    <sheet name="6月台灣--中國" sheetId="51" r:id="rId19"/>
    <sheet name="6月台灣出口中國" sheetId="52" r:id="rId20"/>
    <sheet name="6月自中國進口" sheetId="53" r:id="rId21"/>
    <sheet name="5月台灣--中國" sheetId="48" r:id="rId22"/>
    <sheet name="5月台灣出口中國" sheetId="49" r:id="rId23"/>
    <sheet name="5月自中國進口" sheetId="50" r:id="rId24"/>
    <sheet name="4月台灣--中國 " sheetId="45" r:id="rId25"/>
    <sheet name="4月台灣出口中國" sheetId="46" r:id="rId26"/>
    <sheet name="4月自中國進口" sheetId="47" r:id="rId27"/>
    <sheet name="3月台灣--中國" sheetId="41" r:id="rId28"/>
    <sheet name="3月台灣出口中國" sheetId="43" r:id="rId29"/>
    <sheet name="3月自中國進口" sheetId="44" r:id="rId30"/>
    <sheet name="2月台灣--中國" sheetId="40" r:id="rId31"/>
    <sheet name="2月台灣出口中國" sheetId="39" r:id="rId32"/>
    <sheet name="2月自中國進口" sheetId="38" r:id="rId33"/>
    <sheet name="1月台灣--中國" sheetId="37" r:id="rId34"/>
    <sheet name="1月台灣出口中國" sheetId="36" r:id="rId35"/>
    <sheet name="1月自中國進口" sheetId="35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xlnm.Print_Area" localSheetId="8">'10月台灣--中國 '!$A$1:$J$44</definedName>
    <definedName name="_xlnm.Print_Area" localSheetId="7">'10月台灣出口中國 '!$A$1:$K$44</definedName>
    <definedName name="_xlnm.Print_Area" localSheetId="3">'11月台灣--中國 '!$A$1:$J$44</definedName>
    <definedName name="_xlnm.Print_Area" localSheetId="4">'11月台灣出口中國'!$A$1:$K$44</definedName>
    <definedName name="_xlnm.Print_Area" localSheetId="0">'12月台灣--中國'!$A$1:$J$44</definedName>
    <definedName name="_xlnm.Print_Area" localSheetId="1">'12月台灣出口中國'!$A$1:$K$44</definedName>
    <definedName name="_xlnm.Print_Area" localSheetId="33">'1月台灣--中國'!$A$1:$J$44</definedName>
    <definedName name="_xlnm.Print_Area" localSheetId="34">'1月台灣出口中國'!$A$1:$K$44</definedName>
    <definedName name="_xlnm.Print_Area" localSheetId="30">'2月台灣--中國'!$A$1:$J$44</definedName>
    <definedName name="_xlnm.Print_Area" localSheetId="31">'2月台灣出口中國'!$A$1:$K$44</definedName>
    <definedName name="_xlnm.Print_Area" localSheetId="27">'3月台灣--中國'!$A$1:$J$44</definedName>
    <definedName name="_xlnm.Print_Area" localSheetId="28">'3月台灣出口中國'!$A$1:$K$44</definedName>
    <definedName name="_xlnm.Print_Area" localSheetId="24">'4月台灣--中國 '!$A$1:$J$44</definedName>
    <definedName name="_xlnm.Print_Area" localSheetId="25">'4月台灣出口中國'!$A$1:$K$44</definedName>
    <definedName name="_xlnm.Print_Area" localSheetId="21">'5月台灣--中國'!$A$1:$J$44</definedName>
    <definedName name="_xlnm.Print_Area" localSheetId="22">'5月台灣出口中國'!$A$1:$K$44</definedName>
    <definedName name="_xlnm.Print_Area" localSheetId="18">'6月台灣--中國'!$A$1:$J$44</definedName>
    <definedName name="_xlnm.Print_Area" localSheetId="19">'6月台灣出口中國'!$A$1:$K$44</definedName>
    <definedName name="_xlnm.Print_Area" localSheetId="15">'7月台灣--中國'!$A$1:$J$44</definedName>
    <definedName name="_xlnm.Print_Area" localSheetId="16">'7月台灣出口中國'!$A$1:$K$44</definedName>
    <definedName name="_xlnm.Print_Area" localSheetId="12">'8月台灣--中國'!$A$1:$J$44</definedName>
    <definedName name="_xlnm.Print_Area" localSheetId="13">'8月台灣出口中國'!$A$1:$K$44</definedName>
    <definedName name="_xlnm.Print_Area" localSheetId="11">'9月台灣--中國'!$A$1:$J$44</definedName>
    <definedName name="_xlnm.Print_Area" localSheetId="10">'9月台灣出口中國'!$A$1:$K$44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71" l="1"/>
  <c r="H41" i="71"/>
  <c r="H40" i="71"/>
  <c r="H39" i="71"/>
  <c r="H38" i="71"/>
  <c r="H37" i="71"/>
  <c r="H36" i="71"/>
  <c r="H35" i="71"/>
  <c r="H34" i="71"/>
  <c r="H33" i="71"/>
  <c r="H32" i="71"/>
  <c r="H31" i="71"/>
  <c r="H30" i="71"/>
  <c r="H29" i="71"/>
  <c r="H28" i="71"/>
  <c r="H27" i="71"/>
  <c r="H26" i="71"/>
  <c r="H25" i="71"/>
  <c r="H24" i="71"/>
  <c r="H23" i="71"/>
  <c r="H22" i="71"/>
  <c r="H21" i="71"/>
  <c r="H20" i="71"/>
  <c r="E38" i="71"/>
  <c r="E35" i="71"/>
  <c r="E34" i="71"/>
  <c r="E28" i="71"/>
  <c r="E42" i="71"/>
  <c r="E41" i="71"/>
  <c r="E40" i="71"/>
  <c r="E39" i="71"/>
  <c r="E37" i="71"/>
  <c r="E36" i="71"/>
  <c r="E33" i="71"/>
  <c r="E32" i="71"/>
  <c r="E31" i="71"/>
  <c r="E30" i="71"/>
  <c r="E29" i="71"/>
  <c r="E27" i="71"/>
  <c r="E26" i="71"/>
  <c r="E25" i="71"/>
  <c r="E24" i="71"/>
  <c r="E23" i="71"/>
  <c r="E21" i="71"/>
  <c r="E20" i="71"/>
  <c r="I14" i="71"/>
  <c r="I13" i="71"/>
  <c r="I11" i="71"/>
  <c r="I10" i="71"/>
  <c r="K10" i="71" s="1"/>
  <c r="I9" i="71"/>
  <c r="K9" i="71" s="1"/>
  <c r="I8" i="71"/>
  <c r="K8" i="71" s="1"/>
  <c r="I7" i="71"/>
  <c r="I6" i="71"/>
  <c r="I5" i="71"/>
  <c r="K14" i="71"/>
  <c r="K13" i="71"/>
  <c r="K11" i="71"/>
  <c r="K7" i="71"/>
  <c r="K6" i="71"/>
  <c r="K5" i="71"/>
  <c r="J14" i="71"/>
  <c r="J13" i="71"/>
  <c r="J11" i="71"/>
  <c r="J10" i="71"/>
  <c r="J9" i="71"/>
  <c r="J8" i="71"/>
  <c r="J7" i="71"/>
  <c r="J6" i="71"/>
  <c r="J5" i="71"/>
  <c r="H14" i="71"/>
  <c r="H13" i="71"/>
  <c r="H11" i="71"/>
  <c r="H10" i="71"/>
  <c r="H9" i="71"/>
  <c r="H8" i="71"/>
  <c r="H7" i="71"/>
  <c r="H6" i="71"/>
  <c r="H5" i="71"/>
  <c r="E14" i="71"/>
  <c r="E13" i="71"/>
  <c r="E11" i="71"/>
  <c r="E10" i="71"/>
  <c r="E9" i="71"/>
  <c r="E8" i="71"/>
  <c r="E7" i="71"/>
  <c r="E6" i="71"/>
  <c r="E5" i="71"/>
  <c r="E22" i="71" l="1"/>
  <c r="G14" i="71" l="1"/>
  <c r="D14" i="71"/>
  <c r="G11" i="71"/>
  <c r="D11" i="71"/>
  <c r="F42" i="71"/>
  <c r="G24" i="70" l="1"/>
  <c r="G25" i="70"/>
  <c r="G26" i="70"/>
  <c r="G27" i="70"/>
  <c r="G29" i="70"/>
  <c r="G30" i="70"/>
  <c r="G31" i="70"/>
  <c r="G32" i="70"/>
  <c r="G34" i="70"/>
  <c r="G35" i="70"/>
  <c r="G36" i="70"/>
  <c r="G37" i="70"/>
  <c r="G38" i="70"/>
  <c r="G42" i="70"/>
  <c r="H39" i="70"/>
  <c r="F38" i="70"/>
  <c r="F37" i="70"/>
  <c r="F36" i="70"/>
  <c r="F35" i="70"/>
  <c r="H22" i="70"/>
  <c r="F34" i="70"/>
  <c r="F23" i="70"/>
  <c r="H23" i="70" s="1"/>
  <c r="F24" i="70"/>
  <c r="F25" i="70"/>
  <c r="F26" i="70"/>
  <c r="F27" i="70"/>
  <c r="F29" i="70"/>
  <c r="H29" i="70" s="1"/>
  <c r="F30" i="70"/>
  <c r="F31" i="70"/>
  <c r="F32" i="70"/>
  <c r="C35" i="70"/>
  <c r="C36" i="70"/>
  <c r="C37" i="70"/>
  <c r="C38" i="70"/>
  <c r="E39" i="70"/>
  <c r="C34" i="70"/>
  <c r="C23" i="70"/>
  <c r="C24" i="70"/>
  <c r="C25" i="70"/>
  <c r="C26" i="70"/>
  <c r="C27" i="70"/>
  <c r="E28" i="70"/>
  <c r="C29" i="70"/>
  <c r="C30" i="70"/>
  <c r="C31" i="70"/>
  <c r="C32" i="70"/>
  <c r="D35" i="70"/>
  <c r="D36" i="70"/>
  <c r="E36" i="70" s="1"/>
  <c r="D37" i="70"/>
  <c r="E37" i="70" s="1"/>
  <c r="D38" i="70"/>
  <c r="E38" i="70" s="1"/>
  <c r="D34" i="70"/>
  <c r="D27" i="70"/>
  <c r="D29" i="70"/>
  <c r="D30" i="70"/>
  <c r="D31" i="70"/>
  <c r="E31" i="70" s="1"/>
  <c r="D32" i="70"/>
  <c r="D23" i="70"/>
  <c r="D24" i="70"/>
  <c r="D25" i="70"/>
  <c r="E25" i="70" s="1"/>
  <c r="D26" i="70"/>
  <c r="E26" i="70" s="1"/>
  <c r="H41" i="70"/>
  <c r="H40" i="70"/>
  <c r="H33" i="70"/>
  <c r="H28" i="70"/>
  <c r="H21" i="70"/>
  <c r="H20" i="70"/>
  <c r="E41" i="70"/>
  <c r="E40" i="70"/>
  <c r="E33" i="70"/>
  <c r="E29" i="70"/>
  <c r="E21" i="70"/>
  <c r="E20" i="70"/>
  <c r="J13" i="70"/>
  <c r="I13" i="70"/>
  <c r="J11" i="70"/>
  <c r="I11" i="70"/>
  <c r="K11" i="70" s="1"/>
  <c r="K10" i="70"/>
  <c r="J10" i="70"/>
  <c r="I10" i="70"/>
  <c r="J9" i="70"/>
  <c r="I9" i="70"/>
  <c r="K8" i="70"/>
  <c r="J8" i="70"/>
  <c r="I8" i="70"/>
  <c r="J7" i="70"/>
  <c r="I7" i="70"/>
  <c r="K6" i="70"/>
  <c r="J6" i="70"/>
  <c r="I6" i="70"/>
  <c r="J5" i="70"/>
  <c r="I5" i="70"/>
  <c r="K5" i="70" s="1"/>
  <c r="H14" i="70"/>
  <c r="H13" i="70"/>
  <c r="H11" i="70"/>
  <c r="H10" i="70"/>
  <c r="H9" i="70"/>
  <c r="H8" i="70"/>
  <c r="H7" i="70"/>
  <c r="H6" i="70"/>
  <c r="H5" i="70"/>
  <c r="F14" i="70"/>
  <c r="G14" i="70"/>
  <c r="C14" i="70"/>
  <c r="I14" i="70" s="1"/>
  <c r="D14" i="70"/>
  <c r="E13" i="70"/>
  <c r="E11" i="70"/>
  <c r="E10" i="70"/>
  <c r="E9" i="70"/>
  <c r="E8" i="70"/>
  <c r="E7" i="70"/>
  <c r="E6" i="70"/>
  <c r="E5" i="70"/>
  <c r="H31" i="70" l="1"/>
  <c r="H37" i="70"/>
  <c r="D42" i="70"/>
  <c r="E23" i="70"/>
  <c r="E35" i="70"/>
  <c r="H26" i="70"/>
  <c r="H35" i="70"/>
  <c r="H27" i="70"/>
  <c r="E34" i="70"/>
  <c r="H32" i="70"/>
  <c r="H25" i="70"/>
  <c r="H36" i="70"/>
  <c r="H24" i="70"/>
  <c r="E32" i="70"/>
  <c r="C42" i="70"/>
  <c r="E42" i="70" s="1"/>
  <c r="H30" i="70"/>
  <c r="H38" i="70"/>
  <c r="H34" i="70"/>
  <c r="F42" i="70"/>
  <c r="E30" i="70"/>
  <c r="E24" i="70"/>
  <c r="E27" i="70"/>
  <c r="E22" i="70"/>
  <c r="K13" i="70"/>
  <c r="E14" i="70"/>
  <c r="J14" i="70"/>
  <c r="K14" i="70"/>
  <c r="K7" i="70"/>
  <c r="K9" i="70"/>
  <c r="H42" i="70" l="1"/>
  <c r="G42" i="52"/>
  <c r="H41" i="53"/>
  <c r="E41" i="53"/>
  <c r="H40" i="53"/>
  <c r="E40" i="53"/>
  <c r="H39" i="53"/>
  <c r="E39" i="53"/>
  <c r="H38" i="53"/>
  <c r="E38" i="53"/>
  <c r="H37" i="53"/>
  <c r="E37" i="53"/>
  <c r="H36" i="53"/>
  <c r="E36" i="53"/>
  <c r="H35" i="53"/>
  <c r="E35" i="53"/>
  <c r="H34" i="53"/>
  <c r="E34" i="53"/>
  <c r="H33" i="53"/>
  <c r="E33" i="53"/>
  <c r="H32" i="53"/>
  <c r="E32" i="53"/>
  <c r="H31" i="53"/>
  <c r="E31" i="53"/>
  <c r="H30" i="53"/>
  <c r="E30" i="53"/>
  <c r="H29" i="53"/>
  <c r="E29" i="53"/>
  <c r="H28" i="53"/>
  <c r="E28" i="53"/>
  <c r="H27" i="53"/>
  <c r="E27" i="53"/>
  <c r="H26" i="53"/>
  <c r="E26" i="53"/>
  <c r="H25" i="53"/>
  <c r="E25" i="53"/>
  <c r="H24" i="53"/>
  <c r="E24" i="53"/>
  <c r="H23" i="53"/>
  <c r="E23" i="53"/>
  <c r="H22" i="53"/>
  <c r="F42" i="53"/>
  <c r="D42" i="53"/>
  <c r="E22" i="53"/>
  <c r="H21" i="53"/>
  <c r="E21" i="53"/>
  <c r="H20" i="53"/>
  <c r="E20" i="53"/>
  <c r="J13" i="53"/>
  <c r="I13" i="53"/>
  <c r="H13" i="53"/>
  <c r="E13" i="53"/>
  <c r="G11" i="53"/>
  <c r="J11" i="53" s="1"/>
  <c r="F11" i="53"/>
  <c r="I11" i="53" s="1"/>
  <c r="K11" i="53" s="1"/>
  <c r="D11" i="53"/>
  <c r="D14" i="53" s="1"/>
  <c r="C11" i="53"/>
  <c r="C14" i="53" s="1"/>
  <c r="K10" i="53"/>
  <c r="J10" i="53"/>
  <c r="I10" i="53"/>
  <c r="H10" i="53"/>
  <c r="E10" i="53"/>
  <c r="J9" i="53"/>
  <c r="I9" i="53"/>
  <c r="H9" i="53"/>
  <c r="E9" i="53"/>
  <c r="J8" i="53"/>
  <c r="I8" i="53"/>
  <c r="H8" i="53"/>
  <c r="E8" i="53"/>
  <c r="J7" i="53"/>
  <c r="I7" i="53"/>
  <c r="K7" i="53" s="1"/>
  <c r="H7" i="53"/>
  <c r="E7" i="53"/>
  <c r="J6" i="53"/>
  <c r="I6" i="53"/>
  <c r="K6" i="53" s="1"/>
  <c r="H6" i="53"/>
  <c r="E6" i="53"/>
  <c r="K5" i="53"/>
  <c r="J5" i="53"/>
  <c r="I5" i="53"/>
  <c r="H5" i="53"/>
  <c r="E5" i="53"/>
  <c r="H41" i="52"/>
  <c r="E41" i="52"/>
  <c r="H40" i="52"/>
  <c r="E40" i="52"/>
  <c r="H39" i="52"/>
  <c r="E39" i="52"/>
  <c r="H38" i="52"/>
  <c r="E38" i="52"/>
  <c r="H37" i="52"/>
  <c r="E37" i="52"/>
  <c r="H36" i="52"/>
  <c r="E36" i="52"/>
  <c r="H35" i="52"/>
  <c r="E35" i="52"/>
  <c r="H34" i="52"/>
  <c r="E34" i="52"/>
  <c r="H33" i="52"/>
  <c r="E33" i="52"/>
  <c r="H32" i="52"/>
  <c r="E32" i="52"/>
  <c r="H31" i="52"/>
  <c r="E31" i="52"/>
  <c r="H30" i="52"/>
  <c r="E30" i="52"/>
  <c r="H29" i="52"/>
  <c r="E29" i="52"/>
  <c r="E28" i="52"/>
  <c r="H27" i="52"/>
  <c r="E27" i="52"/>
  <c r="H26" i="52"/>
  <c r="E26" i="52"/>
  <c r="H25" i="52"/>
  <c r="E25" i="52"/>
  <c r="H24" i="52"/>
  <c r="E24" i="52"/>
  <c r="H23" i="52"/>
  <c r="E23" i="52"/>
  <c r="H21" i="52"/>
  <c r="E21" i="52"/>
  <c r="H20" i="52"/>
  <c r="E20" i="52"/>
  <c r="J13" i="52"/>
  <c r="K13" i="52" s="1"/>
  <c r="I13" i="52"/>
  <c r="H13" i="52"/>
  <c r="E13" i="52"/>
  <c r="G11" i="52"/>
  <c r="G14" i="52" s="1"/>
  <c r="F11" i="52"/>
  <c r="F14" i="52" s="1"/>
  <c r="E11" i="52"/>
  <c r="D11" i="52"/>
  <c r="J11" i="52" s="1"/>
  <c r="C11" i="52"/>
  <c r="I11" i="52" s="1"/>
  <c r="J10" i="52"/>
  <c r="K10" i="52" s="1"/>
  <c r="I10" i="52"/>
  <c r="H10" i="52"/>
  <c r="E10" i="52"/>
  <c r="J9" i="52"/>
  <c r="I9" i="52"/>
  <c r="H9" i="52"/>
  <c r="E9" i="52"/>
  <c r="J8" i="52"/>
  <c r="I8" i="52"/>
  <c r="H8" i="52"/>
  <c r="E8" i="52"/>
  <c r="K7" i="52"/>
  <c r="J7" i="52"/>
  <c r="I7" i="52"/>
  <c r="H7" i="52"/>
  <c r="E7" i="52"/>
  <c r="J6" i="52"/>
  <c r="I6" i="52"/>
  <c r="H6" i="52"/>
  <c r="E6" i="52"/>
  <c r="J5" i="52"/>
  <c r="K5" i="52" s="1"/>
  <c r="I5" i="52"/>
  <c r="H5" i="52"/>
  <c r="E5" i="52"/>
  <c r="H41" i="51"/>
  <c r="E41" i="51"/>
  <c r="H40" i="51"/>
  <c r="E40" i="51"/>
  <c r="H38" i="51"/>
  <c r="E38" i="51"/>
  <c r="H37" i="51"/>
  <c r="E37" i="51"/>
  <c r="H36" i="51"/>
  <c r="E36" i="51"/>
  <c r="H35" i="51"/>
  <c r="E35" i="51"/>
  <c r="H34" i="51"/>
  <c r="E34" i="51"/>
  <c r="H33" i="51"/>
  <c r="E33" i="51"/>
  <c r="H32" i="51"/>
  <c r="E32" i="51"/>
  <c r="H31" i="51"/>
  <c r="E31" i="51"/>
  <c r="H30" i="51"/>
  <c r="E30" i="51"/>
  <c r="H29" i="51"/>
  <c r="E29" i="51"/>
  <c r="H28" i="51"/>
  <c r="E28" i="51"/>
  <c r="H27" i="51"/>
  <c r="E27" i="51"/>
  <c r="H26" i="51"/>
  <c r="E26" i="51"/>
  <c r="H25" i="51"/>
  <c r="E25" i="51"/>
  <c r="H24" i="51"/>
  <c r="E24" i="51"/>
  <c r="H23" i="51"/>
  <c r="E23" i="51"/>
  <c r="G42" i="51"/>
  <c r="H22" i="51"/>
  <c r="D42" i="51"/>
  <c r="E22" i="51"/>
  <c r="H21" i="51"/>
  <c r="E21" i="51"/>
  <c r="H20" i="51"/>
  <c r="E20" i="51"/>
  <c r="J13" i="51"/>
  <c r="I13" i="51"/>
  <c r="H13" i="51"/>
  <c r="E13" i="51"/>
  <c r="G11" i="51"/>
  <c r="F11" i="51"/>
  <c r="D11" i="51"/>
  <c r="D14" i="51" s="1"/>
  <c r="C11" i="51"/>
  <c r="C14" i="51" s="1"/>
  <c r="J10" i="51"/>
  <c r="I10" i="51"/>
  <c r="H10" i="51"/>
  <c r="E10" i="51"/>
  <c r="J9" i="51"/>
  <c r="I9" i="51"/>
  <c r="H9" i="51"/>
  <c r="E9" i="51"/>
  <c r="J8" i="51"/>
  <c r="I8" i="51"/>
  <c r="H8" i="51"/>
  <c r="E8" i="51"/>
  <c r="J7" i="51"/>
  <c r="I7" i="51"/>
  <c r="H7" i="51"/>
  <c r="E7" i="51"/>
  <c r="J6" i="51"/>
  <c r="I6" i="51"/>
  <c r="H6" i="51"/>
  <c r="E6" i="51"/>
  <c r="J5" i="51"/>
  <c r="I5" i="51"/>
  <c r="H5" i="51"/>
  <c r="E5" i="51"/>
  <c r="I11" i="51" l="1"/>
  <c r="J11" i="51"/>
  <c r="K8" i="52"/>
  <c r="I14" i="52"/>
  <c r="C14" i="52"/>
  <c r="F14" i="53"/>
  <c r="I14" i="53" s="1"/>
  <c r="H11" i="51"/>
  <c r="D14" i="52"/>
  <c r="E14" i="52" s="1"/>
  <c r="H11" i="53"/>
  <c r="K6" i="52"/>
  <c r="K9" i="53"/>
  <c r="E11" i="51"/>
  <c r="K9" i="52"/>
  <c r="K11" i="52"/>
  <c r="K8" i="53"/>
  <c r="E14" i="53"/>
  <c r="K13" i="53"/>
  <c r="F42" i="52"/>
  <c r="C42" i="52"/>
  <c r="E22" i="52"/>
  <c r="H39" i="51"/>
  <c r="E39" i="51"/>
  <c r="C42" i="53"/>
  <c r="E42" i="53" s="1"/>
  <c r="G42" i="53"/>
  <c r="H42" i="53" s="1"/>
  <c r="G14" i="53"/>
  <c r="J14" i="53" s="1"/>
  <c r="E11" i="53"/>
  <c r="D42" i="52"/>
  <c r="H22" i="52"/>
  <c r="H14" i="52"/>
  <c r="J14" i="52"/>
  <c r="H11" i="52"/>
  <c r="C42" i="51"/>
  <c r="E42" i="51" s="1"/>
  <c r="F42" i="51"/>
  <c r="H42" i="51" s="1"/>
  <c r="E14" i="51"/>
  <c r="F14" i="51"/>
  <c r="G14" i="51"/>
  <c r="J14" i="51" s="1"/>
  <c r="H14" i="53" l="1"/>
  <c r="K14" i="52"/>
  <c r="E42" i="52"/>
  <c r="H42" i="52"/>
  <c r="K14" i="53"/>
  <c r="I14" i="51"/>
  <c r="H14" i="51"/>
  <c r="J13" i="48" l="1"/>
  <c r="J10" i="48"/>
  <c r="J9" i="48"/>
  <c r="J7" i="48"/>
  <c r="J6" i="48"/>
  <c r="J8" i="48"/>
  <c r="J5" i="48"/>
  <c r="I10" i="48"/>
  <c r="I9" i="48"/>
  <c r="I8" i="48"/>
  <c r="I7" i="48"/>
  <c r="I6" i="48"/>
  <c r="I5" i="48"/>
  <c r="H41" i="50"/>
  <c r="E41" i="50"/>
  <c r="H40" i="50"/>
  <c r="E40" i="50"/>
  <c r="G39" i="50"/>
  <c r="F39" i="50"/>
  <c r="D39" i="50"/>
  <c r="C39" i="50"/>
  <c r="G38" i="50"/>
  <c r="H38" i="50" s="1"/>
  <c r="F38" i="50"/>
  <c r="D38" i="50"/>
  <c r="C38" i="50"/>
  <c r="G37" i="50"/>
  <c r="F37" i="50"/>
  <c r="D37" i="50"/>
  <c r="E37" i="50" s="1"/>
  <c r="C37" i="50"/>
  <c r="G36" i="50"/>
  <c r="F36" i="50"/>
  <c r="D36" i="50"/>
  <c r="C36" i="50"/>
  <c r="G35" i="50"/>
  <c r="H35" i="50" s="1"/>
  <c r="F35" i="50"/>
  <c r="D35" i="50"/>
  <c r="C35" i="50"/>
  <c r="G34" i="50"/>
  <c r="F34" i="50"/>
  <c r="D34" i="50"/>
  <c r="E34" i="50" s="1"/>
  <c r="C34" i="50"/>
  <c r="H33" i="50"/>
  <c r="E33" i="50"/>
  <c r="G32" i="50"/>
  <c r="H32" i="50" s="1"/>
  <c r="F32" i="50"/>
  <c r="D32" i="50"/>
  <c r="C32" i="50"/>
  <c r="G31" i="50"/>
  <c r="F31" i="50"/>
  <c r="H31" i="50" s="1"/>
  <c r="D31" i="50"/>
  <c r="E31" i="50" s="1"/>
  <c r="C31" i="50"/>
  <c r="G30" i="50"/>
  <c r="H30" i="50" s="1"/>
  <c r="F30" i="50"/>
  <c r="D30" i="50"/>
  <c r="E30" i="50" s="1"/>
  <c r="C30" i="50"/>
  <c r="G29" i="50"/>
  <c r="H29" i="50" s="1"/>
  <c r="F29" i="50"/>
  <c r="D29" i="50"/>
  <c r="C29" i="50"/>
  <c r="G28" i="50"/>
  <c r="H28" i="50" s="1"/>
  <c r="F28" i="50"/>
  <c r="D28" i="50"/>
  <c r="E28" i="50" s="1"/>
  <c r="C28" i="50"/>
  <c r="H27" i="50"/>
  <c r="G27" i="50"/>
  <c r="F27" i="50"/>
  <c r="D27" i="50"/>
  <c r="C27" i="50"/>
  <c r="G26" i="50"/>
  <c r="H26" i="50" s="1"/>
  <c r="F26" i="50"/>
  <c r="D26" i="50"/>
  <c r="C26" i="50"/>
  <c r="G25" i="50"/>
  <c r="F25" i="50"/>
  <c r="H25" i="50" s="1"/>
  <c r="D25" i="50"/>
  <c r="E25" i="50" s="1"/>
  <c r="C25" i="50"/>
  <c r="G24" i="50"/>
  <c r="H24" i="50" s="1"/>
  <c r="F24" i="50"/>
  <c r="D24" i="50"/>
  <c r="E24" i="50" s="1"/>
  <c r="C24" i="50"/>
  <c r="G23" i="50"/>
  <c r="F23" i="50"/>
  <c r="H23" i="50" s="1"/>
  <c r="D23" i="50"/>
  <c r="C23" i="50"/>
  <c r="H22" i="50"/>
  <c r="G22" i="50"/>
  <c r="F22" i="50"/>
  <c r="D22" i="50"/>
  <c r="E22" i="50" s="1"/>
  <c r="C22" i="50"/>
  <c r="H21" i="50"/>
  <c r="E21" i="50"/>
  <c r="H20" i="50"/>
  <c r="E20" i="50"/>
  <c r="K13" i="50"/>
  <c r="J13" i="50"/>
  <c r="I13" i="50"/>
  <c r="H13" i="50"/>
  <c r="E13" i="50"/>
  <c r="G11" i="50"/>
  <c r="F11" i="50"/>
  <c r="I11" i="50" s="1"/>
  <c r="D11" i="50"/>
  <c r="D14" i="50" s="1"/>
  <c r="C11" i="50"/>
  <c r="C14" i="50" s="1"/>
  <c r="J10" i="50"/>
  <c r="I10" i="50"/>
  <c r="H10" i="50"/>
  <c r="E10" i="50"/>
  <c r="J9" i="50"/>
  <c r="I9" i="50"/>
  <c r="H9" i="50"/>
  <c r="E9" i="50"/>
  <c r="J8" i="50"/>
  <c r="I8" i="50"/>
  <c r="K8" i="50" s="1"/>
  <c r="H8" i="50"/>
  <c r="E8" i="50"/>
  <c r="J7" i="50"/>
  <c r="K7" i="50" s="1"/>
  <c r="I7" i="50"/>
  <c r="H7" i="50"/>
  <c r="E7" i="50"/>
  <c r="J6" i="50"/>
  <c r="I6" i="50"/>
  <c r="K6" i="50" s="1"/>
  <c r="H6" i="50"/>
  <c r="E6" i="50"/>
  <c r="K5" i="50"/>
  <c r="J5" i="50"/>
  <c r="I5" i="50"/>
  <c r="H5" i="50"/>
  <c r="E5" i="50"/>
  <c r="H41" i="49"/>
  <c r="E41" i="49"/>
  <c r="H40" i="49"/>
  <c r="E40" i="49"/>
  <c r="G39" i="49"/>
  <c r="F39" i="49"/>
  <c r="D39" i="49"/>
  <c r="C39" i="49"/>
  <c r="G38" i="49"/>
  <c r="H38" i="49" s="1"/>
  <c r="F38" i="49"/>
  <c r="D38" i="49"/>
  <c r="C38" i="49"/>
  <c r="G37" i="49"/>
  <c r="F37" i="49"/>
  <c r="D37" i="49"/>
  <c r="E37" i="49" s="1"/>
  <c r="C37" i="49"/>
  <c r="G36" i="49"/>
  <c r="F36" i="49"/>
  <c r="D36" i="49"/>
  <c r="C36" i="49"/>
  <c r="G35" i="49"/>
  <c r="H35" i="49" s="1"/>
  <c r="F35" i="49"/>
  <c r="D35" i="49"/>
  <c r="C35" i="49"/>
  <c r="G34" i="49"/>
  <c r="F34" i="49"/>
  <c r="D34" i="49"/>
  <c r="E34" i="49" s="1"/>
  <c r="C34" i="49"/>
  <c r="H33" i="49"/>
  <c r="E33" i="49"/>
  <c r="G32" i="49"/>
  <c r="F32" i="49"/>
  <c r="D32" i="49"/>
  <c r="E32" i="49" s="1"/>
  <c r="C32" i="49"/>
  <c r="G31" i="49"/>
  <c r="F31" i="49"/>
  <c r="D31" i="49"/>
  <c r="C31" i="49"/>
  <c r="G30" i="49"/>
  <c r="H30" i="49" s="1"/>
  <c r="F30" i="49"/>
  <c r="D30" i="49"/>
  <c r="E30" i="49" s="1"/>
  <c r="C30" i="49"/>
  <c r="G29" i="49"/>
  <c r="F29" i="49"/>
  <c r="D29" i="49"/>
  <c r="E29" i="49" s="1"/>
  <c r="C29" i="49"/>
  <c r="G28" i="49"/>
  <c r="H28" i="49" s="1"/>
  <c r="F28" i="49"/>
  <c r="D28" i="49"/>
  <c r="C28" i="49"/>
  <c r="G27" i="49"/>
  <c r="H27" i="49" s="1"/>
  <c r="F27" i="49"/>
  <c r="D27" i="49"/>
  <c r="E27" i="49" s="1"/>
  <c r="C27" i="49"/>
  <c r="G26" i="49"/>
  <c r="F26" i="49"/>
  <c r="D26" i="49"/>
  <c r="E26" i="49" s="1"/>
  <c r="C26" i="49"/>
  <c r="G25" i="49"/>
  <c r="H25" i="49" s="1"/>
  <c r="F25" i="49"/>
  <c r="D25" i="49"/>
  <c r="C25" i="49"/>
  <c r="G24" i="49"/>
  <c r="H24" i="49" s="1"/>
  <c r="F24" i="49"/>
  <c r="D24" i="49"/>
  <c r="E24" i="49" s="1"/>
  <c r="C24" i="49"/>
  <c r="G23" i="49"/>
  <c r="F23" i="49"/>
  <c r="D23" i="49"/>
  <c r="E23" i="49" s="1"/>
  <c r="C23" i="49"/>
  <c r="G22" i="49"/>
  <c r="H22" i="49" s="1"/>
  <c r="F22" i="49"/>
  <c r="D22" i="49"/>
  <c r="C22" i="49"/>
  <c r="C42" i="49" s="1"/>
  <c r="H21" i="49"/>
  <c r="E21" i="49"/>
  <c r="H20" i="49"/>
  <c r="E20" i="49"/>
  <c r="K13" i="49"/>
  <c r="J13" i="49"/>
  <c r="I13" i="49"/>
  <c r="H13" i="49"/>
  <c r="E13" i="49"/>
  <c r="G11" i="49"/>
  <c r="G14" i="49" s="1"/>
  <c r="F11" i="49"/>
  <c r="F14" i="49" s="1"/>
  <c r="I14" i="49" s="1"/>
  <c r="D11" i="49"/>
  <c r="E11" i="49" s="1"/>
  <c r="C11" i="49"/>
  <c r="C14" i="49" s="1"/>
  <c r="J10" i="49"/>
  <c r="K10" i="49" s="1"/>
  <c r="I10" i="49"/>
  <c r="H10" i="49"/>
  <c r="E10" i="49"/>
  <c r="J9" i="49"/>
  <c r="K9" i="49" s="1"/>
  <c r="I9" i="49"/>
  <c r="H9" i="49"/>
  <c r="E9" i="49"/>
  <c r="J8" i="49"/>
  <c r="K8" i="49" s="1"/>
  <c r="I8" i="49"/>
  <c r="H8" i="49"/>
  <c r="E8" i="49"/>
  <c r="J7" i="49"/>
  <c r="I7" i="49"/>
  <c r="H7" i="49"/>
  <c r="E7" i="49"/>
  <c r="J6" i="49"/>
  <c r="K6" i="49" s="1"/>
  <c r="I6" i="49"/>
  <c r="H6" i="49"/>
  <c r="E6" i="49"/>
  <c r="J5" i="49"/>
  <c r="K5" i="49" s="1"/>
  <c r="I5" i="49"/>
  <c r="H5" i="49"/>
  <c r="E5" i="49"/>
  <c r="H41" i="48"/>
  <c r="E41" i="48"/>
  <c r="H40" i="48"/>
  <c r="E40" i="48"/>
  <c r="G39" i="48"/>
  <c r="F39" i="48"/>
  <c r="D39" i="48"/>
  <c r="C39" i="48"/>
  <c r="E39" i="48" s="1"/>
  <c r="G38" i="48"/>
  <c r="F38" i="48"/>
  <c r="D38" i="48"/>
  <c r="C38" i="48"/>
  <c r="G37" i="48"/>
  <c r="F37" i="48"/>
  <c r="H37" i="48" s="1"/>
  <c r="D37" i="48"/>
  <c r="C37" i="48"/>
  <c r="G36" i="48"/>
  <c r="F36" i="48"/>
  <c r="D36" i="48"/>
  <c r="C36" i="48"/>
  <c r="E36" i="48" s="1"/>
  <c r="G35" i="48"/>
  <c r="F35" i="48"/>
  <c r="D35" i="48"/>
  <c r="C35" i="48"/>
  <c r="G34" i="48"/>
  <c r="F34" i="48"/>
  <c r="H34" i="48" s="1"/>
  <c r="D34" i="48"/>
  <c r="C34" i="48"/>
  <c r="H33" i="48"/>
  <c r="E33" i="48"/>
  <c r="G32" i="48"/>
  <c r="F32" i="48"/>
  <c r="H32" i="48" s="1"/>
  <c r="D32" i="48"/>
  <c r="C32" i="48"/>
  <c r="E32" i="48" s="1"/>
  <c r="G31" i="48"/>
  <c r="F31" i="48"/>
  <c r="H31" i="48" s="1"/>
  <c r="E31" i="48"/>
  <c r="D31" i="48"/>
  <c r="C31" i="48"/>
  <c r="G30" i="48"/>
  <c r="F30" i="48"/>
  <c r="D30" i="48"/>
  <c r="C30" i="48"/>
  <c r="E30" i="48" s="1"/>
  <c r="G29" i="48"/>
  <c r="F29" i="48"/>
  <c r="H29" i="48" s="1"/>
  <c r="D29" i="48"/>
  <c r="C29" i="48"/>
  <c r="E29" i="48" s="1"/>
  <c r="G28" i="48"/>
  <c r="H28" i="48" s="1"/>
  <c r="D28" i="48"/>
  <c r="E28" i="48" s="1"/>
  <c r="G27" i="48"/>
  <c r="F27" i="48"/>
  <c r="D27" i="48"/>
  <c r="C27" i="48"/>
  <c r="E27" i="48" s="1"/>
  <c r="G26" i="48"/>
  <c r="F26" i="48"/>
  <c r="D26" i="48"/>
  <c r="C26" i="48"/>
  <c r="G25" i="48"/>
  <c r="F25" i="48"/>
  <c r="H25" i="48" s="1"/>
  <c r="D25" i="48"/>
  <c r="C25" i="48"/>
  <c r="G24" i="48"/>
  <c r="F24" i="48"/>
  <c r="D24" i="48"/>
  <c r="C24" i="48"/>
  <c r="E24" i="48" s="1"/>
  <c r="G23" i="48"/>
  <c r="F23" i="48"/>
  <c r="D23" i="48"/>
  <c r="C23" i="48"/>
  <c r="G22" i="48"/>
  <c r="F22" i="48"/>
  <c r="F42" i="48" s="1"/>
  <c r="D22" i="48"/>
  <c r="D42" i="48" s="1"/>
  <c r="C22" i="48"/>
  <c r="H21" i="48"/>
  <c r="E21" i="48"/>
  <c r="H20" i="48"/>
  <c r="E20" i="48"/>
  <c r="I13" i="48"/>
  <c r="H13" i="48"/>
  <c r="E13" i="48"/>
  <c r="G11" i="48"/>
  <c r="F11" i="48"/>
  <c r="F14" i="48" s="1"/>
  <c r="D11" i="48"/>
  <c r="D14" i="48" s="1"/>
  <c r="C11" i="48"/>
  <c r="E11" i="48" s="1"/>
  <c r="H10" i="48"/>
  <c r="E10" i="48"/>
  <c r="H9" i="48"/>
  <c r="E9" i="48"/>
  <c r="H8" i="48"/>
  <c r="E8" i="48"/>
  <c r="H7" i="48"/>
  <c r="E7" i="48"/>
  <c r="H6" i="48"/>
  <c r="E6" i="48"/>
  <c r="H5" i="48"/>
  <c r="E5" i="48"/>
  <c r="H23" i="48" l="1"/>
  <c r="E25" i="48"/>
  <c r="H26" i="48"/>
  <c r="E34" i="48"/>
  <c r="H35" i="48"/>
  <c r="E37" i="48"/>
  <c r="H38" i="48"/>
  <c r="K9" i="50"/>
  <c r="G42" i="50"/>
  <c r="E26" i="50"/>
  <c r="E32" i="50"/>
  <c r="E14" i="50"/>
  <c r="K11" i="50"/>
  <c r="G42" i="48"/>
  <c r="H42" i="48" s="1"/>
  <c r="D14" i="49"/>
  <c r="E14" i="49" s="1"/>
  <c r="E22" i="49"/>
  <c r="H23" i="49"/>
  <c r="E25" i="49"/>
  <c r="H26" i="49"/>
  <c r="E28" i="49"/>
  <c r="H29" i="49"/>
  <c r="E31" i="49"/>
  <c r="H32" i="49"/>
  <c r="H34" i="49"/>
  <c r="E36" i="49"/>
  <c r="H37" i="49"/>
  <c r="E39" i="49"/>
  <c r="J11" i="50"/>
  <c r="C42" i="50"/>
  <c r="E23" i="50"/>
  <c r="E29" i="50"/>
  <c r="H34" i="50"/>
  <c r="E36" i="50"/>
  <c r="H37" i="50"/>
  <c r="E39" i="50"/>
  <c r="J11" i="48"/>
  <c r="E23" i="48"/>
  <c r="H24" i="48"/>
  <c r="E26" i="48"/>
  <c r="H27" i="48"/>
  <c r="H30" i="48"/>
  <c r="E35" i="48"/>
  <c r="H36" i="48"/>
  <c r="E38" i="48"/>
  <c r="H39" i="48"/>
  <c r="K7" i="49"/>
  <c r="F42" i="49"/>
  <c r="F14" i="50"/>
  <c r="I14" i="50" s="1"/>
  <c r="I11" i="48"/>
  <c r="H31" i="49"/>
  <c r="E35" i="49"/>
  <c r="H36" i="49"/>
  <c r="E38" i="49"/>
  <c r="H39" i="49"/>
  <c r="K10" i="50"/>
  <c r="F42" i="50"/>
  <c r="H42" i="50" s="1"/>
  <c r="E27" i="50"/>
  <c r="E35" i="50"/>
  <c r="H36" i="50"/>
  <c r="E38" i="50"/>
  <c r="H39" i="50"/>
  <c r="E22" i="48"/>
  <c r="D42" i="50"/>
  <c r="E42" i="50" s="1"/>
  <c r="H11" i="50"/>
  <c r="G14" i="50"/>
  <c r="E11" i="50"/>
  <c r="D42" i="49"/>
  <c r="E42" i="49" s="1"/>
  <c r="G42" i="49"/>
  <c r="H42" i="49" s="1"/>
  <c r="H14" i="49"/>
  <c r="H11" i="49"/>
  <c r="I11" i="49"/>
  <c r="J11" i="49"/>
  <c r="C42" i="48"/>
  <c r="E42" i="48" s="1"/>
  <c r="H22" i="48"/>
  <c r="C14" i="48"/>
  <c r="E14" i="48" s="1"/>
  <c r="G14" i="48"/>
  <c r="J14" i="48" s="1"/>
  <c r="H11" i="48"/>
  <c r="H14" i="48" l="1"/>
  <c r="J14" i="49"/>
  <c r="K14" i="49" s="1"/>
  <c r="J14" i="50"/>
  <c r="K14" i="50" s="1"/>
  <c r="H14" i="50"/>
  <c r="K11" i="49"/>
  <c r="I14" i="48"/>
  <c r="F35" i="47" l="1"/>
  <c r="F36" i="47"/>
  <c r="F37" i="47"/>
  <c r="F38" i="47"/>
  <c r="F39" i="47"/>
  <c r="F34" i="47"/>
  <c r="F23" i="47"/>
  <c r="F24" i="47"/>
  <c r="F25" i="47"/>
  <c r="F26" i="47"/>
  <c r="F27" i="47"/>
  <c r="F28" i="47"/>
  <c r="F29" i="47"/>
  <c r="F30" i="47"/>
  <c r="F31" i="47"/>
  <c r="F32" i="47"/>
  <c r="C35" i="47"/>
  <c r="C36" i="47"/>
  <c r="C37" i="47"/>
  <c r="C38" i="47"/>
  <c r="C39" i="47"/>
  <c r="C34" i="47"/>
  <c r="C23" i="47"/>
  <c r="C24" i="47"/>
  <c r="C25" i="47"/>
  <c r="C26" i="47"/>
  <c r="C27" i="47"/>
  <c r="C28" i="47"/>
  <c r="C29" i="47"/>
  <c r="C30" i="47"/>
  <c r="C31" i="47"/>
  <c r="C32" i="47"/>
  <c r="F22" i="47"/>
  <c r="C22" i="47"/>
  <c r="F36" i="46"/>
  <c r="F35" i="46"/>
  <c r="F37" i="46"/>
  <c r="F38" i="46"/>
  <c r="F39" i="46"/>
  <c r="F34" i="46"/>
  <c r="F23" i="46"/>
  <c r="F24" i="46"/>
  <c r="F25" i="46"/>
  <c r="F26" i="46"/>
  <c r="F27" i="46"/>
  <c r="F28" i="46"/>
  <c r="F29" i="46"/>
  <c r="F30" i="46"/>
  <c r="F31" i="46"/>
  <c r="F32" i="46"/>
  <c r="F22" i="46"/>
  <c r="C36" i="46"/>
  <c r="C35" i="46"/>
  <c r="C37" i="46"/>
  <c r="C38" i="46"/>
  <c r="C39" i="46"/>
  <c r="C34" i="46"/>
  <c r="C23" i="46"/>
  <c r="C24" i="46"/>
  <c r="C25" i="46"/>
  <c r="C26" i="46"/>
  <c r="C27" i="46"/>
  <c r="C28" i="46"/>
  <c r="C29" i="46"/>
  <c r="C30" i="46"/>
  <c r="C31" i="46"/>
  <c r="C32" i="46"/>
  <c r="E32" i="46" s="1"/>
  <c r="C22" i="46"/>
  <c r="G35" i="45"/>
  <c r="G36" i="45"/>
  <c r="G37" i="45"/>
  <c r="G38" i="45"/>
  <c r="G39" i="45"/>
  <c r="G34" i="45"/>
  <c r="G23" i="45"/>
  <c r="G24" i="45"/>
  <c r="G25" i="45"/>
  <c r="G26" i="45"/>
  <c r="G27" i="45"/>
  <c r="G28" i="45"/>
  <c r="G29" i="45"/>
  <c r="G30" i="45"/>
  <c r="G31" i="45"/>
  <c r="G32" i="45"/>
  <c r="D35" i="45"/>
  <c r="D36" i="45"/>
  <c r="D37" i="45"/>
  <c r="D38" i="45"/>
  <c r="D39" i="45"/>
  <c r="D34" i="45"/>
  <c r="D23" i="45"/>
  <c r="D24" i="45"/>
  <c r="D25" i="45"/>
  <c r="D26" i="45"/>
  <c r="D27" i="45"/>
  <c r="D28" i="45"/>
  <c r="E28" i="45" s="1"/>
  <c r="D29" i="45"/>
  <c r="D30" i="45"/>
  <c r="D31" i="45"/>
  <c r="D32" i="45"/>
  <c r="G22" i="45"/>
  <c r="D22" i="45"/>
  <c r="F36" i="45"/>
  <c r="C36" i="45"/>
  <c r="F35" i="45"/>
  <c r="H35" i="45" s="1"/>
  <c r="F37" i="45"/>
  <c r="F38" i="45"/>
  <c r="F39" i="45"/>
  <c r="F34" i="45"/>
  <c r="F23" i="45"/>
  <c r="F24" i="45"/>
  <c r="F25" i="45"/>
  <c r="F26" i="45"/>
  <c r="F27" i="45"/>
  <c r="F29" i="45"/>
  <c r="F30" i="45"/>
  <c r="F31" i="45"/>
  <c r="F32" i="45"/>
  <c r="F22" i="45"/>
  <c r="H22" i="45" s="1"/>
  <c r="C35" i="45"/>
  <c r="C37" i="45"/>
  <c r="C38" i="45"/>
  <c r="C39" i="45"/>
  <c r="C34" i="45"/>
  <c r="C23" i="45"/>
  <c r="C24" i="45"/>
  <c r="C25" i="45"/>
  <c r="C26" i="45"/>
  <c r="C27" i="45"/>
  <c r="C29" i="45"/>
  <c r="C30" i="45"/>
  <c r="C31" i="45"/>
  <c r="C32" i="45"/>
  <c r="C22" i="45"/>
  <c r="H41" i="47"/>
  <c r="E41" i="47"/>
  <c r="H40" i="47"/>
  <c r="E40" i="47"/>
  <c r="G39" i="47"/>
  <c r="D39" i="47"/>
  <c r="G38" i="47"/>
  <c r="D38" i="47"/>
  <c r="G37" i="47"/>
  <c r="D37" i="47"/>
  <c r="G36" i="47"/>
  <c r="D36" i="47"/>
  <c r="G35" i="47"/>
  <c r="D35" i="47"/>
  <c r="G34" i="47"/>
  <c r="D34" i="47"/>
  <c r="H33" i="47"/>
  <c r="E33" i="47"/>
  <c r="G32" i="47"/>
  <c r="H32" i="47"/>
  <c r="D32" i="47"/>
  <c r="G31" i="47"/>
  <c r="D31" i="47"/>
  <c r="G30" i="47"/>
  <c r="H30" i="47" s="1"/>
  <c r="D30" i="47"/>
  <c r="G29" i="47"/>
  <c r="D29" i="47"/>
  <c r="G28" i="47"/>
  <c r="D28" i="47"/>
  <c r="G27" i="47"/>
  <c r="D27" i="47"/>
  <c r="G26" i="47"/>
  <c r="D26" i="47"/>
  <c r="G25" i="47"/>
  <c r="D25" i="47"/>
  <c r="G24" i="47"/>
  <c r="D24" i="47"/>
  <c r="G23" i="47"/>
  <c r="D23" i="47"/>
  <c r="G22" i="47"/>
  <c r="D22" i="47"/>
  <c r="H21" i="47"/>
  <c r="E21" i="47"/>
  <c r="H20" i="47"/>
  <c r="E20" i="47"/>
  <c r="J13" i="47"/>
  <c r="I13" i="47"/>
  <c r="K13" i="47" s="1"/>
  <c r="H13" i="47"/>
  <c r="E13" i="47"/>
  <c r="G11" i="47"/>
  <c r="F11" i="47"/>
  <c r="D11" i="47"/>
  <c r="D14" i="47" s="1"/>
  <c r="C11" i="47"/>
  <c r="C14" i="47" s="1"/>
  <c r="J10" i="47"/>
  <c r="I10" i="47"/>
  <c r="K10" i="47" s="1"/>
  <c r="H10" i="47"/>
  <c r="E10" i="47"/>
  <c r="J9" i="47"/>
  <c r="K9" i="47" s="1"/>
  <c r="I9" i="47"/>
  <c r="H9" i="47"/>
  <c r="E9" i="47"/>
  <c r="J8" i="47"/>
  <c r="I8" i="47"/>
  <c r="K8" i="47" s="1"/>
  <c r="H8" i="47"/>
  <c r="E8" i="47"/>
  <c r="J7" i="47"/>
  <c r="I7" i="47"/>
  <c r="H7" i="47"/>
  <c r="E7" i="47"/>
  <c r="K6" i="47"/>
  <c r="J6" i="47"/>
  <c r="I6" i="47"/>
  <c r="H6" i="47"/>
  <c r="E6" i="47"/>
  <c r="J5" i="47"/>
  <c r="I5" i="47"/>
  <c r="K5" i="47" s="1"/>
  <c r="H5" i="47"/>
  <c r="E5" i="47"/>
  <c r="H41" i="46"/>
  <c r="E41" i="46"/>
  <c r="H40" i="46"/>
  <c r="E40" i="46"/>
  <c r="G39" i="46"/>
  <c r="D39" i="46"/>
  <c r="G38" i="46"/>
  <c r="H38" i="46" s="1"/>
  <c r="D38" i="46"/>
  <c r="G37" i="46"/>
  <c r="H37" i="46" s="1"/>
  <c r="D37" i="46"/>
  <c r="G36" i="46"/>
  <c r="D36" i="46"/>
  <c r="G35" i="46"/>
  <c r="H35" i="46" s="1"/>
  <c r="D35" i="46"/>
  <c r="G34" i="46"/>
  <c r="D34" i="46"/>
  <c r="H33" i="46"/>
  <c r="E33" i="46"/>
  <c r="G32" i="46"/>
  <c r="D32" i="46"/>
  <c r="G31" i="46"/>
  <c r="H31" i="46"/>
  <c r="D31" i="46"/>
  <c r="G30" i="46"/>
  <c r="D30" i="46"/>
  <c r="G29" i="46"/>
  <c r="H29" i="46"/>
  <c r="D29" i="46"/>
  <c r="G28" i="46"/>
  <c r="D28" i="46"/>
  <c r="H27" i="46"/>
  <c r="E27" i="46"/>
  <c r="G26" i="46"/>
  <c r="D26" i="46"/>
  <c r="G25" i="46"/>
  <c r="D25" i="46"/>
  <c r="G24" i="46"/>
  <c r="D24" i="46"/>
  <c r="G23" i="46"/>
  <c r="D23" i="46"/>
  <c r="G22" i="46"/>
  <c r="D22" i="46"/>
  <c r="H21" i="46"/>
  <c r="E21" i="46"/>
  <c r="H20" i="46"/>
  <c r="E20" i="46"/>
  <c r="K13" i="46"/>
  <c r="J13" i="46"/>
  <c r="I13" i="46"/>
  <c r="H13" i="46"/>
  <c r="E13" i="46"/>
  <c r="G11" i="46"/>
  <c r="G14" i="46" s="1"/>
  <c r="F11" i="46"/>
  <c r="F14" i="46" s="1"/>
  <c r="D11" i="46"/>
  <c r="E11" i="46" s="1"/>
  <c r="C11" i="46"/>
  <c r="J10" i="46"/>
  <c r="I10" i="46"/>
  <c r="H10" i="46"/>
  <c r="E10" i="46"/>
  <c r="J9" i="46"/>
  <c r="I9" i="46"/>
  <c r="H9" i="46"/>
  <c r="E9" i="46"/>
  <c r="J8" i="46"/>
  <c r="K8" i="46" s="1"/>
  <c r="I8" i="46"/>
  <c r="H8" i="46"/>
  <c r="E8" i="46"/>
  <c r="J7" i="46"/>
  <c r="K7" i="46" s="1"/>
  <c r="I7" i="46"/>
  <c r="H7" i="46"/>
  <c r="E7" i="46"/>
  <c r="J6" i="46"/>
  <c r="K6" i="46" s="1"/>
  <c r="I6" i="46"/>
  <c r="H6" i="46"/>
  <c r="E6" i="46"/>
  <c r="J5" i="46"/>
  <c r="K5" i="46" s="1"/>
  <c r="I5" i="46"/>
  <c r="H5" i="46"/>
  <c r="E5" i="46"/>
  <c r="H41" i="45"/>
  <c r="E41" i="45"/>
  <c r="H40" i="45"/>
  <c r="E40" i="45"/>
  <c r="H33" i="45"/>
  <c r="E33" i="45"/>
  <c r="H21" i="45"/>
  <c r="E21" i="45"/>
  <c r="H20" i="45"/>
  <c r="E20" i="45"/>
  <c r="J13" i="45"/>
  <c r="I13" i="45"/>
  <c r="H13" i="45"/>
  <c r="E13" i="45"/>
  <c r="G11" i="45"/>
  <c r="G14" i="45" s="1"/>
  <c r="F11" i="45"/>
  <c r="F14" i="45" s="1"/>
  <c r="D11" i="45"/>
  <c r="C11" i="45"/>
  <c r="C14" i="45" s="1"/>
  <c r="J10" i="45"/>
  <c r="I10" i="45"/>
  <c r="H10" i="45"/>
  <c r="E10" i="45"/>
  <c r="J9" i="45"/>
  <c r="I9" i="45"/>
  <c r="H9" i="45"/>
  <c r="E9" i="45"/>
  <c r="J8" i="45"/>
  <c r="I8" i="45"/>
  <c r="H8" i="45"/>
  <c r="E8" i="45"/>
  <c r="J7" i="45"/>
  <c r="I7" i="45"/>
  <c r="H7" i="45"/>
  <c r="E7" i="45"/>
  <c r="J6" i="45"/>
  <c r="I6" i="45"/>
  <c r="H6" i="45"/>
  <c r="E6" i="45"/>
  <c r="J5" i="45"/>
  <c r="I5" i="45"/>
  <c r="H5" i="45"/>
  <c r="E5" i="45"/>
  <c r="E30" i="47" l="1"/>
  <c r="D14" i="46"/>
  <c r="E30" i="46"/>
  <c r="K10" i="46"/>
  <c r="E11" i="45"/>
  <c r="E28" i="46"/>
  <c r="K9" i="46"/>
  <c r="I11" i="46"/>
  <c r="E38" i="46"/>
  <c r="K7" i="47"/>
  <c r="J11" i="47"/>
  <c r="G14" i="47"/>
  <c r="J14" i="47" s="1"/>
  <c r="E38" i="47"/>
  <c r="H39" i="47"/>
  <c r="E36" i="47"/>
  <c r="E39" i="47"/>
  <c r="H29" i="47"/>
  <c r="H31" i="47"/>
  <c r="E37" i="47"/>
  <c r="H37" i="47"/>
  <c r="H36" i="47"/>
  <c r="H35" i="47"/>
  <c r="H34" i="47"/>
  <c r="E35" i="47"/>
  <c r="E34" i="47"/>
  <c r="I11" i="47"/>
  <c r="H36" i="46"/>
  <c r="H34" i="46"/>
  <c r="E36" i="46"/>
  <c r="E35" i="46"/>
  <c r="E37" i="46"/>
  <c r="E29" i="46"/>
  <c r="E34" i="46"/>
  <c r="E31" i="46"/>
  <c r="C42" i="46"/>
  <c r="E39" i="46"/>
  <c r="H39" i="46"/>
  <c r="E23" i="46"/>
  <c r="H24" i="46"/>
  <c r="E26" i="46"/>
  <c r="H32" i="46"/>
  <c r="E22" i="47"/>
  <c r="H23" i="47"/>
  <c r="E25" i="47"/>
  <c r="H26" i="47"/>
  <c r="E28" i="47"/>
  <c r="E32" i="47"/>
  <c r="D42" i="47"/>
  <c r="E22" i="46"/>
  <c r="H23" i="46"/>
  <c r="E25" i="46"/>
  <c r="H26" i="46"/>
  <c r="H30" i="46"/>
  <c r="H22" i="47"/>
  <c r="E24" i="47"/>
  <c r="H25" i="47"/>
  <c r="E27" i="47"/>
  <c r="H28" i="47"/>
  <c r="E31" i="47"/>
  <c r="G42" i="47"/>
  <c r="H38" i="47"/>
  <c r="G42" i="46"/>
  <c r="E24" i="46"/>
  <c r="H25" i="46"/>
  <c r="H28" i="46"/>
  <c r="E23" i="47"/>
  <c r="H24" i="47"/>
  <c r="E26" i="47"/>
  <c r="H27" i="47"/>
  <c r="E29" i="47"/>
  <c r="H37" i="45"/>
  <c r="H36" i="45"/>
  <c r="H38" i="45"/>
  <c r="H34" i="45"/>
  <c r="H23" i="45"/>
  <c r="H29" i="45"/>
  <c r="H27" i="45"/>
  <c r="H26" i="45"/>
  <c r="G42" i="45"/>
  <c r="H32" i="45"/>
  <c r="H25" i="45"/>
  <c r="H31" i="45"/>
  <c r="H24" i="45"/>
  <c r="H30" i="45"/>
  <c r="E32" i="45"/>
  <c r="E31" i="45"/>
  <c r="E30" i="45"/>
  <c r="E39" i="45"/>
  <c r="E25" i="45"/>
  <c r="E27" i="45"/>
  <c r="E37" i="45"/>
  <c r="E24" i="45"/>
  <c r="H28" i="45"/>
  <c r="E36" i="45"/>
  <c r="E35" i="45"/>
  <c r="E34" i="45"/>
  <c r="E23" i="45"/>
  <c r="E26" i="45"/>
  <c r="E22" i="45"/>
  <c r="H39" i="45"/>
  <c r="E38" i="45"/>
  <c r="C42" i="45"/>
  <c r="C42" i="47"/>
  <c r="E42" i="47" s="1"/>
  <c r="E14" i="47"/>
  <c r="H11" i="47"/>
  <c r="F14" i="47"/>
  <c r="F42" i="47"/>
  <c r="E11" i="47"/>
  <c r="I14" i="46"/>
  <c r="J14" i="46"/>
  <c r="H14" i="46"/>
  <c r="J11" i="46"/>
  <c r="K11" i="46" s="1"/>
  <c r="C14" i="46"/>
  <c r="E14" i="46" s="1"/>
  <c r="H22" i="46"/>
  <c r="D42" i="46"/>
  <c r="F42" i="46"/>
  <c r="H11" i="46"/>
  <c r="I14" i="45"/>
  <c r="H14" i="45"/>
  <c r="H11" i="45"/>
  <c r="D42" i="45"/>
  <c r="I11" i="45"/>
  <c r="E29" i="45"/>
  <c r="J11" i="45"/>
  <c r="D14" i="45"/>
  <c r="E14" i="45" s="1"/>
  <c r="F42" i="45"/>
  <c r="K14" i="46" l="1"/>
  <c r="K11" i="47"/>
  <c r="E42" i="46"/>
  <c r="H42" i="46"/>
  <c r="H42" i="47"/>
  <c r="H42" i="45"/>
  <c r="E42" i="45"/>
  <c r="I14" i="47"/>
  <c r="K14" i="47" s="1"/>
  <c r="H14" i="47"/>
  <c r="J14" i="45"/>
  <c r="G37" i="44" l="1"/>
  <c r="G38" i="44"/>
  <c r="G39" i="44"/>
  <c r="G36" i="44"/>
  <c r="G34" i="44"/>
  <c r="G29" i="44"/>
  <c r="H29" i="44" s="1"/>
  <c r="G30" i="44"/>
  <c r="G31" i="44"/>
  <c r="G32" i="44"/>
  <c r="G28" i="44"/>
  <c r="G23" i="44"/>
  <c r="G24" i="44"/>
  <c r="G25" i="44"/>
  <c r="G26" i="44"/>
  <c r="G22" i="44"/>
  <c r="D36" i="44"/>
  <c r="D37" i="44"/>
  <c r="D38" i="44"/>
  <c r="D39" i="44"/>
  <c r="D34" i="44"/>
  <c r="D23" i="44"/>
  <c r="D24" i="44"/>
  <c r="D25" i="44"/>
  <c r="D26" i="44"/>
  <c r="D28" i="44"/>
  <c r="D29" i="44"/>
  <c r="D30" i="44"/>
  <c r="D31" i="44"/>
  <c r="D32" i="44"/>
  <c r="D22" i="44"/>
  <c r="F35" i="44"/>
  <c r="F36" i="44"/>
  <c r="F37" i="44"/>
  <c r="F38" i="44"/>
  <c r="F39" i="44"/>
  <c r="H39" i="44" s="1"/>
  <c r="F34" i="44"/>
  <c r="F23" i="44"/>
  <c r="F24" i="44"/>
  <c r="F25" i="44"/>
  <c r="F26" i="44"/>
  <c r="F27" i="44"/>
  <c r="F28" i="44"/>
  <c r="F29" i="44"/>
  <c r="F30" i="44"/>
  <c r="F31" i="44"/>
  <c r="F32" i="44"/>
  <c r="F22" i="44"/>
  <c r="H22" i="44" s="1"/>
  <c r="C35" i="44"/>
  <c r="C36" i="44"/>
  <c r="C37" i="44"/>
  <c r="C38" i="44"/>
  <c r="C39" i="44"/>
  <c r="C34" i="44"/>
  <c r="C23" i="44"/>
  <c r="C24" i="44"/>
  <c r="C25" i="44"/>
  <c r="C26" i="44"/>
  <c r="C27" i="44"/>
  <c r="C28" i="44"/>
  <c r="E28" i="44" s="1"/>
  <c r="C29" i="44"/>
  <c r="C30" i="44"/>
  <c r="C31" i="44"/>
  <c r="C32" i="44"/>
  <c r="C22" i="44"/>
  <c r="H41" i="44"/>
  <c r="H40" i="44"/>
  <c r="H38" i="44"/>
  <c r="H37" i="44"/>
  <c r="H35" i="44"/>
  <c r="H33" i="44"/>
  <c r="H32" i="44"/>
  <c r="H31" i="44"/>
  <c r="H30" i="44"/>
  <c r="H27" i="44"/>
  <c r="H21" i="44"/>
  <c r="H20" i="44"/>
  <c r="E41" i="44"/>
  <c r="E40" i="44"/>
  <c r="E36" i="44"/>
  <c r="E35" i="44"/>
  <c r="E33" i="44"/>
  <c r="E30" i="44"/>
  <c r="E27" i="44"/>
  <c r="E25" i="44"/>
  <c r="E24" i="44"/>
  <c r="E21" i="44"/>
  <c r="E20" i="44"/>
  <c r="E13" i="44"/>
  <c r="J13" i="44"/>
  <c r="I13" i="44"/>
  <c r="H13" i="44"/>
  <c r="G11" i="44"/>
  <c r="F11" i="44"/>
  <c r="D11" i="44"/>
  <c r="D14" i="44" s="1"/>
  <c r="C11" i="44"/>
  <c r="C14" i="44" s="1"/>
  <c r="E14" i="44" s="1"/>
  <c r="J10" i="44"/>
  <c r="I10" i="44"/>
  <c r="J9" i="44"/>
  <c r="I9" i="44"/>
  <c r="J8" i="44"/>
  <c r="I8" i="44"/>
  <c r="J7" i="44"/>
  <c r="K7" i="44" s="1"/>
  <c r="I7" i="44"/>
  <c r="J6" i="44"/>
  <c r="I6" i="44"/>
  <c r="J5" i="44"/>
  <c r="I5" i="44"/>
  <c r="H10" i="44"/>
  <c r="H9" i="44"/>
  <c r="H8" i="44"/>
  <c r="H7" i="44"/>
  <c r="H6" i="44"/>
  <c r="H5" i="44"/>
  <c r="E10" i="44"/>
  <c r="E9" i="44"/>
  <c r="E8" i="44"/>
  <c r="E7" i="44"/>
  <c r="E6" i="44"/>
  <c r="E5" i="44"/>
  <c r="G37" i="43"/>
  <c r="G38" i="43"/>
  <c r="G39" i="43"/>
  <c r="G36" i="43"/>
  <c r="G34" i="43"/>
  <c r="G29" i="43"/>
  <c r="G30" i="43"/>
  <c r="G31" i="43"/>
  <c r="G32" i="43"/>
  <c r="G28" i="43"/>
  <c r="G23" i="43"/>
  <c r="G24" i="43"/>
  <c r="G25" i="43"/>
  <c r="G26" i="43"/>
  <c r="G22" i="43"/>
  <c r="D36" i="43"/>
  <c r="D37" i="43"/>
  <c r="D38" i="43"/>
  <c r="D39" i="43"/>
  <c r="D34" i="43"/>
  <c r="D23" i="43"/>
  <c r="D24" i="43"/>
  <c r="D25" i="43"/>
  <c r="D26" i="43"/>
  <c r="D28" i="43"/>
  <c r="D29" i="43"/>
  <c r="D30" i="43"/>
  <c r="D31" i="43"/>
  <c r="D32" i="43"/>
  <c r="D22" i="43"/>
  <c r="F35" i="43"/>
  <c r="F36" i="43"/>
  <c r="F37" i="43"/>
  <c r="F38" i="43"/>
  <c r="F39" i="43"/>
  <c r="F34" i="43"/>
  <c r="F23" i="43"/>
  <c r="F24" i="43"/>
  <c r="F25" i="43"/>
  <c r="F26" i="43"/>
  <c r="F27" i="43"/>
  <c r="F28" i="43"/>
  <c r="F29" i="43"/>
  <c r="F30" i="43"/>
  <c r="F31" i="43"/>
  <c r="F32" i="43"/>
  <c r="F22" i="43"/>
  <c r="C35" i="43"/>
  <c r="C36" i="43"/>
  <c r="C37" i="43"/>
  <c r="C38" i="43"/>
  <c r="C39" i="43"/>
  <c r="C34" i="43"/>
  <c r="C23" i="43"/>
  <c r="C24" i="43"/>
  <c r="C25" i="43"/>
  <c r="C26" i="43"/>
  <c r="C27" i="43"/>
  <c r="C28" i="43"/>
  <c r="C29" i="43"/>
  <c r="C30" i="43"/>
  <c r="C31" i="43"/>
  <c r="C32" i="43"/>
  <c r="C22" i="43"/>
  <c r="J13" i="43"/>
  <c r="K13" i="43" s="1"/>
  <c r="H13" i="43"/>
  <c r="E13" i="43"/>
  <c r="K8" i="43"/>
  <c r="K9" i="43"/>
  <c r="J6" i="43"/>
  <c r="K6" i="43" s="1"/>
  <c r="J7" i="43"/>
  <c r="K7" i="43" s="1"/>
  <c r="J8" i="43"/>
  <c r="J9" i="43"/>
  <c r="J10" i="43"/>
  <c r="J5" i="43"/>
  <c r="K5" i="43" s="1"/>
  <c r="I13" i="43"/>
  <c r="I6" i="43"/>
  <c r="I7" i="43"/>
  <c r="I8" i="43"/>
  <c r="I9" i="43"/>
  <c r="I10" i="43"/>
  <c r="K10" i="43" s="1"/>
  <c r="I5" i="43"/>
  <c r="K5" i="44" l="1"/>
  <c r="K8" i="44"/>
  <c r="E37" i="44"/>
  <c r="H34" i="44"/>
  <c r="K6" i="44"/>
  <c r="K9" i="44"/>
  <c r="E38" i="44"/>
  <c r="H24" i="44"/>
  <c r="E29" i="44"/>
  <c r="H26" i="44"/>
  <c r="E32" i="44"/>
  <c r="E31" i="44"/>
  <c r="H28" i="44"/>
  <c r="H36" i="44"/>
  <c r="E23" i="44"/>
  <c r="E34" i="44"/>
  <c r="F42" i="43"/>
  <c r="E39" i="44"/>
  <c r="H25" i="44"/>
  <c r="E26" i="44"/>
  <c r="G42" i="44"/>
  <c r="H23" i="44"/>
  <c r="D42" i="44"/>
  <c r="E22" i="44"/>
  <c r="F42" i="44"/>
  <c r="C42" i="44"/>
  <c r="K13" i="44"/>
  <c r="J11" i="44"/>
  <c r="G14" i="44"/>
  <c r="J14" i="44" s="1"/>
  <c r="K10" i="44"/>
  <c r="E11" i="44"/>
  <c r="I11" i="44"/>
  <c r="F14" i="44"/>
  <c r="H11" i="44"/>
  <c r="E42" i="44" l="1"/>
  <c r="H42" i="44"/>
  <c r="K11" i="44"/>
  <c r="H14" i="44"/>
  <c r="I14" i="44"/>
  <c r="K14" i="44" s="1"/>
  <c r="F11" i="43" l="1"/>
  <c r="G11" i="43"/>
  <c r="G14" i="43" s="1"/>
  <c r="D11" i="43"/>
  <c r="C11" i="43"/>
  <c r="F14" i="43"/>
  <c r="G35" i="41"/>
  <c r="G36" i="41"/>
  <c r="G37" i="41"/>
  <c r="G38" i="41"/>
  <c r="G39" i="41"/>
  <c r="G34" i="41"/>
  <c r="G29" i="41"/>
  <c r="G30" i="41"/>
  <c r="G31" i="41"/>
  <c r="G32" i="41"/>
  <c r="G28" i="41"/>
  <c r="G23" i="41"/>
  <c r="G24" i="41"/>
  <c r="G25" i="41"/>
  <c r="G26" i="41"/>
  <c r="G22" i="41"/>
  <c r="D35" i="41"/>
  <c r="D36" i="41"/>
  <c r="D37" i="41"/>
  <c r="D38" i="41"/>
  <c r="D39" i="41"/>
  <c r="D34" i="41"/>
  <c r="D23" i="41"/>
  <c r="D24" i="41"/>
  <c r="D25" i="41"/>
  <c r="D26" i="41"/>
  <c r="D28" i="41"/>
  <c r="D29" i="41"/>
  <c r="D30" i="41"/>
  <c r="D31" i="41"/>
  <c r="D32" i="41"/>
  <c r="D22" i="41"/>
  <c r="F35" i="41"/>
  <c r="F36" i="41"/>
  <c r="F37" i="41"/>
  <c r="F38" i="41"/>
  <c r="F39" i="41"/>
  <c r="F34" i="41"/>
  <c r="F30" i="41"/>
  <c r="F31" i="41"/>
  <c r="F32" i="41"/>
  <c r="F29" i="41"/>
  <c r="F23" i="41"/>
  <c r="F24" i="41"/>
  <c r="F25" i="41"/>
  <c r="F26" i="41"/>
  <c r="F27" i="41"/>
  <c r="F22" i="41"/>
  <c r="C35" i="41"/>
  <c r="C36" i="41"/>
  <c r="C37" i="41"/>
  <c r="C38" i="41"/>
  <c r="C39" i="41"/>
  <c r="C34" i="41"/>
  <c r="C32" i="41"/>
  <c r="C23" i="41"/>
  <c r="C24" i="41"/>
  <c r="C25" i="41"/>
  <c r="C26" i="41"/>
  <c r="C27" i="41"/>
  <c r="C29" i="41"/>
  <c r="C30" i="41"/>
  <c r="C31" i="41"/>
  <c r="C22" i="41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20" i="43"/>
  <c r="G42" i="43"/>
  <c r="D42" i="43"/>
  <c r="C42" i="43"/>
  <c r="H6" i="43"/>
  <c r="H7" i="43"/>
  <c r="H8" i="43"/>
  <c r="H9" i="43"/>
  <c r="H10" i="43"/>
  <c r="H5" i="43"/>
  <c r="E6" i="43"/>
  <c r="E7" i="43"/>
  <c r="E8" i="43"/>
  <c r="E9" i="43"/>
  <c r="E10" i="43"/>
  <c r="E5" i="43"/>
  <c r="C14" i="43" l="1"/>
  <c r="I11" i="43"/>
  <c r="D14" i="43"/>
  <c r="E14" i="43" s="1"/>
  <c r="J11" i="43"/>
  <c r="K11" i="43" s="1"/>
  <c r="E42" i="43"/>
  <c r="H42" i="43"/>
  <c r="I14" i="43"/>
  <c r="H14" i="43"/>
  <c r="J14" i="43"/>
  <c r="K14" i="43" s="1"/>
  <c r="H11" i="43"/>
  <c r="E11" i="43"/>
  <c r="G42" i="41"/>
  <c r="F42" i="41"/>
  <c r="D42" i="41"/>
  <c r="C42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20" i="41"/>
  <c r="E13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1" i="41"/>
  <c r="E20" i="41"/>
  <c r="G14" i="41"/>
  <c r="F14" i="41"/>
  <c r="H14" i="41" s="1"/>
  <c r="D14" i="41"/>
  <c r="C14" i="41"/>
  <c r="E14" i="41" s="1"/>
  <c r="H13" i="41"/>
  <c r="I13" i="41"/>
  <c r="J13" i="41"/>
  <c r="J11" i="41"/>
  <c r="J6" i="41"/>
  <c r="J7" i="41"/>
  <c r="J8" i="41"/>
  <c r="J9" i="41"/>
  <c r="J10" i="41"/>
  <c r="J5" i="41"/>
  <c r="I11" i="41"/>
  <c r="I7" i="41"/>
  <c r="I8" i="41"/>
  <c r="I9" i="41"/>
  <c r="I10" i="41"/>
  <c r="I5" i="41"/>
  <c r="I6" i="41"/>
  <c r="H42" i="41" l="1"/>
  <c r="E42" i="41"/>
  <c r="H11" i="41"/>
  <c r="H6" i="41"/>
  <c r="H7" i="41"/>
  <c r="H8" i="41"/>
  <c r="H9" i="41"/>
  <c r="H10" i="41"/>
  <c r="H5" i="41"/>
  <c r="E6" i="41"/>
  <c r="E7" i="41"/>
  <c r="E8" i="41"/>
  <c r="E9" i="41"/>
  <c r="E10" i="41"/>
  <c r="E5" i="41"/>
  <c r="E11" i="41"/>
</calcChain>
</file>

<file path=xl/sharedStrings.xml><?xml version="1.0" encoding="utf-8"?>
<sst xmlns="http://schemas.openxmlformats.org/spreadsheetml/2006/main" count="3138" uniqueCount="361">
  <si>
    <t>稅則號列</t>
    <phoneticPr fontId="7" type="noConversion"/>
  </si>
  <si>
    <t>品名</t>
    <phoneticPr fontId="7" type="noConversion"/>
  </si>
  <si>
    <t>差</t>
    <phoneticPr fontId="7" type="noConversion"/>
  </si>
  <si>
    <r>
      <t>順/</t>
    </r>
    <r>
      <rPr>
        <sz val="11"/>
        <color indexed="10"/>
        <rFont val="華康仿宋體"/>
        <family val="3"/>
        <charset val="136"/>
      </rPr>
      <t>逆差</t>
    </r>
    <phoneticPr fontId="7" type="noConversion"/>
  </si>
  <si>
    <t>出口平均單價</t>
    <phoneticPr fontId="7" type="noConversion"/>
  </si>
  <si>
    <t>進口平均單價　</t>
    <phoneticPr fontId="7" type="noConversion"/>
  </si>
  <si>
    <t>(台)</t>
  </si>
  <si>
    <t>(US$)</t>
  </si>
  <si>
    <t>87120010902</t>
    <phoneticPr fontId="7" type="noConversion"/>
  </si>
  <si>
    <t>其他二輪腳踏車</t>
    <phoneticPr fontId="7" type="noConversion"/>
  </si>
  <si>
    <t>87120010109</t>
    <phoneticPr fontId="7" type="noConversion"/>
  </si>
  <si>
    <t>摺疊二輪腳踏車</t>
    <phoneticPr fontId="7" type="noConversion"/>
  </si>
  <si>
    <t>87120010207</t>
    <phoneticPr fontId="17" type="noConversion"/>
  </si>
  <si>
    <t>兒童用二輪腳踏車</t>
    <phoneticPr fontId="17" type="noConversion"/>
  </si>
  <si>
    <t>87120010305</t>
    <phoneticPr fontId="17" type="noConversion"/>
  </si>
  <si>
    <t>城市與旅行用二輪腳踏車</t>
    <phoneticPr fontId="17" type="noConversion"/>
  </si>
  <si>
    <t>87120010403</t>
    <phoneticPr fontId="17" type="noConversion"/>
  </si>
  <si>
    <t>登山用二輪腳踏車</t>
    <phoneticPr fontId="17" type="noConversion"/>
  </si>
  <si>
    <t>87120010500</t>
    <phoneticPr fontId="17" type="noConversion"/>
  </si>
  <si>
    <t>公路用二輪腳踏車</t>
    <phoneticPr fontId="17" type="noConversion"/>
  </si>
  <si>
    <t>87120010</t>
    <phoneticPr fontId="7" type="noConversion"/>
  </si>
  <si>
    <t>二輪腳踏車</t>
    <phoneticPr fontId="7" type="noConversion"/>
  </si>
  <si>
    <t>87120090004</t>
    <phoneticPr fontId="7" type="noConversion"/>
  </si>
  <si>
    <t>其他腳踏車</t>
    <phoneticPr fontId="7" type="noConversion"/>
  </si>
  <si>
    <t>總   計</t>
    <phoneticPr fontId="7" type="noConversion"/>
  </si>
  <si>
    <t>(其他腳踏車+二輪腳踏車)</t>
    <phoneticPr fontId="7" type="noConversion"/>
  </si>
  <si>
    <r>
      <t>順</t>
    </r>
    <r>
      <rPr>
        <sz val="11"/>
        <color indexed="10"/>
        <rFont val="華康仿宋體"/>
        <family val="3"/>
        <charset val="136"/>
      </rPr>
      <t>/逆差</t>
    </r>
    <phoneticPr fontId="7" type="noConversion"/>
  </si>
  <si>
    <t>(公斤)</t>
    <phoneticPr fontId="7" type="noConversion"/>
  </si>
  <si>
    <t>85121010001</t>
    <phoneticPr fontId="7" type="noConversion"/>
  </si>
  <si>
    <t>腳踏車用電氣照明設備　</t>
    <phoneticPr fontId="7" type="noConversion"/>
  </si>
  <si>
    <t>85121020009</t>
    <phoneticPr fontId="7" type="noConversion"/>
  </si>
  <si>
    <t>腳踏車照明視覺信號設備</t>
    <phoneticPr fontId="7" type="noConversion"/>
  </si>
  <si>
    <t>87149120007</t>
    <phoneticPr fontId="7" type="noConversion"/>
  </si>
  <si>
    <t>其他車架.前叉及相關零件</t>
    <phoneticPr fontId="7" type="noConversion"/>
  </si>
  <si>
    <t>87149200108</t>
    <phoneticPr fontId="7" type="noConversion"/>
  </si>
  <si>
    <t>輪圈</t>
    <phoneticPr fontId="7" type="noConversion"/>
  </si>
  <si>
    <t>87149200206</t>
    <phoneticPr fontId="7" type="noConversion"/>
  </si>
  <si>
    <t>輪幅</t>
    <phoneticPr fontId="7" type="noConversion"/>
  </si>
  <si>
    <t>87149200304</t>
    <phoneticPr fontId="7" type="noConversion"/>
  </si>
  <si>
    <t>輪圈及輪幅</t>
    <phoneticPr fontId="7" type="noConversion"/>
  </si>
  <si>
    <t>87149310007</t>
    <phoneticPr fontId="7" type="noConversion"/>
  </si>
  <si>
    <t>輪轂(倒煞車輪及輪轂煞車除外)</t>
    <phoneticPr fontId="7" type="noConversion"/>
  </si>
  <si>
    <t>87149320005</t>
    <phoneticPr fontId="7" type="noConversion"/>
  </si>
  <si>
    <t>飛輪之鏈輪</t>
    <phoneticPr fontId="7" type="noConversion"/>
  </si>
  <si>
    <t>87149410006</t>
    <phoneticPr fontId="7" type="noConversion"/>
  </si>
  <si>
    <t>煞車鋼線及其零件</t>
    <phoneticPr fontId="7" type="noConversion"/>
  </si>
  <si>
    <t>87149490009</t>
    <phoneticPr fontId="7" type="noConversion"/>
  </si>
  <si>
    <t>其他煞車器及其零件</t>
    <phoneticPr fontId="7" type="noConversion"/>
  </si>
  <si>
    <t>87149500007</t>
    <phoneticPr fontId="7" type="noConversion"/>
  </si>
  <si>
    <t>腳踏車車座</t>
    <phoneticPr fontId="7" type="noConversion"/>
  </si>
  <si>
    <t>87149610004</t>
    <phoneticPr fontId="7" type="noConversion"/>
  </si>
  <si>
    <t>踏板及其零件</t>
    <phoneticPr fontId="7" type="noConversion"/>
  </si>
  <si>
    <t>87149620002</t>
    <phoneticPr fontId="7" type="noConversion"/>
  </si>
  <si>
    <t>曲柄齒輪及其零件</t>
    <phoneticPr fontId="7" type="noConversion"/>
  </si>
  <si>
    <t>73151100209</t>
    <phoneticPr fontId="7" type="noConversion"/>
  </si>
  <si>
    <t>腳踏車用滾子鏈</t>
    <phoneticPr fontId="7" type="noConversion"/>
  </si>
  <si>
    <t>87149990111</t>
    <phoneticPr fontId="7" type="noConversion"/>
  </si>
  <si>
    <t>腳踏車用變速器　</t>
    <phoneticPr fontId="7" type="noConversion"/>
  </si>
  <si>
    <t>87149990120</t>
    <phoneticPr fontId="7" type="noConversion"/>
  </si>
  <si>
    <t>腳踏車用飛輪</t>
    <phoneticPr fontId="7" type="noConversion"/>
  </si>
  <si>
    <t>87149990139</t>
    <phoneticPr fontId="7" type="noConversion"/>
  </si>
  <si>
    <t>腳踏車用軸心</t>
    <phoneticPr fontId="7" type="noConversion"/>
  </si>
  <si>
    <t>87149990148</t>
    <phoneticPr fontId="7" type="noConversion"/>
  </si>
  <si>
    <t>腳踏車用把手豎管　</t>
    <phoneticPr fontId="7" type="noConversion"/>
  </si>
  <si>
    <t>87149990157</t>
    <phoneticPr fontId="7" type="noConversion"/>
  </si>
  <si>
    <t>腳踏車用座管及上下管</t>
    <phoneticPr fontId="7" type="noConversion"/>
  </si>
  <si>
    <t>87149990166</t>
    <phoneticPr fontId="7" type="noConversion"/>
  </si>
  <si>
    <t>腳踏車用把手　</t>
    <phoneticPr fontId="7" type="noConversion"/>
  </si>
  <si>
    <t>40115000008</t>
    <phoneticPr fontId="7" type="noConversion"/>
  </si>
  <si>
    <t>腳踏用新橡膠氣胎</t>
    <phoneticPr fontId="7" type="noConversion"/>
  </si>
  <si>
    <t>40132000003</t>
    <phoneticPr fontId="7" type="noConversion"/>
  </si>
  <si>
    <t>腳踏車用橡膠內胎　</t>
    <phoneticPr fontId="7" type="noConversion"/>
  </si>
  <si>
    <t>資料來源: 經濟部國貿局,臺灣自行車輸出業同業公會整理</t>
  </si>
  <si>
    <t>同期出口</t>
    <phoneticPr fontId="7" type="noConversion"/>
  </si>
  <si>
    <t>同期出口　</t>
    <phoneticPr fontId="17" type="noConversion"/>
  </si>
  <si>
    <t>數量(台)</t>
    <phoneticPr fontId="17" type="noConversion"/>
  </si>
  <si>
    <t>數量比較</t>
    <phoneticPr fontId="17" type="noConversion"/>
  </si>
  <si>
    <t>金額(US$)</t>
    <phoneticPr fontId="17" type="noConversion"/>
  </si>
  <si>
    <t>金額比較</t>
    <phoneticPr fontId="17" type="noConversion"/>
  </si>
  <si>
    <t>平均單價比較</t>
    <phoneticPr fontId="17" type="noConversion"/>
  </si>
  <si>
    <t>(其他腳踏車+二輪腳踏車)</t>
  </si>
  <si>
    <t>數量(公斤)</t>
    <phoneticPr fontId="17" type="noConversion"/>
  </si>
  <si>
    <t>金額比較　</t>
    <phoneticPr fontId="17" type="noConversion"/>
  </si>
  <si>
    <t>同期進口</t>
    <phoneticPr fontId="7" type="noConversion"/>
  </si>
  <si>
    <t>1月出口數量</t>
  </si>
  <si>
    <t>1月進口數量</t>
  </si>
  <si>
    <t>1月出口金額</t>
  </si>
  <si>
    <t>1月進口金額</t>
  </si>
  <si>
    <t>2021年平均單價　</t>
  </si>
  <si>
    <t xml:space="preserve"> 2022年平均單價</t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</si>
  <si>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</si>
  <si>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</si>
  <si>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t>2022年1-1月</t>
  </si>
  <si>
    <t>2022年1-1月</t>
    <phoneticPr fontId="4" type="noConversion"/>
  </si>
  <si>
    <t>2023年1-1月</t>
  </si>
  <si>
    <r>
      <t>2023</t>
    </r>
    <r>
      <rPr>
        <sz val="8"/>
        <rFont val="新細明體"/>
        <family val="1"/>
        <charset val="136"/>
      </rPr>
      <t>年平均單價</t>
    </r>
    <phoneticPr fontId="4" type="noConversion"/>
  </si>
  <si>
    <t>2022年平均單價</t>
    <phoneticPr fontId="4" type="noConversion"/>
  </si>
  <si>
    <t>2023/2022年1-1月台灣自中國大陸進口自行車零配件統計比較</t>
    <phoneticPr fontId="4" type="noConversion"/>
  </si>
  <si>
    <r>
      <t xml:space="preserve"> 2023/2022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</si>
  <si>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 xml:space="preserve"> 2023/2022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</si>
  <si>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t xml:space="preserve"> 2023年1月台灣自行車對中國大陸出.進口統計比較</t>
    <phoneticPr fontId="4" type="noConversion"/>
  </si>
  <si>
    <t xml:space="preserve"> 2023年1月台灣自行車零配件對中國大陸出.進口統計比較</t>
    <phoneticPr fontId="4" type="noConversion"/>
  </si>
  <si>
    <r>
      <t xml:space="preserve"> 2023/2022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</si>
  <si>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 xml:space="preserve"> 2023/2022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</si>
  <si>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</si>
  <si>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t>2023/2022年1-2月台灣自中國大陸進口自行車零配件統計比較</t>
    <phoneticPr fontId="4" type="noConversion"/>
  </si>
  <si>
    <t xml:space="preserve"> 2023年2月台灣自行車對中國大陸出.進口統計比較</t>
    <phoneticPr fontId="4" type="noConversion"/>
  </si>
  <si>
    <t xml:space="preserve"> 2023年2月台灣自行車零配件對中國大陸出.進口統計比較</t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</si>
  <si>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</si>
  <si>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t>2022年1-2月</t>
  </si>
  <si>
    <t>2022年1-2月</t>
    <phoneticPr fontId="4" type="noConversion"/>
  </si>
  <si>
    <t>2023年1-2月</t>
  </si>
  <si>
    <t>2月出口數量</t>
    <phoneticPr fontId="4" type="noConversion"/>
  </si>
  <si>
    <t>2月進口數量</t>
    <phoneticPr fontId="4" type="noConversion"/>
  </si>
  <si>
    <t>2月出口金額</t>
    <phoneticPr fontId="4" type="noConversion"/>
  </si>
  <si>
    <t>2月進口金額</t>
    <phoneticPr fontId="4" type="noConversion"/>
  </si>
  <si>
    <t>87149320103</t>
    <phoneticPr fontId="7" type="noConversion"/>
  </si>
  <si>
    <t>87149320906</t>
    <phoneticPr fontId="7" type="noConversion"/>
  </si>
  <si>
    <t>其他飛輪之鏈輪</t>
    <phoneticPr fontId="7" type="noConversion"/>
  </si>
  <si>
    <t>裝有棘輪機構之單一鏈輪</t>
    <phoneticPr fontId="7" type="noConversion"/>
  </si>
  <si>
    <r>
      <t xml:space="preserve"> 2023</t>
    </r>
    <r>
      <rPr>
        <b/>
        <sz val="14"/>
        <rFont val="新細明體"/>
        <family val="1"/>
        <charset val="136"/>
      </rPr>
      <t>年3月台灣自行車對中國大陸出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</si>
  <si>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3月出口數量</t>
    <phoneticPr fontId="4" type="noConversion"/>
  </si>
  <si>
    <r>
      <t>3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</si>
  <si>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3月出口金額</t>
    <phoneticPr fontId="4" type="noConversion"/>
  </si>
  <si>
    <t>3月進口金額</t>
    <phoneticPr fontId="4" type="noConversion"/>
  </si>
  <si>
    <r>
      <t xml:space="preserve"> 2023</t>
    </r>
    <r>
      <rPr>
        <b/>
        <sz val="14"/>
        <rFont val="新細明體"/>
        <family val="1"/>
        <charset val="136"/>
      </rPr>
      <t>年3月台灣自行車零配件對中國大陸出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</si>
  <si>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2023/2022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</si>
  <si>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 xml:space="preserve"> 2023/2022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</si>
  <si>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1-3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</si>
  <si>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1-3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</si>
  <si>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1-3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</si>
  <si>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1-3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</si>
  <si>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</si>
  <si>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</si>
  <si>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t>裝有棘輪機構之單一鏈輪　</t>
    <phoneticPr fontId="7" type="noConversion"/>
  </si>
  <si>
    <r>
      <t xml:space="preserve"> 202</t>
    </r>
    <r>
      <rPr>
        <sz val="8"/>
        <rFont val="新細明體"/>
        <family val="3"/>
        <charset val="136"/>
      </rPr>
      <t>3</t>
    </r>
    <r>
      <rPr>
        <sz val="8"/>
        <rFont val="新細明體"/>
        <family val="1"/>
        <charset val="136"/>
      </rPr>
      <t>年平均單價</t>
    </r>
    <phoneticPr fontId="4" type="noConversion"/>
  </si>
  <si>
    <r>
      <t>202</t>
    </r>
    <r>
      <rPr>
        <sz val="8"/>
        <rFont val="新細明體"/>
        <family val="3"/>
        <charset val="136"/>
      </rPr>
      <t>2</t>
    </r>
    <r>
      <rPr>
        <sz val="8"/>
        <rFont val="新細明體"/>
        <family val="1"/>
        <charset val="136"/>
      </rPr>
      <t>年平均單價　</t>
    </r>
    <phoneticPr fontId="4" type="noConversion"/>
  </si>
  <si>
    <t>稅則號列</t>
  </si>
  <si>
    <t>品名</t>
  </si>
  <si>
    <t>4月出口數量</t>
  </si>
  <si>
    <t>4月進口數量</t>
  </si>
  <si>
    <t>差</t>
  </si>
  <si>
    <t>4月出口金額</t>
  </si>
  <si>
    <t>4月進口金額</t>
  </si>
  <si>
    <t>順/逆差</t>
  </si>
  <si>
    <t>出口平均單價</t>
  </si>
  <si>
    <t>進口平均單價　</t>
  </si>
  <si>
    <t>其他二輪腳踏車</t>
  </si>
  <si>
    <t>摺疊二輪腳踏車</t>
  </si>
  <si>
    <t>87120010207</t>
  </si>
  <si>
    <t>兒童用二輪腳踏車</t>
  </si>
  <si>
    <t>87120010305</t>
  </si>
  <si>
    <t>城市與旅行用二輪腳踏車</t>
  </si>
  <si>
    <t>87120010403</t>
  </si>
  <si>
    <t>登山用二輪腳踏車</t>
  </si>
  <si>
    <t>87120010500</t>
  </si>
  <si>
    <t>公路用二輪腳踏車</t>
  </si>
  <si>
    <t>87120010</t>
  </si>
  <si>
    <t>二輪腳踏車</t>
  </si>
  <si>
    <t>其他腳踏車</t>
  </si>
  <si>
    <t>總   計</t>
  </si>
  <si>
    <t>(公斤)</t>
  </si>
  <si>
    <t>腳踏車用電器照明設備　</t>
  </si>
  <si>
    <t>腳踏車照明視覺信號設備</t>
  </si>
  <si>
    <t>其他車架.前叉及相關零件</t>
  </si>
  <si>
    <t>輪圈</t>
  </si>
  <si>
    <t>輪幅</t>
  </si>
  <si>
    <t>輪圈及輪幅</t>
  </si>
  <si>
    <t>輪轂(倒煞車輪及輪轂煞車除外)</t>
  </si>
  <si>
    <t>裝有棘輪機構之單一鏈輪</t>
  </si>
  <si>
    <t>煞車鋼線及其零件</t>
  </si>
  <si>
    <t>其他煞車器及其零件</t>
  </si>
  <si>
    <t>腳踏車車座</t>
  </si>
  <si>
    <t>踏板及其零件</t>
  </si>
  <si>
    <t>曲柄齒輪及其零件</t>
  </si>
  <si>
    <t>腳踏車用滾子鏈</t>
  </si>
  <si>
    <t>腳踏車用變速器　</t>
  </si>
  <si>
    <t>其他飛輪之鏈輪</t>
  </si>
  <si>
    <t>腳踏車用軸心</t>
  </si>
  <si>
    <t>腳踏車用把手豎管　</t>
  </si>
  <si>
    <t>腳踏車用座管及上下管</t>
  </si>
  <si>
    <t>腳踏車用把手　</t>
  </si>
  <si>
    <t>腳踏用新橡膠氣胎</t>
  </si>
  <si>
    <t>腳踏車用橡膠內胎　</t>
  </si>
  <si>
    <t>2023年1-4月</t>
  </si>
  <si>
    <t>2022年1-4月</t>
  </si>
  <si>
    <t>同期出口</t>
  </si>
  <si>
    <t>2023年平均單價</t>
  </si>
  <si>
    <t>2022年平均單價　</t>
  </si>
  <si>
    <t>同期出口　</t>
  </si>
  <si>
    <t>數量(台)</t>
  </si>
  <si>
    <t>數量比較</t>
  </si>
  <si>
    <t>金額(US$)</t>
  </si>
  <si>
    <t>金額比較</t>
  </si>
  <si>
    <t>平均單價比較</t>
  </si>
  <si>
    <t>數量(公斤)</t>
  </si>
  <si>
    <t>金額比較　</t>
  </si>
  <si>
    <t>同期進口</t>
  </si>
  <si>
    <t>同期進口　</t>
  </si>
  <si>
    <r>
      <t>2023/2022 1-4</t>
    </r>
    <r>
      <rPr>
        <b/>
        <sz val="14"/>
        <rFont val="新細明體"/>
        <family val="1"/>
        <charset val="136"/>
      </rPr>
      <t>月台灣自行車出口至中國大陸統計比較</t>
    </r>
    <phoneticPr fontId="4" type="noConversion"/>
  </si>
  <si>
    <r>
      <t>2023/2022 1-4</t>
    </r>
    <r>
      <rPr>
        <b/>
        <sz val="14"/>
        <rFont val="新細明體"/>
        <family val="1"/>
        <charset val="136"/>
      </rPr>
      <t>月台灣自行車零配件出口至中國大陸統計比較</t>
    </r>
    <phoneticPr fontId="4" type="noConversion"/>
  </si>
  <si>
    <r>
      <t>2023/2022 1-4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</si>
  <si>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2023/2022 1-4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</si>
  <si>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4</t>
    </r>
    <r>
      <rPr>
        <b/>
        <sz val="14"/>
        <rFont val="新細明體"/>
        <family val="1"/>
        <charset val="136"/>
      </rPr>
      <t>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</si>
  <si>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4</t>
    </r>
    <r>
      <rPr>
        <b/>
        <sz val="14"/>
        <rFont val="新細明體"/>
        <family val="1"/>
        <charset val="136"/>
      </rPr>
      <t>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</si>
  <si>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87120010109</t>
    <phoneticPr fontId="4" type="noConversion"/>
  </si>
  <si>
    <t>87120010902</t>
    <phoneticPr fontId="4" type="noConversion"/>
  </si>
  <si>
    <t>87120090004</t>
    <phoneticPr fontId="4" type="noConversion"/>
  </si>
  <si>
    <t>85121010001</t>
    <phoneticPr fontId="4" type="noConversion"/>
  </si>
  <si>
    <t>85121020009</t>
    <phoneticPr fontId="4" type="noConversion"/>
  </si>
  <si>
    <t>73151100209</t>
    <phoneticPr fontId="4" type="noConversion"/>
  </si>
  <si>
    <t>40115000008</t>
    <phoneticPr fontId="4" type="noConversion"/>
  </si>
  <si>
    <t>40132000003</t>
    <phoneticPr fontId="4" type="noConversion"/>
  </si>
  <si>
    <r>
      <t>2023</t>
    </r>
    <r>
      <rPr>
        <b/>
        <sz val="14"/>
        <rFont val="新細明體"/>
        <family val="1"/>
        <charset val="136"/>
      </rPr>
      <t>年5月台灣自行車對中國大陸出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</si>
  <si>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5月出口數量</t>
    <phoneticPr fontId="4" type="noConversion"/>
  </si>
  <si>
    <r>
      <t>5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</si>
  <si>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5月出口金額</t>
    <phoneticPr fontId="4" type="noConversion"/>
  </si>
  <si>
    <t>5月進口金額</t>
    <phoneticPr fontId="4" type="noConversion"/>
  </si>
  <si>
    <r>
      <t>2023</t>
    </r>
    <r>
      <rPr>
        <b/>
        <sz val="14"/>
        <rFont val="新細明體"/>
        <family val="1"/>
        <charset val="136"/>
      </rPr>
      <t>年5月台灣自行車零配件對中國大陸出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</si>
  <si>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2023/2022 1-5</t>
    </r>
    <r>
      <rPr>
        <b/>
        <sz val="14"/>
        <rFont val="新細明體"/>
        <family val="1"/>
        <charset val="136"/>
      </rPr>
      <t>月台灣自行車出口至中國大陸統計比較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</si>
  <si>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1-5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</si>
  <si>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1-5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</si>
  <si>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1-5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</si>
  <si>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1-5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</si>
  <si>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2023/2022 1-5</t>
    </r>
    <r>
      <rPr>
        <b/>
        <sz val="14"/>
        <rFont val="新細明體"/>
        <family val="1"/>
        <charset val="136"/>
      </rPr>
      <t>月台灣自行車零配件出口至中國大陸統計比較</t>
    </r>
    <phoneticPr fontId="4" type="noConversion"/>
  </si>
  <si>
    <r>
      <t>2023/2022 1-5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</si>
  <si>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t>同期進口</t>
    <phoneticPr fontId="4" type="noConversion"/>
  </si>
  <si>
    <r>
      <t>2022</t>
    </r>
    <r>
      <rPr>
        <sz val="8"/>
        <rFont val="新細明體"/>
        <family val="1"/>
        <charset val="136"/>
      </rPr>
      <t>年平均單價</t>
    </r>
    <phoneticPr fontId="4" type="noConversion"/>
  </si>
  <si>
    <r>
      <t>2023/2022 1-5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</si>
  <si>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年6月台灣自行車對中國大陸出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</si>
  <si>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6月出口數量</t>
    <phoneticPr fontId="4" type="noConversion"/>
  </si>
  <si>
    <r>
      <t>6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</si>
  <si>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6月出口金額</t>
    <phoneticPr fontId="4" type="noConversion"/>
  </si>
  <si>
    <t>6月進口金額</t>
    <phoneticPr fontId="4" type="noConversion"/>
  </si>
  <si>
    <r>
      <t>2023</t>
    </r>
    <r>
      <rPr>
        <b/>
        <sz val="14"/>
        <rFont val="新細明體"/>
        <family val="1"/>
        <charset val="136"/>
      </rPr>
      <t>年6月台灣自行車零配件對中國大陸出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</si>
  <si>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2023/2022 1-6</t>
    </r>
    <r>
      <rPr>
        <b/>
        <sz val="14"/>
        <rFont val="新細明體"/>
        <family val="1"/>
        <charset val="136"/>
      </rPr>
      <t>月台灣自行車出口至中國大陸統計比較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</si>
  <si>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1-6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</si>
  <si>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1-6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</si>
  <si>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1-6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</si>
  <si>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1-6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</si>
  <si>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2023/2022 1-6</t>
    </r>
    <r>
      <rPr>
        <b/>
        <sz val="14"/>
        <rFont val="新細明體"/>
        <family val="1"/>
        <charset val="136"/>
      </rPr>
      <t>月台灣自行車零配件出口至中國大陸統計比較</t>
    </r>
    <phoneticPr fontId="4" type="noConversion"/>
  </si>
  <si>
    <r>
      <t>2023/2022 1-6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</si>
  <si>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2023/2022 1-6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</si>
  <si>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t>87149410006</t>
    <phoneticPr fontId="4" type="noConversion"/>
  </si>
  <si>
    <r>
      <t>2023</t>
    </r>
    <r>
      <rPr>
        <b/>
        <sz val="14"/>
        <rFont val="新細明體"/>
        <family val="1"/>
        <charset val="136"/>
      </rPr>
      <t>年7月台灣自行車對中國大陸出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</si>
  <si>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7月出口數量</t>
    <phoneticPr fontId="4" type="noConversion"/>
  </si>
  <si>
    <r>
      <t>7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</si>
  <si>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7月出口金額</t>
    <phoneticPr fontId="4" type="noConversion"/>
  </si>
  <si>
    <t>7月進口金額</t>
    <phoneticPr fontId="4" type="noConversion"/>
  </si>
  <si>
    <r>
      <t>2023</t>
    </r>
    <r>
      <rPr>
        <b/>
        <sz val="14"/>
        <rFont val="新細明體"/>
        <family val="1"/>
        <charset val="136"/>
      </rPr>
      <t>年7月台灣自行車零配件對中國大陸出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</si>
  <si>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2023/2022 1-7</t>
    </r>
    <r>
      <rPr>
        <b/>
        <sz val="14"/>
        <rFont val="新細明體"/>
        <family val="1"/>
        <charset val="136"/>
      </rPr>
      <t>月台灣自行車出口至中國大陸統計比較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</si>
  <si>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1-7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</si>
  <si>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1-7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</si>
  <si>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1-7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</si>
  <si>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1-7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</si>
  <si>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2023/2022 1-7</t>
    </r>
    <r>
      <rPr>
        <b/>
        <sz val="14"/>
        <rFont val="新細明體"/>
        <family val="1"/>
        <charset val="136"/>
      </rPr>
      <t>月台灣自行車零配件出口至中國大陸統計比較</t>
    </r>
    <phoneticPr fontId="4" type="noConversion"/>
  </si>
  <si>
    <r>
      <t>2023/2022 1-7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</si>
  <si>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2023/2022 1-7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</si>
  <si>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t>87149120007</t>
    <phoneticPr fontId="4" type="noConversion"/>
  </si>
  <si>
    <t>87149990166</t>
    <phoneticPr fontId="4" type="noConversion"/>
  </si>
  <si>
    <t>8月出口數量</t>
    <phoneticPr fontId="7" type="noConversion"/>
  </si>
  <si>
    <r>
      <t>8</t>
    </r>
    <r>
      <rPr>
        <sz val="11"/>
        <color rgb="FF993366"/>
        <rFont val="MS Gothic"/>
        <family val="3"/>
        <charset val="128"/>
      </rPr>
      <t>月進口數量</t>
    </r>
    <phoneticPr fontId="7" type="noConversion"/>
  </si>
  <si>
    <t>差</t>
    <phoneticPr fontId="7" type="noConversion"/>
  </si>
  <si>
    <t>8月出口金額</t>
    <phoneticPr fontId="7" type="noConversion"/>
  </si>
  <si>
    <t>8月進口金額</t>
    <phoneticPr fontId="7" type="noConversion"/>
  </si>
  <si>
    <t>差</t>
    <phoneticPr fontId="7" type="noConversion"/>
  </si>
  <si>
    <t>8月進口金額</t>
    <phoneticPr fontId="7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</si>
  <si>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1-8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</si>
  <si>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1-8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</si>
  <si>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t>2023年1-8月</t>
  </si>
  <si>
    <t>2022年1-8月</t>
  </si>
  <si>
    <r>
      <t>2023/2022 1-8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</si>
  <si>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2023/2022 1-8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</si>
  <si>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>2023/2022 1-8</t>
    </r>
    <r>
      <rPr>
        <b/>
        <sz val="14"/>
        <rFont val="新細明體"/>
        <family val="1"/>
        <charset val="136"/>
      </rPr>
      <t>月台灣自行車出口至中國大陸統計比較</t>
    </r>
    <phoneticPr fontId="4" type="noConversion"/>
  </si>
  <si>
    <r>
      <t>2023/2022 1-8</t>
    </r>
    <r>
      <rPr>
        <b/>
        <sz val="14"/>
        <rFont val="新細明體"/>
        <family val="1"/>
        <charset val="136"/>
      </rPr>
      <t>月台灣自行車零配件出口至中國大陸統計比較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</si>
  <si>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  <charset val="136"/>
      </rPr>
      <t>8</t>
    </r>
    <r>
      <rPr>
        <b/>
        <sz val="14"/>
        <rFont val="新細明體"/>
        <family val="1"/>
        <charset val="136"/>
      </rPr>
      <t>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</si>
  <si>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  <charset val="136"/>
      </rPr>
      <t>8</t>
    </r>
    <r>
      <rPr>
        <b/>
        <sz val="14"/>
        <rFont val="新細明體"/>
        <family val="1"/>
        <charset val="136"/>
      </rPr>
      <t>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</si>
  <si>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  <charset val="136"/>
      </rPr>
      <t>9</t>
    </r>
    <r>
      <rPr>
        <b/>
        <sz val="14"/>
        <rFont val="新細明體"/>
        <family val="1"/>
        <charset val="136"/>
      </rPr>
      <t>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</si>
  <si>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  <charset val="136"/>
      </rPr>
      <t>9</t>
    </r>
    <r>
      <rPr>
        <b/>
        <sz val="14"/>
        <rFont val="新細明體"/>
        <family val="1"/>
        <charset val="136"/>
      </rPr>
      <t>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</si>
  <si>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2023/2022 1-9</t>
    </r>
    <r>
      <rPr>
        <b/>
        <sz val="14"/>
        <rFont val="新細明體"/>
        <family val="1"/>
        <charset val="136"/>
      </rPr>
      <t>月台灣自行車零配件出口至中國大陸統計比較</t>
    </r>
    <phoneticPr fontId="4" type="noConversion"/>
  </si>
  <si>
    <r>
      <t>2023/2022 1-9</t>
    </r>
    <r>
      <rPr>
        <b/>
        <sz val="14"/>
        <rFont val="新細明體"/>
        <family val="1"/>
        <charset val="136"/>
      </rPr>
      <t>月台灣自行車出口至中國大陸統計比較</t>
    </r>
    <phoneticPr fontId="4" type="noConversion"/>
  </si>
  <si>
    <r>
      <t>2023/2022 1-9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</si>
  <si>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>2023/2022 1-9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</si>
  <si>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1-9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</si>
  <si>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1-9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</si>
  <si>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細明體"/>
        <family val="3"/>
        <charset val="136"/>
      </rPr>
      <t>年</t>
    </r>
    <r>
      <rPr>
        <sz val="11"/>
        <color rgb="FF230CF0"/>
        <rFont val="Times New Roman"/>
        <family val="1"/>
      </rPr>
      <t>1-9</t>
    </r>
    <r>
      <rPr>
        <sz val="11"/>
        <color rgb="FF230CF0"/>
        <rFont val="細明體"/>
        <family val="3"/>
        <charset val="136"/>
      </rPr>
      <t>月</t>
    </r>
    <phoneticPr fontId="4" type="noConversion"/>
  </si>
  <si>
    <r>
      <t>2022</t>
    </r>
    <r>
      <rPr>
        <sz val="11"/>
        <color rgb="FF230CF0"/>
        <rFont val="細明體"/>
        <family val="3"/>
        <charset val="136"/>
      </rPr>
      <t>年</t>
    </r>
    <r>
      <rPr>
        <sz val="11"/>
        <color rgb="FF230CF0"/>
        <rFont val="Times New Roman"/>
        <family val="1"/>
      </rPr>
      <t>1-9</t>
    </r>
    <r>
      <rPr>
        <sz val="11"/>
        <color rgb="FF230CF0"/>
        <rFont val="細明體"/>
        <family val="3"/>
        <charset val="136"/>
      </rPr>
      <t>月</t>
    </r>
    <phoneticPr fontId="4" type="noConversion"/>
  </si>
  <si>
    <t>2023年1-9月</t>
  </si>
  <si>
    <t>2022年1-9月</t>
  </si>
  <si>
    <t>9月出口數量</t>
    <phoneticPr fontId="7" type="noConversion"/>
  </si>
  <si>
    <r>
      <t>9</t>
    </r>
    <r>
      <rPr>
        <sz val="11"/>
        <color rgb="FF993366"/>
        <rFont val="MS Gothic"/>
        <family val="3"/>
        <charset val="128"/>
      </rPr>
      <t>月進口數量</t>
    </r>
    <phoneticPr fontId="7" type="noConversion"/>
  </si>
  <si>
    <t>9月出口金額</t>
    <phoneticPr fontId="7" type="noConversion"/>
  </si>
  <si>
    <t>9月進口金額</t>
    <phoneticPr fontId="7" type="noConversion"/>
  </si>
  <si>
    <t>9月出口數量</t>
    <phoneticPr fontId="7" type="noConversion"/>
  </si>
  <si>
    <r>
      <t>9</t>
    </r>
    <r>
      <rPr>
        <sz val="11"/>
        <color rgb="FF993366"/>
        <rFont val="MS Gothic"/>
        <family val="3"/>
        <charset val="128"/>
      </rPr>
      <t>月進口數量</t>
    </r>
    <phoneticPr fontId="7" type="noConversion"/>
  </si>
  <si>
    <t>9月出口金額</t>
    <phoneticPr fontId="7" type="noConversion"/>
  </si>
  <si>
    <r>
      <t>2023/2022 1-10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</si>
  <si>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1-10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</si>
  <si>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1-10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</si>
  <si>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t>2023年1-10月</t>
  </si>
  <si>
    <t>2022年1-10月</t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</si>
  <si>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  <charset val="136"/>
      </rPr>
      <t>10</t>
    </r>
    <r>
      <rPr>
        <b/>
        <sz val="14"/>
        <rFont val="新細明體"/>
        <family val="1"/>
        <charset val="136"/>
      </rPr>
      <t>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</si>
  <si>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10月出口數量</t>
    <phoneticPr fontId="7" type="noConversion"/>
  </si>
  <si>
    <r>
      <t>10</t>
    </r>
    <r>
      <rPr>
        <sz val="11"/>
        <color rgb="FF993366"/>
        <rFont val="MS Gothic"/>
        <family val="3"/>
        <charset val="128"/>
      </rPr>
      <t>月進口數量</t>
    </r>
    <phoneticPr fontId="7" type="noConversion"/>
  </si>
  <si>
    <t>10月出口金額</t>
    <phoneticPr fontId="7" type="noConversion"/>
  </si>
  <si>
    <t>10月進口金額</t>
    <phoneticPr fontId="7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</si>
  <si>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  <charset val="136"/>
      </rPr>
      <t>10</t>
    </r>
    <r>
      <rPr>
        <b/>
        <sz val="14"/>
        <rFont val="新細明體"/>
        <family val="1"/>
        <charset val="136"/>
      </rPr>
      <t>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</si>
  <si>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2023/2022 1-10</t>
    </r>
    <r>
      <rPr>
        <b/>
        <sz val="14"/>
        <rFont val="新細明體"/>
        <family val="1"/>
        <charset val="136"/>
      </rPr>
      <t>月台灣自行車出口至中國大陸統計比較</t>
    </r>
    <phoneticPr fontId="4" type="noConversion"/>
  </si>
  <si>
    <r>
      <t>2023/2022 1-10</t>
    </r>
    <r>
      <rPr>
        <b/>
        <sz val="14"/>
        <rFont val="新細明體"/>
        <family val="1"/>
        <charset val="136"/>
      </rPr>
      <t>月台灣自行車零配件出口至中國大陸統計比較</t>
    </r>
    <phoneticPr fontId="4" type="noConversion"/>
  </si>
  <si>
    <r>
      <t>2023/2022 1-10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</si>
  <si>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>2023/2022 1-11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</si>
  <si>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</si>
  <si>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</si>
  <si>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</si>
  <si>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</si>
  <si>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</si>
  <si>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</si>
  <si>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</si>
  <si>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t>同期進口</t>
    <phoneticPr fontId="4" type="noConversion"/>
  </si>
  <si>
    <t>87120090004</t>
    <phoneticPr fontId="4" type="noConversion"/>
  </si>
  <si>
    <r>
      <t>2023/2022 1-11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</si>
  <si>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t>85121020009</t>
    <phoneticPr fontId="4" type="noConversion"/>
  </si>
  <si>
    <t>87149120007</t>
    <phoneticPr fontId="4" type="noConversion"/>
  </si>
  <si>
    <t>87149410006</t>
    <phoneticPr fontId="4" type="noConversion"/>
  </si>
  <si>
    <t>73151100209</t>
    <phoneticPr fontId="4" type="noConversion"/>
  </si>
  <si>
    <t>87149990166</t>
    <phoneticPr fontId="4" type="noConversion"/>
  </si>
  <si>
    <t>40115000008</t>
    <phoneticPr fontId="4" type="noConversion"/>
  </si>
  <si>
    <t>40132000003</t>
    <phoneticPr fontId="4" type="noConversion"/>
  </si>
  <si>
    <r>
      <t>2023/2022 1-11</t>
    </r>
    <r>
      <rPr>
        <b/>
        <sz val="14"/>
        <rFont val="新細明體"/>
        <family val="1"/>
        <charset val="136"/>
      </rPr>
      <t>月台灣自行車出口至中國大陸統計比較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</si>
  <si>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</si>
  <si>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</si>
  <si>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t>87120010902</t>
    <phoneticPr fontId="4" type="noConversion"/>
  </si>
  <si>
    <t>87120090004</t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</si>
  <si>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</si>
  <si>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</si>
  <si>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t>85121020009</t>
    <phoneticPr fontId="4" type="noConversion"/>
  </si>
  <si>
    <t>87149990166</t>
    <phoneticPr fontId="4" type="noConversion"/>
  </si>
  <si>
    <t>40132000003</t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</si>
  <si>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  <charset val="136"/>
      </rPr>
      <t>11</t>
    </r>
    <r>
      <rPr>
        <b/>
        <sz val="14"/>
        <rFont val="新細明體"/>
        <family val="1"/>
        <charset val="136"/>
      </rPr>
      <t>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</si>
  <si>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11月出口數量</t>
    <phoneticPr fontId="7" type="noConversion"/>
  </si>
  <si>
    <r>
      <t>11</t>
    </r>
    <r>
      <rPr>
        <sz val="11"/>
        <color rgb="FF993366"/>
        <rFont val="MS Gothic"/>
        <family val="3"/>
        <charset val="128"/>
      </rPr>
      <t>月進口數量</t>
    </r>
    <phoneticPr fontId="7" type="noConversion"/>
  </si>
  <si>
    <t>11月出口金額</t>
    <phoneticPr fontId="7" type="noConversion"/>
  </si>
  <si>
    <t>11月進口金額</t>
    <phoneticPr fontId="7" type="noConversion"/>
  </si>
  <si>
    <r>
      <t>2023</t>
    </r>
    <r>
      <rPr>
        <b/>
        <sz val="14"/>
        <rFont val="Microsoft JhengHei"/>
        <family val="1"/>
      </rPr>
      <t>年</t>
    </r>
    <r>
      <rPr>
        <b/>
        <sz val="14"/>
        <rFont val="華康仿宋體"/>
        <family val="1"/>
        <charset val="136"/>
      </rPr>
      <t>11</t>
    </r>
    <r>
      <rPr>
        <b/>
        <sz val="14"/>
        <rFont val="新細明體"/>
        <family val="1"/>
        <charset val="136"/>
      </rPr>
      <t>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</si>
  <si>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11月出口金額</t>
    <phoneticPr fontId="7" type="noConversion"/>
  </si>
  <si>
    <t>87149200108</t>
    <phoneticPr fontId="4" type="noConversion"/>
  </si>
  <si>
    <t>12月出口數量</t>
    <phoneticPr fontId="7" type="noConversion"/>
  </si>
  <si>
    <r>
      <t>12</t>
    </r>
    <r>
      <rPr>
        <sz val="11"/>
        <color rgb="FF993366"/>
        <rFont val="MS Gothic"/>
        <family val="3"/>
        <charset val="128"/>
      </rPr>
      <t>月進口數量</t>
    </r>
    <phoneticPr fontId="7" type="noConversion"/>
  </si>
  <si>
    <t>12月出口金額</t>
    <phoneticPr fontId="7" type="noConversion"/>
  </si>
  <si>
    <t>12月進口金額</t>
    <phoneticPr fontId="7" type="noConversion"/>
  </si>
  <si>
    <r>
      <t>2023</t>
    </r>
    <r>
      <rPr>
        <b/>
        <sz val="14"/>
        <rFont val="Microsoft JhengHei"/>
        <family val="1"/>
      </rPr>
      <t>年</t>
    </r>
    <r>
      <rPr>
        <b/>
        <sz val="14"/>
        <rFont val="華康仿宋體"/>
        <family val="1"/>
        <charset val="136"/>
      </rPr>
      <t>12</t>
    </r>
    <r>
      <rPr>
        <b/>
        <sz val="14"/>
        <rFont val="新細明體"/>
        <family val="1"/>
        <charset val="136"/>
      </rPr>
      <t>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</si>
  <si>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>2023/2022 1-12</t>
    </r>
    <r>
      <rPr>
        <b/>
        <sz val="14"/>
        <rFont val="新細明體"/>
        <family val="1"/>
        <charset val="136"/>
      </rPr>
      <t>月台灣自行車出口至中國大陸統計比較</t>
    </r>
    <phoneticPr fontId="4" type="noConversion"/>
  </si>
  <si>
    <r>
      <t>2023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</si>
  <si>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</si>
  <si>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2023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</si>
  <si>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2022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</si>
  <si>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2023/2022 1-12</t>
    </r>
    <r>
      <rPr>
        <b/>
        <sz val="14"/>
        <rFont val="新細明體"/>
        <family val="1"/>
        <charset val="136"/>
      </rPr>
      <t>月台灣自行車零配件出口至中國大陸統計比較</t>
    </r>
    <phoneticPr fontId="4" type="noConversion"/>
  </si>
  <si>
    <r>
      <t>2023/2022 1-12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</si>
  <si>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2023/2022 1-12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</si>
  <si>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  <charset val="136"/>
      </rPr>
      <t>12</t>
    </r>
    <r>
      <rPr>
        <b/>
        <sz val="14"/>
        <rFont val="新細明體"/>
        <family val="1"/>
        <charset val="136"/>
      </rPr>
      <t>台灣自行車對中國大陸出</t>
    </r>
    <r>
      <rPr>
        <b/>
        <sz val="14"/>
        <rFont val="華康仿宋體"/>
        <family val="1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</si>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</sst>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_-* #,##0_-;\-* #,##0_-;_-* &quot;-&quot;??_-;_-@_-"/>
    <numFmt numFmtId="178" formatCode="_(* #,##0_);_(* \(#,##0\);_(* &quot;-&quot;_);_(@_)"/>
    <numFmt numFmtId="179" formatCode="0.00%;[Red]\-0.00%"/>
    <numFmt numFmtId="180" formatCode="0.00%;[Red]\-0.00%;&quot; - &quot;"/>
    <numFmt numFmtId="181" formatCode="0.00%;[Red]\-0.00%;&quot;- &quot;"/>
  </numFmts>
  <fonts count="5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華康仿宋體"/>
      <family val="1"/>
      <charset val="136"/>
    </font>
    <font>
      <sz val="11"/>
      <name val="華康仿宋體"/>
      <family val="1"/>
      <charset val="136"/>
    </font>
    <font>
      <sz val="9"/>
      <name val="細明體"/>
      <family val="3"/>
      <charset val="136"/>
    </font>
    <font>
      <sz val="11"/>
      <color indexed="61"/>
      <name val="華康仿宋體"/>
      <family val="3"/>
      <charset val="136"/>
    </font>
    <font>
      <sz val="11"/>
      <color indexed="57"/>
      <name val="細明體"/>
      <family val="3"/>
      <charset val="136"/>
    </font>
    <font>
      <sz val="11"/>
      <color indexed="57"/>
      <name val="華康仿宋體"/>
      <family val="3"/>
      <charset val="136"/>
    </font>
    <font>
      <sz val="11"/>
      <color indexed="10"/>
      <name val="華康仿宋體"/>
      <family val="3"/>
      <charset val="136"/>
    </font>
    <font>
      <sz val="8"/>
      <name val="華康仿宋體"/>
      <family val="3"/>
      <charset val="136"/>
    </font>
    <font>
      <sz val="7"/>
      <name val="華康仿宋體"/>
      <family val="3"/>
      <charset val="136"/>
    </font>
    <font>
      <sz val="12"/>
      <name val="細明體"/>
      <family val="3"/>
      <charset val="136"/>
    </font>
    <font>
      <sz val="10"/>
      <name val="細明體"/>
      <family val="3"/>
      <charset val="136"/>
    </font>
    <font>
      <sz val="12"/>
      <color indexed="10"/>
      <name val="Times New Roman"/>
      <family val="1"/>
    </font>
    <font>
      <sz val="9"/>
      <name val="新細明體"/>
      <family val="1"/>
      <charset val="136"/>
    </font>
    <font>
      <b/>
      <sz val="12"/>
      <name val="細明體"/>
      <family val="3"/>
      <charset val="136"/>
    </font>
    <font>
      <b/>
      <sz val="9"/>
      <name val="細明體"/>
      <family val="3"/>
      <charset val="136"/>
    </font>
    <font>
      <b/>
      <sz val="12"/>
      <name val="Arial Unicode MS"/>
      <family val="1"/>
      <charset val="136"/>
    </font>
    <font>
      <b/>
      <sz val="12"/>
      <color rgb="FFFF0000"/>
      <name val="Arial Unicode MS"/>
      <family val="1"/>
      <charset val="136"/>
    </font>
    <font>
      <b/>
      <sz val="10"/>
      <name val="細明體"/>
      <family val="3"/>
      <charset val="136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華康仿宋體"/>
      <family val="3"/>
      <charset val="136"/>
    </font>
    <font>
      <b/>
      <sz val="14"/>
      <name val="Times New Roman"/>
      <family val="1"/>
    </font>
    <font>
      <sz val="8"/>
      <name val="新細明體"/>
      <family val="1"/>
      <charset val="136"/>
    </font>
    <font>
      <sz val="12"/>
      <color rgb="FFFF0000"/>
      <name val="Times New Roman"/>
      <family val="1"/>
    </font>
    <font>
      <sz val="11"/>
      <color rgb="FF230CF0"/>
      <name val="Times New Roman"/>
      <family val="1"/>
    </font>
    <font>
      <sz val="11"/>
      <color rgb="FF230CF0"/>
      <name val="華康仿宋體"/>
      <family val="3"/>
      <charset val="136"/>
    </font>
    <font>
      <sz val="12"/>
      <color rgb="FF230CF0"/>
      <name val="Times New Roman"/>
      <family val="1"/>
    </font>
    <font>
      <b/>
      <sz val="12"/>
      <color rgb="FF230CF0"/>
      <name val="Arial Unicode MS"/>
      <family val="1"/>
      <charset val="136"/>
    </font>
    <font>
      <b/>
      <sz val="14"/>
      <name val="新細明體"/>
      <family val="1"/>
      <charset val="136"/>
    </font>
    <font>
      <b/>
      <sz val="14"/>
      <name val="細明體-ExtB"/>
      <family val="1"/>
      <charset val="136"/>
    </font>
    <font>
      <sz val="11"/>
      <color rgb="FF993366"/>
      <name val="新細明體"/>
      <family val="1"/>
      <charset val="136"/>
    </font>
    <font>
      <sz val="11"/>
      <color rgb="FF993366"/>
      <name val="細明體-ExtB"/>
      <family val="1"/>
      <charset val="136"/>
    </font>
    <font>
      <b/>
      <sz val="14"/>
      <name val="細明體"/>
      <family val="3"/>
      <charset val="136"/>
    </font>
    <font>
      <sz val="11"/>
      <color rgb="FF339966"/>
      <name val="新細明體"/>
      <family val="1"/>
      <charset val="136"/>
    </font>
    <font>
      <sz val="11"/>
      <color rgb="FF230CF0"/>
      <name val="新細明體"/>
      <family val="1"/>
      <charset val="136"/>
    </font>
    <font>
      <sz val="8"/>
      <name val="新細明體"/>
      <family val="3"/>
      <charset val="136"/>
    </font>
    <font>
      <sz val="11"/>
      <color rgb="FF993366"/>
      <name val="MS Gothic"/>
      <family val="3"/>
      <charset val="128"/>
    </font>
    <font>
      <sz val="11"/>
      <color rgb="FF993366"/>
      <name val="華康仿宋體"/>
      <family val="1"/>
      <charset val="136"/>
    </font>
    <font>
      <sz val="11"/>
      <color theme="1"/>
      <name val="華康仿宋體"/>
      <family val="1"/>
      <charset val="136"/>
    </font>
    <font>
      <sz val="11"/>
      <color rgb="FF00B050"/>
      <name val="細明體"/>
      <family val="3"/>
      <charset val="136"/>
    </font>
    <font>
      <sz val="11"/>
      <color rgb="FF00B050"/>
      <name val="MS Gothic"/>
      <family val="3"/>
      <charset val="128"/>
    </font>
    <font>
      <sz val="11"/>
      <color rgb="FF230CF0"/>
      <name val="細明體"/>
      <family val="3"/>
      <charset val="136"/>
    </font>
    <font>
      <b/>
      <sz val="14"/>
      <name val="Microsoft JhengHei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Arial Unicode MS"/>
      <family val="1"/>
      <charset val="136"/>
    </font>
    <font>
      <b/>
      <sz val="14"/>
      <name val="華康仿宋體"/>
      <family val="1"/>
    </font>
    <font>
      <sz val="12"/>
      <name val="新細明體"/>
      <family val="1"/>
      <charset val="136"/>
    </font>
    <font>
      <sz val="12"/>
      <name val="細明體-ExtB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43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49" fontId="2" fillId="0" borderId="0" xfId="2" applyNumberFormat="1"/>
    <xf numFmtId="0" fontId="2" fillId="0" borderId="0" xfId="2"/>
    <xf numFmtId="41" fontId="2" fillId="0" borderId="0" xfId="2" applyNumberFormat="1"/>
    <xf numFmtId="49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41" fontId="8" fillId="0" borderId="1" xfId="2" applyNumberFormat="1" applyFont="1" applyBorder="1" applyAlignment="1">
      <alignment horizontal="center"/>
    </xf>
    <xf numFmtId="41" fontId="8" fillId="0" borderId="1" xfId="2" quotePrefix="1" applyNumberFormat="1" applyFont="1" applyBorder="1" applyAlignment="1">
      <alignment horizontal="center"/>
    </xf>
    <xf numFmtId="41" fontId="6" fillId="0" borderId="1" xfId="2" applyNumberFormat="1" applyFont="1" applyBorder="1" applyAlignment="1">
      <alignment horizontal="center"/>
    </xf>
    <xf numFmtId="41" fontId="9" fillId="0" borderId="1" xfId="2" applyNumberFormat="1" applyFont="1" applyBorder="1" applyAlignment="1">
      <alignment horizontal="center"/>
    </xf>
    <xf numFmtId="41" fontId="10" fillId="0" borderId="1" xfId="2" applyNumberFormat="1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9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41" fontId="8" fillId="0" borderId="2" xfId="2" applyNumberFormat="1" applyFont="1" applyBorder="1" applyAlignment="1">
      <alignment horizontal="center"/>
    </xf>
    <xf numFmtId="41" fontId="6" fillId="0" borderId="2" xfId="2" applyNumberFormat="1" applyFont="1" applyBorder="1" applyAlignment="1">
      <alignment horizontal="center"/>
    </xf>
    <xf numFmtId="41" fontId="10" fillId="0" borderId="2" xfId="2" quotePrefix="1" applyNumberFormat="1" applyFont="1" applyBorder="1" applyAlignment="1">
      <alignment horizontal="center"/>
    </xf>
    <xf numFmtId="41" fontId="6" fillId="0" borderId="2" xfId="2" quotePrefix="1" applyNumberFormat="1" applyFont="1" applyBorder="1" applyAlignment="1">
      <alignment horizontal="center"/>
    </xf>
    <xf numFmtId="0" fontId="13" fillId="0" borderId="2" xfId="2" quotePrefix="1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49" fontId="14" fillId="0" borderId="3" xfId="2" applyNumberFormat="1" applyFont="1" applyBorder="1"/>
    <xf numFmtId="0" fontId="15" fillId="0" borderId="3" xfId="2" applyFont="1" applyBorder="1"/>
    <xf numFmtId="41" fontId="2" fillId="0" borderId="3" xfId="2" applyNumberFormat="1" applyBorder="1"/>
    <xf numFmtId="176" fontId="2" fillId="0" borderId="3" xfId="0" applyNumberFormat="1" applyFont="1" applyBorder="1" applyAlignment="1"/>
    <xf numFmtId="43" fontId="2" fillId="0" borderId="3" xfId="2" applyNumberFormat="1" applyBorder="1"/>
    <xf numFmtId="49" fontId="14" fillId="0" borderId="1" xfId="2" applyNumberFormat="1" applyFont="1" applyBorder="1"/>
    <xf numFmtId="0" fontId="15" fillId="0" borderId="1" xfId="2" applyFont="1" applyBorder="1"/>
    <xf numFmtId="0" fontId="15" fillId="0" borderId="4" xfId="2" applyFont="1" applyBorder="1"/>
    <xf numFmtId="41" fontId="2" fillId="0" borderId="3" xfId="2" applyNumberFormat="1" applyBorder="1" applyAlignment="1">
      <alignment wrapText="1"/>
    </xf>
    <xf numFmtId="49" fontId="18" fillId="0" borderId="5" xfId="2" applyNumberFormat="1" applyFont="1" applyBorder="1"/>
    <xf numFmtId="41" fontId="20" fillId="0" borderId="5" xfId="2" applyNumberFormat="1" applyFont="1" applyBorder="1"/>
    <xf numFmtId="43" fontId="20" fillId="0" borderId="5" xfId="2" applyNumberFormat="1" applyFont="1" applyBorder="1"/>
    <xf numFmtId="49" fontId="14" fillId="0" borderId="0" xfId="2" applyNumberFormat="1" applyFont="1"/>
    <xf numFmtId="0" fontId="15" fillId="0" borderId="0" xfId="2" applyFont="1"/>
    <xf numFmtId="43" fontId="2" fillId="0" borderId="0" xfId="2" applyNumberFormat="1"/>
    <xf numFmtId="0" fontId="22" fillId="0" borderId="5" xfId="2" applyFont="1" applyBorder="1"/>
    <xf numFmtId="49" fontId="18" fillId="0" borderId="0" xfId="2" applyNumberFormat="1" applyFont="1"/>
    <xf numFmtId="0" fontId="22" fillId="0" borderId="0" xfId="2" applyFont="1"/>
    <xf numFmtId="41" fontId="23" fillId="0" borderId="0" xfId="2" applyNumberFormat="1" applyFont="1"/>
    <xf numFmtId="41" fontId="24" fillId="0" borderId="0" xfId="2" applyNumberFormat="1" applyFont="1"/>
    <xf numFmtId="43" fontId="23" fillId="0" borderId="0" xfId="2" applyNumberFormat="1" applyFont="1"/>
    <xf numFmtId="0" fontId="5" fillId="0" borderId="0" xfId="2" applyFont="1"/>
    <xf numFmtId="41" fontId="16" fillId="0" borderId="0" xfId="2" applyNumberFormat="1" applyFont="1"/>
    <xf numFmtId="0" fontId="13" fillId="0" borderId="0" xfId="2" applyFont="1" applyAlignment="1">
      <alignment horizontal="center"/>
    </xf>
    <xf numFmtId="0" fontId="13" fillId="0" borderId="0" xfId="2" quotePrefix="1" applyFont="1" applyAlignment="1">
      <alignment horizontal="center"/>
    </xf>
    <xf numFmtId="49" fontId="2" fillId="0" borderId="3" xfId="2" applyNumberFormat="1" applyBorder="1"/>
    <xf numFmtId="177" fontId="2" fillId="0" borderId="3" xfId="1" applyNumberFormat="1" applyFont="1" applyBorder="1" applyAlignment="1"/>
    <xf numFmtId="49" fontId="18" fillId="0" borderId="6" xfId="2" applyNumberFormat="1" applyFont="1" applyBorder="1"/>
    <xf numFmtId="0" fontId="23" fillId="0" borderId="6" xfId="2" applyFont="1" applyBorder="1"/>
    <xf numFmtId="41" fontId="23" fillId="0" borderId="6" xfId="2" applyNumberFormat="1" applyFont="1" applyBorder="1"/>
    <xf numFmtId="176" fontId="23" fillId="0" borderId="6" xfId="0" applyNumberFormat="1" applyFont="1" applyBorder="1" applyAlignment="1"/>
    <xf numFmtId="0" fontId="23" fillId="0" borderId="0" xfId="2" applyFont="1"/>
    <xf numFmtId="0" fontId="25" fillId="0" borderId="0" xfId="2" quotePrefix="1" applyFont="1" applyAlignment="1">
      <alignment horizontal="left"/>
    </xf>
    <xf numFmtId="0" fontId="25" fillId="0" borderId="0" xfId="2" applyFont="1"/>
    <xf numFmtId="178" fontId="2" fillId="2" borderId="0" xfId="2" applyNumberFormat="1" applyFill="1"/>
    <xf numFmtId="0" fontId="12" fillId="0" borderId="1" xfId="2" applyFont="1" applyBorder="1" applyAlignment="1">
      <alignment horizontal="center"/>
    </xf>
    <xf numFmtId="0" fontId="27" fillId="0" borderId="1" xfId="2" applyFont="1" applyBorder="1"/>
    <xf numFmtId="0" fontId="6" fillId="0" borderId="2" xfId="2" quotePrefix="1" applyFont="1" applyBorder="1" applyAlignment="1">
      <alignment horizontal="center"/>
    </xf>
    <xf numFmtId="0" fontId="27" fillId="0" borderId="2" xfId="2" applyFont="1" applyBorder="1"/>
    <xf numFmtId="43" fontId="2" fillId="0" borderId="7" xfId="2" applyNumberFormat="1" applyBorder="1"/>
    <xf numFmtId="10" fontId="23" fillId="0" borderId="0" xfId="2" applyNumberFormat="1" applyFont="1"/>
    <xf numFmtId="43" fontId="20" fillId="0" borderId="9" xfId="2" applyNumberFormat="1" applyFont="1" applyBorder="1"/>
    <xf numFmtId="41" fontId="20" fillId="0" borderId="6" xfId="2" applyNumberFormat="1" applyFont="1" applyBorder="1"/>
    <xf numFmtId="0" fontId="27" fillId="0" borderId="1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27" fillId="0" borderId="2" xfId="2" applyFont="1" applyBorder="1" applyAlignment="1">
      <alignment horizontal="center"/>
    </xf>
    <xf numFmtId="41" fontId="2" fillId="3" borderId="0" xfId="2" applyNumberFormat="1" applyFill="1"/>
    <xf numFmtId="10" fontId="21" fillId="0" borderId="0" xfId="2" applyNumberFormat="1" applyFont="1"/>
    <xf numFmtId="43" fontId="20" fillId="0" borderId="0" xfId="2" applyNumberFormat="1" applyFont="1"/>
    <xf numFmtId="0" fontId="19" fillId="0" borderId="6" xfId="2" applyFont="1" applyBorder="1"/>
    <xf numFmtId="43" fontId="2" fillId="0" borderId="6" xfId="2" applyNumberFormat="1" applyBorder="1"/>
    <xf numFmtId="43" fontId="20" fillId="0" borderId="6" xfId="2" applyNumberFormat="1" applyFont="1" applyBorder="1"/>
    <xf numFmtId="0" fontId="22" fillId="0" borderId="6" xfId="2" applyFont="1" applyBorder="1"/>
    <xf numFmtId="41" fontId="29" fillId="0" borderId="1" xfId="2" applyNumberFormat="1" applyFont="1" applyBorder="1" applyAlignment="1">
      <alignment horizontal="center"/>
    </xf>
    <xf numFmtId="41" fontId="30" fillId="0" borderId="2" xfId="2" applyNumberFormat="1" applyFont="1" applyBorder="1" applyAlignment="1">
      <alignment horizontal="center"/>
    </xf>
    <xf numFmtId="41" fontId="31" fillId="0" borderId="3" xfId="2" applyNumberFormat="1" applyFont="1" applyBorder="1"/>
    <xf numFmtId="41" fontId="32" fillId="0" borderId="6" xfId="2" applyNumberFormat="1" applyFont="1" applyBorder="1"/>
    <xf numFmtId="41" fontId="31" fillId="0" borderId="0" xfId="2" applyNumberFormat="1" applyFont="1"/>
    <xf numFmtId="41" fontId="32" fillId="0" borderId="5" xfId="2" applyNumberFormat="1" applyFont="1" applyBorder="1"/>
    <xf numFmtId="38" fontId="20" fillId="0" borderId="6" xfId="0" applyNumberFormat="1" applyFont="1" applyBorder="1" applyAlignment="1"/>
    <xf numFmtId="38" fontId="20" fillId="0" borderId="5" xfId="0" applyNumberFormat="1" applyFont="1" applyBorder="1" applyAlignment="1"/>
    <xf numFmtId="38" fontId="20" fillId="0" borderId="6" xfId="1" applyNumberFormat="1" applyFont="1" applyBorder="1" applyAlignment="1"/>
    <xf numFmtId="38" fontId="20" fillId="0" borderId="5" xfId="1" applyNumberFormat="1" applyFont="1" applyBorder="1" applyAlignment="1"/>
    <xf numFmtId="38" fontId="2" fillId="0" borderId="3" xfId="0" applyNumberFormat="1" applyFont="1" applyBorder="1" applyAlignment="1"/>
    <xf numFmtId="38" fontId="16" fillId="0" borderId="0" xfId="2" applyNumberFormat="1" applyFont="1"/>
    <xf numFmtId="38" fontId="2" fillId="0" borderId="1" xfId="1" applyNumberFormat="1" applyFont="1" applyBorder="1" applyAlignment="1"/>
    <xf numFmtId="38" fontId="21" fillId="0" borderId="0" xfId="2" applyNumberFormat="1" applyFont="1"/>
    <xf numFmtId="179" fontId="20" fillId="0" borderId="6" xfId="2" applyNumberFormat="1" applyFont="1" applyBorder="1"/>
    <xf numFmtId="180" fontId="28" fillId="0" borderId="3" xfId="0" applyNumberFormat="1" applyFont="1" applyBorder="1" applyAlignment="1"/>
    <xf numFmtId="180" fontId="28" fillId="2" borderId="2" xfId="3" applyNumberFormat="1" applyFont="1" applyFill="1" applyBorder="1" applyAlignment="1"/>
    <xf numFmtId="180" fontId="20" fillId="0" borderId="6" xfId="2" applyNumberFormat="1" applyFont="1" applyBorder="1"/>
    <xf numFmtId="180" fontId="28" fillId="2" borderId="3" xfId="3" applyNumberFormat="1" applyFont="1" applyFill="1" applyBorder="1" applyAlignment="1"/>
    <xf numFmtId="180" fontId="20" fillId="0" borderId="9" xfId="2" applyNumberFormat="1" applyFont="1" applyBorder="1"/>
    <xf numFmtId="180" fontId="2" fillId="0" borderId="3" xfId="2" applyNumberFormat="1" applyBorder="1"/>
    <xf numFmtId="180" fontId="28" fillId="2" borderId="10" xfId="3" applyNumberFormat="1" applyFont="1" applyFill="1" applyBorder="1" applyAlignment="1"/>
    <xf numFmtId="180" fontId="2" fillId="0" borderId="0" xfId="2" applyNumberFormat="1"/>
    <xf numFmtId="180" fontId="23" fillId="0" borderId="6" xfId="2" applyNumberFormat="1" applyFont="1" applyBorder="1"/>
    <xf numFmtId="41" fontId="35" fillId="0" borderId="1" xfId="2" applyNumberFormat="1" applyFont="1" applyBorder="1" applyAlignment="1">
      <alignment horizontal="center"/>
    </xf>
    <xf numFmtId="41" fontId="38" fillId="0" borderId="1" xfId="2" applyNumberFormat="1" applyFont="1" applyBorder="1" applyAlignment="1">
      <alignment horizontal="center"/>
    </xf>
    <xf numFmtId="38" fontId="20" fillId="0" borderId="11" xfId="0" applyNumberFormat="1" applyFont="1" applyBorder="1" applyAlignment="1"/>
    <xf numFmtId="38" fontId="20" fillId="0" borderId="3" xfId="0" applyNumberFormat="1" applyFont="1" applyBorder="1" applyAlignment="1"/>
    <xf numFmtId="43" fontId="23" fillId="0" borderId="6" xfId="2" applyNumberFormat="1" applyFont="1" applyBorder="1"/>
    <xf numFmtId="38" fontId="23" fillId="0" borderId="3" xfId="0" applyNumberFormat="1" applyFont="1" applyBorder="1" applyAlignment="1"/>
    <xf numFmtId="43" fontId="20" fillId="0" borderId="12" xfId="2" applyNumberFormat="1" applyFont="1" applyBorder="1"/>
    <xf numFmtId="0" fontId="22" fillId="0" borderId="12" xfId="2" applyFont="1" applyBorder="1"/>
    <xf numFmtId="49" fontId="18" fillId="0" borderId="12" xfId="2" applyNumberFormat="1" applyFont="1" applyBorder="1"/>
    <xf numFmtId="38" fontId="20" fillId="0" borderId="12" xfId="1" applyNumberFormat="1" applyFont="1" applyBorder="1" applyAlignment="1"/>
    <xf numFmtId="41" fontId="32" fillId="0" borderId="12" xfId="2" applyNumberFormat="1" applyFont="1" applyBorder="1"/>
    <xf numFmtId="41" fontId="20" fillId="0" borderId="12" xfId="2" applyNumberFormat="1" applyFont="1" applyBorder="1"/>
    <xf numFmtId="41" fontId="41" fillId="0" borderId="1" xfId="0" applyNumberFormat="1" applyFont="1" applyBorder="1" applyAlignment="1">
      <alignment horizontal="center"/>
    </xf>
    <xf numFmtId="41" fontId="42" fillId="0" borderId="1" xfId="0" quotePrefix="1" applyNumberFormat="1" applyFont="1" applyBorder="1" applyAlignment="1">
      <alignment horizontal="center"/>
    </xf>
    <xf numFmtId="41" fontId="43" fillId="0" borderId="1" xfId="0" applyNumberFormat="1" applyFont="1" applyBorder="1" applyAlignment="1">
      <alignment horizontal="center"/>
    </xf>
    <xf numFmtId="41" fontId="44" fillId="0" borderId="1" xfId="0" applyNumberFormat="1" applyFont="1" applyBorder="1" applyAlignment="1">
      <alignment horizontal="center"/>
    </xf>
    <xf numFmtId="41" fontId="45" fillId="0" borderId="1" xfId="0" applyNumberFormat="1" applyFont="1" applyBorder="1" applyAlignment="1">
      <alignment horizontal="center"/>
    </xf>
    <xf numFmtId="10" fontId="48" fillId="0" borderId="3" xfId="0" applyNumberFormat="1" applyFont="1" applyBorder="1" applyAlignment="1"/>
    <xf numFmtId="10" fontId="28" fillId="0" borderId="3" xfId="0" applyNumberFormat="1" applyFont="1" applyBorder="1" applyAlignment="1"/>
    <xf numFmtId="10" fontId="16" fillId="0" borderId="0" xfId="0" applyNumberFormat="1" applyFont="1" applyAlignment="1"/>
    <xf numFmtId="10" fontId="49" fillId="0" borderId="5" xfId="0" applyNumberFormat="1" applyFont="1" applyBorder="1" applyAlignment="1"/>
    <xf numFmtId="41" fontId="20" fillId="0" borderId="5" xfId="0" applyNumberFormat="1" applyFont="1" applyBorder="1" applyAlignment="1"/>
    <xf numFmtId="43" fontId="2" fillId="0" borderId="3" xfId="0" applyNumberFormat="1" applyFont="1" applyBorder="1" applyAlignment="1"/>
    <xf numFmtId="43" fontId="2" fillId="0" borderId="1" xfId="0" applyNumberFormat="1" applyFont="1" applyBorder="1" applyAlignment="1"/>
    <xf numFmtId="43" fontId="23" fillId="0" borderId="5" xfId="0" applyNumberFormat="1" applyFont="1" applyBorder="1" applyAlignment="1"/>
    <xf numFmtId="43" fontId="2" fillId="0" borderId="0" xfId="0" applyNumberFormat="1" applyFont="1" applyAlignment="1"/>
    <xf numFmtId="10" fontId="2" fillId="0" borderId="3" xfId="0" applyNumberFormat="1" applyFont="1" applyBorder="1" applyAlignment="1"/>
    <xf numFmtId="10" fontId="48" fillId="0" borderId="0" xfId="0" applyNumberFormat="1" applyFont="1" applyAlignment="1"/>
    <xf numFmtId="10" fontId="50" fillId="0" borderId="6" xfId="0" applyNumberFormat="1" applyFont="1" applyBorder="1" applyAlignment="1"/>
    <xf numFmtId="41" fontId="20" fillId="0" borderId="6" xfId="0" applyNumberFormat="1" applyFont="1" applyBorder="1" applyAlignment="1"/>
    <xf numFmtId="41" fontId="32" fillId="0" borderId="6" xfId="0" applyNumberFormat="1" applyFont="1" applyBorder="1" applyAlignment="1"/>
    <xf numFmtId="41" fontId="51" fillId="0" borderId="6" xfId="0" applyNumberFormat="1" applyFont="1" applyBorder="1" applyAlignment="1"/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horizontal="center"/>
    </xf>
    <xf numFmtId="49" fontId="18" fillId="0" borderId="13" xfId="2" applyNumberFormat="1" applyFont="1" applyBorder="1" applyAlignment="1">
      <alignment horizontal="center"/>
    </xf>
    <xf numFmtId="49" fontId="18" fillId="0" borderId="12" xfId="2" applyNumberFormat="1" applyFont="1" applyBorder="1" applyAlignment="1">
      <alignment horizontal="center"/>
    </xf>
    <xf numFmtId="49" fontId="26" fillId="0" borderId="0" xfId="2" applyNumberFormat="1" applyFont="1" applyAlignment="1">
      <alignment horizontal="center"/>
    </xf>
    <xf numFmtId="181" fontId="48" fillId="0" borderId="3" xfId="0" applyNumberFormat="1" applyFont="1" applyBorder="1" applyAlignment="1"/>
    <xf numFmtId="181" fontId="49" fillId="0" borderId="6" xfId="0" applyNumberFormat="1" applyFont="1" applyBorder="1" applyAlignment="1"/>
    <xf numFmtId="181" fontId="48" fillId="0" borderId="2" xfId="0" applyNumberFormat="1" applyFont="1" applyBorder="1" applyAlignment="1"/>
    <xf numFmtId="181" fontId="28" fillId="0" borderId="3" xfId="0" applyNumberFormat="1" applyFont="1" applyBorder="1" applyAlignment="1"/>
    <xf numFmtId="181" fontId="50" fillId="0" borderId="6" xfId="0" applyNumberFormat="1" applyFont="1" applyBorder="1" applyAlignment="1"/>
    <xf numFmtId="181" fontId="28" fillId="0" borderId="2" xfId="0" applyNumberFormat="1" applyFont="1" applyBorder="1" applyAlignment="1"/>
    <xf numFmtId="41" fontId="24" fillId="0" borderId="0" xfId="0" applyNumberFormat="1" applyFont="1" applyAlignment="1"/>
    <xf numFmtId="41" fontId="2" fillId="0" borderId="14" xfId="2" applyNumberFormat="1" applyBorder="1"/>
    <xf numFmtId="10" fontId="48" fillId="0" borderId="4" xfId="0" applyNumberFormat="1" applyFont="1" applyBorder="1" applyAlignment="1"/>
    <xf numFmtId="10" fontId="48" fillId="0" borderId="15" xfId="0" applyNumberFormat="1" applyFont="1" applyBorder="1" applyAlignment="1"/>
    <xf numFmtId="10" fontId="49" fillId="0" borderId="12" xfId="0" applyNumberFormat="1" applyFont="1" applyBorder="1" applyAlignment="1"/>
    <xf numFmtId="43" fontId="23" fillId="0" borderId="6" xfId="0" applyNumberFormat="1" applyFont="1" applyBorder="1" applyAlignment="1"/>
    <xf numFmtId="10" fontId="23" fillId="0" borderId="12" xfId="0" applyNumberFormat="1" applyFont="1" applyBorder="1" applyAlignment="1"/>
    <xf numFmtId="43" fontId="2" fillId="0" borderId="15" xfId="0" applyNumberFormat="1" applyFont="1" applyBorder="1" applyAlignment="1"/>
    <xf numFmtId="10" fontId="23" fillId="0" borderId="6" xfId="0" applyNumberFormat="1" applyFont="1" applyBorder="1" applyAlignment="1"/>
    <xf numFmtId="10" fontId="2" fillId="0" borderId="16" xfId="0" applyNumberFormat="1" applyFont="1" applyBorder="1" applyAlignment="1"/>
    <xf numFmtId="10" fontId="28" fillId="0" borderId="4" xfId="0" applyNumberFormat="1" applyFont="1" applyBorder="1" applyAlignment="1"/>
  </cellXfs>
  <cellStyles count="6">
    <cellStyle name="一般" xfId="0" builtinId="0"/>
    <cellStyle name="一般 2" xfId="2" xr:uid="{00000000-0005-0000-0000-000001000000}"/>
    <cellStyle name="一般 2 3" xfId="4" xr:uid="{00000000-0005-0000-0000-000002000000}"/>
    <cellStyle name="千分位" xfId="1" builtinId="3"/>
    <cellStyle name="千分位 2" xfId="5" xr:uid="{00000000-0005-0000-0000-000004000000}"/>
    <cellStyle name="百分比" xfId="3" builtinId="5"/>
  </cellStyles>
  <dxfs count="350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230CF0"/>
      <color rgb="FFF765BC"/>
      <color rgb="FFD7A9C8"/>
      <color rgb="FFC47EAD"/>
      <color rgb="FFA86ED4"/>
      <color rgb="FFFFFF99"/>
      <color rgb="FF3399FF"/>
      <color rgb="FF99CCFF"/>
      <color rgb="FFCC66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1-12%20&#20013;&#22283;&#38646;&#20214;&#36914;&#21475;%20(2).xlsx" TargetMode="External"/><Relationship Id="rId1" Type="http://schemas.openxmlformats.org/officeDocument/2006/relationships/externalLinkPath" Target="/DATA%20Files/Downloads/&#36914;&#20986;&#21475;&#20540;&#34920;%20-%202023%201-12%20&#20013;&#22283;&#38646;&#20214;&#36914;&#21475;%20(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04%20&#20013;&#22283;&#38646;&#20214;&#36914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04%20&#20013;&#22283;&#38646;&#20214;%20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2%2001-04%20&#20013;&#22283;&#38646;&#20214;&#20986;&#21475;&#27604;&#36611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01-04%20&#20013;&#22283;&#38646;&#20214;%20&#36914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2%2001-04%20&#20013;&#22283;&#38646;&#20214;&#36914;&#21475;&#27604;&#3661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03%20&#20013;&#22283;&#38646;&#20214;%20&#20986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03%20&#20013;&#22283;&#38646;&#20214;%20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01-03%20&#20013;&#22283;&#38646;&#20214;%20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2%2001-03%20&#20013;&#22283;&#38646;&#20214;%20&#20986;&#21475;&#27604;&#36611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01-03%20&#20013;&#22283;&#38646;&#20214;%20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2%2012%20%20&#20013;&#22283;&#38646;&#20214;&#36914;&#21475;.xlsx" TargetMode="External"/><Relationship Id="rId1" Type="http://schemas.openxmlformats.org/officeDocument/2006/relationships/externalLinkPath" Target="/DATA%20Files/Downloads/&#36914;&#20986;&#21475;&#20540;&#34920;%20-%202022%2012%20%20&#20013;&#22283;&#38646;&#20214;&#36914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2%2001-03%20&#20013;&#22283;&#38646;&#20214;%20&#36914;&#21475;&#27604;&#3661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05%20&#20013;&#22283;&#38646;&#20214;&#20986;&#214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05%20&#20013;&#22283;&#38646;&#20214;&#36914;&#2147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01-05%20&#20013;&#22283;&#38646;&#20214;&#20986;&#2147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2%2001-05%20&#20013;&#22283;&#38646;&#20214;%20&#20986;&#21475;&#27604;&#3661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01-05%20&#20013;&#22283;&#38646;&#2021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2%2001-05%20&#20013;&#22283;&#38646;&#20214;%20&#36914;&#21475;&#27604;&#3661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04%20&#20013;&#22283;&#38646;&#2021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300916345</v>
          </cell>
          <cell r="D3">
            <v>4859271</v>
          </cell>
        </row>
        <row r="4">
          <cell r="A4">
            <v>87149200108</v>
          </cell>
          <cell r="B4" t="str">
            <v>輪圈</v>
          </cell>
          <cell r="C4">
            <v>56042527</v>
          </cell>
          <cell r="D4">
            <v>742588</v>
          </cell>
        </row>
        <row r="5">
          <cell r="A5">
            <v>87149310007</v>
          </cell>
          <cell r="B5" t="str">
            <v>輪轂，但倒煞車輪轂及輪轂煞車除外</v>
          </cell>
          <cell r="C5">
            <v>23813377</v>
          </cell>
          <cell r="D5">
            <v>712763</v>
          </cell>
        </row>
        <row r="6">
          <cell r="A6">
            <v>87149990166</v>
          </cell>
          <cell r="B6" t="str">
            <v>腳踏車用把手</v>
          </cell>
          <cell r="C6">
            <v>16514754</v>
          </cell>
          <cell r="D6">
            <v>367944</v>
          </cell>
        </row>
        <row r="7">
          <cell r="A7">
            <v>87149990157</v>
          </cell>
          <cell r="B7" t="str">
            <v>腳踏車用座管及上下管</v>
          </cell>
          <cell r="C7">
            <v>12315414</v>
          </cell>
          <cell r="D7">
            <v>335693</v>
          </cell>
        </row>
        <row r="8">
          <cell r="A8">
            <v>87149490009</v>
          </cell>
          <cell r="B8" t="str">
            <v>其他煞車器及其零件</v>
          </cell>
          <cell r="C8">
            <v>10769832</v>
          </cell>
          <cell r="D8">
            <v>663060</v>
          </cell>
        </row>
        <row r="9">
          <cell r="A9">
            <v>87149620002</v>
          </cell>
          <cell r="B9" t="str">
            <v>曲柄齒輪及其零件</v>
          </cell>
          <cell r="C9">
            <v>8439639</v>
          </cell>
          <cell r="D9">
            <v>721048</v>
          </cell>
        </row>
        <row r="10">
          <cell r="A10">
            <v>87149500007</v>
          </cell>
          <cell r="B10" t="str">
            <v>腳踏車車座</v>
          </cell>
          <cell r="C10">
            <v>5684562</v>
          </cell>
          <cell r="D10">
            <v>523255</v>
          </cell>
        </row>
        <row r="11">
          <cell r="A11">
            <v>87149990111</v>
          </cell>
          <cell r="B11" t="str">
            <v>腳踏車用變速器</v>
          </cell>
          <cell r="C11">
            <v>4599871</v>
          </cell>
          <cell r="D11">
            <v>157596</v>
          </cell>
        </row>
        <row r="12">
          <cell r="A12">
            <v>87149990148</v>
          </cell>
          <cell r="B12" t="str">
            <v>腳踏車用把手豎管</v>
          </cell>
          <cell r="C12">
            <v>3640765</v>
          </cell>
          <cell r="D12">
            <v>142968</v>
          </cell>
        </row>
        <row r="13">
          <cell r="A13">
            <v>87149200304</v>
          </cell>
          <cell r="B13" t="str">
            <v>輪圈及輪幅</v>
          </cell>
          <cell r="C13">
            <v>2963853</v>
          </cell>
          <cell r="D13">
            <v>156214</v>
          </cell>
        </row>
        <row r="14">
          <cell r="A14">
            <v>87149610004</v>
          </cell>
          <cell r="B14" t="str">
            <v>踏板及其零件</v>
          </cell>
          <cell r="C14">
            <v>2707772</v>
          </cell>
          <cell r="D14">
            <v>227134</v>
          </cell>
        </row>
        <row r="15">
          <cell r="A15">
            <v>87149320906</v>
          </cell>
          <cell r="B15" t="str">
            <v>其他飛輪之鏈輪</v>
          </cell>
          <cell r="C15">
            <v>2467348</v>
          </cell>
          <cell r="D15">
            <v>191991</v>
          </cell>
        </row>
        <row r="16">
          <cell r="A16">
            <v>87149200206</v>
          </cell>
          <cell r="B16" t="str">
            <v>輪幅</v>
          </cell>
          <cell r="C16">
            <v>2297874</v>
          </cell>
          <cell r="D16">
            <v>59448</v>
          </cell>
        </row>
        <row r="17">
          <cell r="A17">
            <v>87149410006</v>
          </cell>
          <cell r="B17" t="str">
            <v>鋼?煞車器及其零件</v>
          </cell>
          <cell r="C17">
            <v>311979</v>
          </cell>
          <cell r="D17">
            <v>36939</v>
          </cell>
        </row>
        <row r="18">
          <cell r="A18">
            <v>87149990139</v>
          </cell>
          <cell r="B18" t="str">
            <v>腳踏車用軸心</v>
          </cell>
          <cell r="C18">
            <v>107502</v>
          </cell>
          <cell r="D18">
            <v>32696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42819</v>
          </cell>
          <cell r="D19">
            <v>3362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2023年04月
進口金額($US)</v>
          </cell>
          <cell r="D2" t="str">
            <v>2023年04月
進口重量(KG)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27857628</v>
          </cell>
          <cell r="D3">
            <v>468608</v>
          </cell>
        </row>
        <row r="4">
          <cell r="A4">
            <v>87149200108</v>
          </cell>
          <cell r="B4" t="str">
            <v>輪圈</v>
          </cell>
          <cell r="C4">
            <v>5475202</v>
          </cell>
          <cell r="D4">
            <v>76569</v>
          </cell>
        </row>
        <row r="5">
          <cell r="A5">
            <v>87149310007</v>
          </cell>
          <cell r="B5" t="str">
            <v>輪轂，但倒煞車輪轂及輪轂煞車除外</v>
          </cell>
          <cell r="C5">
            <v>2702467</v>
          </cell>
          <cell r="D5">
            <v>75972</v>
          </cell>
        </row>
        <row r="6">
          <cell r="A6">
            <v>87149990166</v>
          </cell>
          <cell r="B6" t="str">
            <v>腳踏車用把手</v>
          </cell>
          <cell r="C6">
            <v>1669061</v>
          </cell>
          <cell r="D6">
            <v>44988</v>
          </cell>
        </row>
        <row r="7">
          <cell r="A7">
            <v>87149990157</v>
          </cell>
          <cell r="B7" t="str">
            <v>腳踏車用座管及上下管</v>
          </cell>
          <cell r="C7">
            <v>967335</v>
          </cell>
          <cell r="D7">
            <v>25188</v>
          </cell>
        </row>
        <row r="8">
          <cell r="A8">
            <v>87149490009</v>
          </cell>
          <cell r="B8" t="str">
            <v>其他煞車器及其零件</v>
          </cell>
          <cell r="C8">
            <v>891918</v>
          </cell>
          <cell r="D8">
            <v>55527</v>
          </cell>
        </row>
        <row r="9">
          <cell r="A9">
            <v>87149620002</v>
          </cell>
          <cell r="B9" t="str">
            <v>曲柄齒輪及其零件</v>
          </cell>
          <cell r="C9">
            <v>822802</v>
          </cell>
          <cell r="D9">
            <v>62680</v>
          </cell>
        </row>
        <row r="10">
          <cell r="A10">
            <v>87149500007</v>
          </cell>
          <cell r="B10" t="str">
            <v>腳踏車車座</v>
          </cell>
          <cell r="C10">
            <v>716931</v>
          </cell>
          <cell r="D10">
            <v>66746</v>
          </cell>
        </row>
        <row r="11">
          <cell r="A11">
            <v>87149990111</v>
          </cell>
          <cell r="B11" t="str">
            <v>腳踏車用變速器</v>
          </cell>
          <cell r="C11">
            <v>377857</v>
          </cell>
          <cell r="D11">
            <v>16185</v>
          </cell>
        </row>
        <row r="12">
          <cell r="A12">
            <v>87149320906</v>
          </cell>
          <cell r="B12" t="str">
            <v>其他飛輪之鏈輪</v>
          </cell>
          <cell r="C12">
            <v>321815</v>
          </cell>
          <cell r="D12">
            <v>25350</v>
          </cell>
        </row>
        <row r="13">
          <cell r="A13">
            <v>87149990148</v>
          </cell>
          <cell r="B13" t="str">
            <v>腳踏車用把手豎管</v>
          </cell>
          <cell r="C13">
            <v>284740</v>
          </cell>
          <cell r="D13">
            <v>9532</v>
          </cell>
        </row>
        <row r="14">
          <cell r="A14">
            <v>87149610004</v>
          </cell>
          <cell r="B14" t="str">
            <v>踏板及其零件</v>
          </cell>
          <cell r="C14">
            <v>122592</v>
          </cell>
          <cell r="D14">
            <v>25345</v>
          </cell>
        </row>
        <row r="15">
          <cell r="A15">
            <v>87149200304</v>
          </cell>
          <cell r="B15" t="str">
            <v>輪圈及輪幅</v>
          </cell>
          <cell r="C15">
            <v>113298</v>
          </cell>
          <cell r="D15">
            <v>9667</v>
          </cell>
        </row>
        <row r="16">
          <cell r="A16">
            <v>87149200206</v>
          </cell>
          <cell r="B16" t="str">
            <v>輪幅</v>
          </cell>
          <cell r="C16">
            <v>48916</v>
          </cell>
          <cell r="D16">
            <v>5524</v>
          </cell>
        </row>
        <row r="17">
          <cell r="A17">
            <v>87149410006</v>
          </cell>
          <cell r="B17" t="str">
            <v>鋼?煞車器及其零件</v>
          </cell>
          <cell r="C17">
            <v>37221</v>
          </cell>
          <cell r="D17">
            <v>2712</v>
          </cell>
        </row>
        <row r="18">
          <cell r="A18">
            <v>87149990139</v>
          </cell>
          <cell r="B18" t="str">
            <v>腳踏車用軸心</v>
          </cell>
          <cell r="C18">
            <v>15045</v>
          </cell>
          <cell r="D18">
            <v>4838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2464</v>
          </cell>
          <cell r="D19">
            <v>205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2023年01至04月
出口金額($US)</v>
          </cell>
          <cell r="D2" t="str">
            <v>2023年01至04月
出口重量(KG)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16963363</v>
          </cell>
          <cell r="D3">
            <v>353109</v>
          </cell>
        </row>
        <row r="4">
          <cell r="A4">
            <v>87149490009</v>
          </cell>
          <cell r="B4" t="str">
            <v>其他煞車器及其零件</v>
          </cell>
          <cell r="C4">
            <v>9588381</v>
          </cell>
          <cell r="D4">
            <v>205581</v>
          </cell>
        </row>
        <row r="5">
          <cell r="A5">
            <v>87149990111</v>
          </cell>
          <cell r="B5" t="str">
            <v>腳踏車用變速器</v>
          </cell>
          <cell r="C5">
            <v>5566996</v>
          </cell>
          <cell r="D5">
            <v>58490</v>
          </cell>
        </row>
        <row r="6">
          <cell r="A6">
            <v>87149320906</v>
          </cell>
          <cell r="B6" t="str">
            <v>其他飛輪之鏈輪</v>
          </cell>
          <cell r="C6">
            <v>3691829</v>
          </cell>
          <cell r="D6">
            <v>112815</v>
          </cell>
        </row>
        <row r="7">
          <cell r="A7">
            <v>87149620002</v>
          </cell>
          <cell r="B7" t="str">
            <v>曲柄齒輪及其零件</v>
          </cell>
          <cell r="C7">
            <v>3624711</v>
          </cell>
          <cell r="D7">
            <v>80928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1277606</v>
          </cell>
          <cell r="D8">
            <v>17025</v>
          </cell>
        </row>
        <row r="9">
          <cell r="A9">
            <v>87149200304</v>
          </cell>
          <cell r="B9" t="str">
            <v>輪圈及輪幅</v>
          </cell>
          <cell r="C9">
            <v>1142191</v>
          </cell>
          <cell r="D9">
            <v>11609</v>
          </cell>
        </row>
        <row r="10">
          <cell r="A10">
            <v>87149990166</v>
          </cell>
          <cell r="B10" t="str">
            <v>腳踏車用把手</v>
          </cell>
          <cell r="C10">
            <v>857949</v>
          </cell>
          <cell r="D10">
            <v>23358</v>
          </cell>
        </row>
        <row r="11">
          <cell r="A11">
            <v>87149200206</v>
          </cell>
          <cell r="B11" t="str">
            <v>輪幅</v>
          </cell>
          <cell r="C11">
            <v>624740</v>
          </cell>
          <cell r="D11">
            <v>21671</v>
          </cell>
        </row>
        <row r="12">
          <cell r="A12">
            <v>87149990157</v>
          </cell>
          <cell r="B12" t="str">
            <v>腳踏車用座管及上下管</v>
          </cell>
          <cell r="C12">
            <v>610885</v>
          </cell>
          <cell r="D12">
            <v>14858</v>
          </cell>
        </row>
        <row r="13">
          <cell r="A13">
            <v>87149200108</v>
          </cell>
          <cell r="B13" t="str">
            <v>輪圈</v>
          </cell>
          <cell r="C13">
            <v>574344</v>
          </cell>
          <cell r="D13">
            <v>37921</v>
          </cell>
        </row>
        <row r="14">
          <cell r="A14">
            <v>87149990148</v>
          </cell>
          <cell r="B14" t="str">
            <v>腳踏車用把手豎管</v>
          </cell>
          <cell r="C14">
            <v>373835</v>
          </cell>
          <cell r="D14">
            <v>8709</v>
          </cell>
        </row>
        <row r="15">
          <cell r="A15">
            <v>87149500007</v>
          </cell>
          <cell r="B15" t="str">
            <v>腳踏車車座</v>
          </cell>
          <cell r="C15">
            <v>342612</v>
          </cell>
          <cell r="D15">
            <v>9402</v>
          </cell>
        </row>
        <row r="16">
          <cell r="A16">
            <v>87149610004</v>
          </cell>
          <cell r="B16" t="str">
            <v>踏板及其零件</v>
          </cell>
          <cell r="C16">
            <v>331769</v>
          </cell>
          <cell r="D16">
            <v>25071</v>
          </cell>
        </row>
        <row r="17">
          <cell r="A17">
            <v>87149320103</v>
          </cell>
          <cell r="B17" t="str">
            <v>裝有棘輪機構之單一鏈輪　</v>
          </cell>
          <cell r="C17">
            <v>127264</v>
          </cell>
          <cell r="D17">
            <v>2878</v>
          </cell>
        </row>
        <row r="18">
          <cell r="A18">
            <v>87149410006</v>
          </cell>
          <cell r="B18" t="str">
            <v>鋼?煞車器及其零件</v>
          </cell>
          <cell r="C18">
            <v>9871</v>
          </cell>
          <cell r="D18">
            <v>443</v>
          </cell>
        </row>
        <row r="19">
          <cell r="A19">
            <v>87149990139</v>
          </cell>
          <cell r="B19" t="str">
            <v>腳踏車用軸心</v>
          </cell>
          <cell r="C19">
            <v>90789</v>
          </cell>
          <cell r="D19">
            <v>5429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2022年01至04月
出口金額($US)</v>
          </cell>
          <cell r="D2" t="str">
            <v>2022年01至04月
出口重量(KG)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26166763</v>
          </cell>
          <cell r="D3">
            <v>742269</v>
          </cell>
        </row>
        <row r="4">
          <cell r="A4">
            <v>87149490009</v>
          </cell>
          <cell r="B4" t="str">
            <v>其他煞車器及其零件</v>
          </cell>
          <cell r="C4">
            <v>22784671</v>
          </cell>
          <cell r="D4">
            <v>693363</v>
          </cell>
        </row>
        <row r="5">
          <cell r="A5">
            <v>87149990111</v>
          </cell>
          <cell r="B5" t="str">
            <v>腳踏車用變速器</v>
          </cell>
          <cell r="C5">
            <v>5042914</v>
          </cell>
          <cell r="D5">
            <v>57179</v>
          </cell>
        </row>
        <row r="6">
          <cell r="A6">
            <v>87149620002</v>
          </cell>
          <cell r="B6" t="str">
            <v>曲柄齒輪及其零件</v>
          </cell>
          <cell r="C6">
            <v>4414022</v>
          </cell>
          <cell r="D6">
            <v>119633</v>
          </cell>
        </row>
        <row r="7">
          <cell r="A7" t="str">
            <v>87149320005</v>
          </cell>
          <cell r="B7" t="str">
            <v>飛輪之鏈輪</v>
          </cell>
          <cell r="C7">
            <v>3593953</v>
          </cell>
          <cell r="D7">
            <v>100618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2203850</v>
          </cell>
          <cell r="D8">
            <v>29387</v>
          </cell>
        </row>
        <row r="9">
          <cell r="A9">
            <v>87149610004</v>
          </cell>
          <cell r="B9" t="str">
            <v>踏板及其零件</v>
          </cell>
          <cell r="C9">
            <v>1266915</v>
          </cell>
          <cell r="D9">
            <v>79780</v>
          </cell>
        </row>
        <row r="10">
          <cell r="A10">
            <v>87149990157</v>
          </cell>
          <cell r="B10" t="str">
            <v>腳踏車用座管及上下管</v>
          </cell>
          <cell r="C10">
            <v>1045777</v>
          </cell>
          <cell r="D10">
            <v>21625</v>
          </cell>
        </row>
        <row r="11">
          <cell r="A11">
            <v>87149200206</v>
          </cell>
          <cell r="B11" t="str">
            <v>輪幅</v>
          </cell>
          <cell r="C11">
            <v>952359</v>
          </cell>
          <cell r="D11">
            <v>39238</v>
          </cell>
        </row>
        <row r="12">
          <cell r="A12" t="str">
            <v>87149990120</v>
          </cell>
          <cell r="B12" t="str">
            <v>腳踏車用飛輪</v>
          </cell>
          <cell r="C12">
            <v>939553</v>
          </cell>
          <cell r="D12">
            <v>41729</v>
          </cell>
        </row>
        <row r="13">
          <cell r="A13">
            <v>87149990166</v>
          </cell>
          <cell r="B13" t="str">
            <v>腳踏車用把手</v>
          </cell>
          <cell r="C13">
            <v>776128</v>
          </cell>
          <cell r="D13">
            <v>34742</v>
          </cell>
        </row>
        <row r="14">
          <cell r="A14">
            <v>87149200304</v>
          </cell>
          <cell r="B14" t="str">
            <v>輪圈及輪幅</v>
          </cell>
          <cell r="C14">
            <v>771301</v>
          </cell>
          <cell r="D14">
            <v>8749</v>
          </cell>
        </row>
        <row r="15">
          <cell r="A15">
            <v>87149990148</v>
          </cell>
          <cell r="B15" t="str">
            <v>腳踏車用把手豎管</v>
          </cell>
          <cell r="C15">
            <v>746701</v>
          </cell>
          <cell r="D15">
            <v>28742</v>
          </cell>
        </row>
        <row r="16">
          <cell r="A16">
            <v>87149200108</v>
          </cell>
          <cell r="B16" t="str">
            <v>輪圈</v>
          </cell>
          <cell r="C16">
            <v>658563</v>
          </cell>
          <cell r="D16">
            <v>59724</v>
          </cell>
        </row>
        <row r="17">
          <cell r="A17">
            <v>87149500007</v>
          </cell>
          <cell r="B17" t="str">
            <v>腳踏車車座</v>
          </cell>
          <cell r="C17">
            <v>371272</v>
          </cell>
          <cell r="D17">
            <v>10753</v>
          </cell>
        </row>
        <row r="18">
          <cell r="A18">
            <v>87149320906</v>
          </cell>
          <cell r="B18" t="str">
            <v>其他飛輪之鏈輪</v>
          </cell>
          <cell r="C18">
            <v>342591</v>
          </cell>
          <cell r="D18">
            <v>13955</v>
          </cell>
        </row>
        <row r="19">
          <cell r="A19">
            <v>87149990139</v>
          </cell>
          <cell r="B19" t="str">
            <v>腳踏車用軸心</v>
          </cell>
          <cell r="C19">
            <v>178897</v>
          </cell>
          <cell r="D19">
            <v>7604</v>
          </cell>
        </row>
        <row r="20">
          <cell r="A20">
            <v>87149410006</v>
          </cell>
          <cell r="B20" t="str">
            <v>鋼?煞車器及其零件</v>
          </cell>
          <cell r="C20">
            <v>7595</v>
          </cell>
          <cell r="D20">
            <v>364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2023年01至04月
進口金額($US)</v>
          </cell>
          <cell r="D2" t="str">
            <v>2023年01至04月
進口重量(KG)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111632383</v>
          </cell>
          <cell r="D3">
            <v>2196636</v>
          </cell>
        </row>
        <row r="4">
          <cell r="A4">
            <v>87149200108</v>
          </cell>
          <cell r="B4" t="str">
            <v>輪圈</v>
          </cell>
          <cell r="C4">
            <v>21280221</v>
          </cell>
          <cell r="D4">
            <v>312202</v>
          </cell>
        </row>
        <row r="5">
          <cell r="A5">
            <v>87149310007</v>
          </cell>
          <cell r="B5" t="str">
            <v>輪轂，但倒煞車輪轂及輪轂煞車除外</v>
          </cell>
          <cell r="C5">
            <v>10813125</v>
          </cell>
          <cell r="D5">
            <v>373748</v>
          </cell>
        </row>
        <row r="6">
          <cell r="A6">
            <v>87149990166</v>
          </cell>
          <cell r="B6" t="str">
            <v>腳踏車用把手</v>
          </cell>
          <cell r="C6">
            <v>5800843</v>
          </cell>
          <cell r="D6">
            <v>161244</v>
          </cell>
        </row>
        <row r="7">
          <cell r="A7">
            <v>87149490009</v>
          </cell>
          <cell r="B7" t="str">
            <v>其他煞車器及其零件</v>
          </cell>
          <cell r="C7">
            <v>4609909</v>
          </cell>
          <cell r="D7">
            <v>253150</v>
          </cell>
        </row>
        <row r="8">
          <cell r="A8">
            <v>87149990157</v>
          </cell>
          <cell r="B8" t="str">
            <v>腳踏車用座管及上下管</v>
          </cell>
          <cell r="C8">
            <v>4015224</v>
          </cell>
          <cell r="D8">
            <v>148330</v>
          </cell>
        </row>
        <row r="9">
          <cell r="A9">
            <v>87149620002</v>
          </cell>
          <cell r="B9" t="str">
            <v>曲柄齒輪及其零件</v>
          </cell>
          <cell r="C9">
            <v>3472100</v>
          </cell>
          <cell r="D9">
            <v>321244</v>
          </cell>
        </row>
        <row r="10">
          <cell r="A10">
            <v>87149500007</v>
          </cell>
          <cell r="B10" t="str">
            <v>腳踏車車座</v>
          </cell>
          <cell r="C10">
            <v>2632794</v>
          </cell>
          <cell r="D10">
            <v>247359</v>
          </cell>
        </row>
        <row r="11">
          <cell r="A11">
            <v>87149990148</v>
          </cell>
          <cell r="B11" t="str">
            <v>腳踏車用把手豎管</v>
          </cell>
          <cell r="C11">
            <v>1513493</v>
          </cell>
          <cell r="D11">
            <v>68952</v>
          </cell>
        </row>
        <row r="12">
          <cell r="A12">
            <v>87149320906</v>
          </cell>
          <cell r="B12" t="str">
            <v>其他飛輪之鏈輪</v>
          </cell>
          <cell r="C12">
            <v>1500896</v>
          </cell>
          <cell r="D12">
            <v>110442</v>
          </cell>
        </row>
        <row r="13">
          <cell r="A13">
            <v>87149990111</v>
          </cell>
          <cell r="B13" t="str">
            <v>腳踏車用變速器</v>
          </cell>
          <cell r="C13">
            <v>1384781</v>
          </cell>
          <cell r="D13">
            <v>56908</v>
          </cell>
        </row>
        <row r="14">
          <cell r="A14">
            <v>87149200304</v>
          </cell>
          <cell r="B14" t="str">
            <v>輪圈及輪幅</v>
          </cell>
          <cell r="C14">
            <v>610548</v>
          </cell>
          <cell r="D14">
            <v>42155</v>
          </cell>
        </row>
        <row r="15">
          <cell r="A15">
            <v>87149610004</v>
          </cell>
          <cell r="B15" t="str">
            <v>踏板及其零件</v>
          </cell>
          <cell r="C15">
            <v>582303</v>
          </cell>
          <cell r="D15">
            <v>89337</v>
          </cell>
        </row>
        <row r="16">
          <cell r="A16">
            <v>87149200206</v>
          </cell>
          <cell r="B16" t="str">
            <v>輪幅</v>
          </cell>
          <cell r="C16">
            <v>269303</v>
          </cell>
          <cell r="D16">
            <v>22731</v>
          </cell>
        </row>
        <row r="17">
          <cell r="A17">
            <v>87149410006</v>
          </cell>
          <cell r="B17" t="str">
            <v>鋼?煞車器及其零件</v>
          </cell>
          <cell r="C17">
            <v>142621</v>
          </cell>
          <cell r="D17">
            <v>22937</v>
          </cell>
        </row>
        <row r="18">
          <cell r="A18">
            <v>87149990139</v>
          </cell>
          <cell r="B18" t="str">
            <v>腳踏車用軸心</v>
          </cell>
          <cell r="C18">
            <v>49482</v>
          </cell>
          <cell r="D18">
            <v>11536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20324</v>
          </cell>
          <cell r="D19">
            <v>2342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2022年01至04月
進口金額($US)</v>
          </cell>
          <cell r="D2" t="str">
            <v>2022年01至04月
進口重量(KG)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140256066</v>
          </cell>
          <cell r="D3">
            <v>3547450</v>
          </cell>
        </row>
        <row r="4">
          <cell r="A4">
            <v>87149200108</v>
          </cell>
          <cell r="B4" t="str">
            <v>輪圈</v>
          </cell>
          <cell r="C4">
            <v>24090376</v>
          </cell>
          <cell r="D4">
            <v>510982</v>
          </cell>
        </row>
        <row r="5">
          <cell r="A5">
            <v>87149490009</v>
          </cell>
          <cell r="B5" t="str">
            <v>其他煞車器及其零件</v>
          </cell>
          <cell r="C5">
            <v>15641609</v>
          </cell>
          <cell r="D5">
            <v>1039939</v>
          </cell>
        </row>
        <row r="6">
          <cell r="A6">
            <v>87149310007</v>
          </cell>
          <cell r="B6" t="str">
            <v>輪轂，但倒煞車輪轂及輪轂煞車除外</v>
          </cell>
          <cell r="C6">
            <v>12953722</v>
          </cell>
          <cell r="D6">
            <v>630492</v>
          </cell>
        </row>
        <row r="7">
          <cell r="A7">
            <v>87149990166</v>
          </cell>
          <cell r="B7" t="str">
            <v>腳踏車用把手</v>
          </cell>
          <cell r="C7">
            <v>8625009</v>
          </cell>
          <cell r="D7">
            <v>269524</v>
          </cell>
        </row>
        <row r="8">
          <cell r="A8">
            <v>87149500007</v>
          </cell>
          <cell r="B8" t="str">
            <v>腳踏車車座</v>
          </cell>
          <cell r="C8">
            <v>7809079</v>
          </cell>
          <cell r="D8">
            <v>559651</v>
          </cell>
        </row>
        <row r="9">
          <cell r="A9">
            <v>87149620002</v>
          </cell>
          <cell r="B9" t="str">
            <v>曲柄齒輪及其零件</v>
          </cell>
          <cell r="C9">
            <v>6957958</v>
          </cell>
          <cell r="D9">
            <v>690167</v>
          </cell>
        </row>
        <row r="10">
          <cell r="A10">
            <v>87149990157</v>
          </cell>
          <cell r="B10" t="str">
            <v>腳踏車用座管及上下管</v>
          </cell>
          <cell r="C10">
            <v>5809895</v>
          </cell>
          <cell r="D10">
            <v>307799</v>
          </cell>
        </row>
        <row r="11">
          <cell r="A11">
            <v>87149990111</v>
          </cell>
          <cell r="B11" t="str">
            <v>腳踏車用變速器</v>
          </cell>
          <cell r="C11">
            <v>5342045</v>
          </cell>
          <cell r="D11">
            <v>263348</v>
          </cell>
        </row>
        <row r="12">
          <cell r="A12">
            <v>87149610004</v>
          </cell>
          <cell r="B12" t="str">
            <v>踏板及其零件</v>
          </cell>
          <cell r="C12">
            <v>3323433</v>
          </cell>
          <cell r="D12">
            <v>348350</v>
          </cell>
        </row>
        <row r="13">
          <cell r="A13">
            <v>87149990148</v>
          </cell>
          <cell r="B13" t="str">
            <v>腳踏車用把手豎管</v>
          </cell>
          <cell r="C13">
            <v>2844076</v>
          </cell>
          <cell r="D13">
            <v>170141</v>
          </cell>
        </row>
        <row r="14">
          <cell r="A14" t="str">
            <v>87149320005</v>
          </cell>
          <cell r="B14" t="str">
            <v>飛輪之鏈輪</v>
          </cell>
          <cell r="C14">
            <v>1972411</v>
          </cell>
          <cell r="D14">
            <v>192397</v>
          </cell>
        </row>
        <row r="15">
          <cell r="A15">
            <v>87149200304</v>
          </cell>
          <cell r="B15" t="str">
            <v>輪圈及輪幅</v>
          </cell>
          <cell r="C15">
            <v>1286793</v>
          </cell>
          <cell r="D15">
            <v>109235</v>
          </cell>
        </row>
        <row r="16">
          <cell r="A16" t="str">
            <v>87149990120</v>
          </cell>
          <cell r="B16" t="str">
            <v>腳踏車用飛輪</v>
          </cell>
          <cell r="C16">
            <v>842239</v>
          </cell>
          <cell r="D16">
            <v>72951</v>
          </cell>
        </row>
        <row r="17">
          <cell r="A17">
            <v>87149200206</v>
          </cell>
          <cell r="B17" t="str">
            <v>輪幅</v>
          </cell>
          <cell r="C17">
            <v>646833</v>
          </cell>
          <cell r="D17">
            <v>37414</v>
          </cell>
        </row>
        <row r="18">
          <cell r="A18">
            <v>87149320906</v>
          </cell>
          <cell r="B18" t="str">
            <v>其他飛輪之鏈輪</v>
          </cell>
          <cell r="C18">
            <v>279972</v>
          </cell>
          <cell r="D18">
            <v>31985</v>
          </cell>
        </row>
        <row r="19">
          <cell r="A19">
            <v>87149410006</v>
          </cell>
          <cell r="B19" t="str">
            <v>鋼?煞車器及其零件</v>
          </cell>
          <cell r="C19">
            <v>258440</v>
          </cell>
          <cell r="D19">
            <v>14327</v>
          </cell>
        </row>
        <row r="20">
          <cell r="A20">
            <v>87149990139</v>
          </cell>
          <cell r="B20" t="str">
            <v>腳踏車用軸心</v>
          </cell>
          <cell r="C20">
            <v>254918</v>
          </cell>
          <cell r="D20">
            <v>62698</v>
          </cell>
        </row>
        <row r="21">
          <cell r="A21" t="str">
            <v>87149420004</v>
          </cell>
          <cell r="B21" t="str">
            <v>倒煞車輪轂及其零件</v>
          </cell>
          <cell r="C21">
            <v>32900</v>
          </cell>
          <cell r="D21">
            <v>9359</v>
          </cell>
        </row>
        <row r="22">
          <cell r="A22">
            <v>87149320103</v>
          </cell>
          <cell r="B22" t="str">
            <v>裝有棘輪機構之單一鏈輪　</v>
          </cell>
          <cell r="C22">
            <v>5970</v>
          </cell>
          <cell r="D22">
            <v>378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2023年03月
出口金額($US)</v>
          </cell>
          <cell r="D2" t="str">
            <v>2023年03月
出口重量(KG)</v>
          </cell>
        </row>
        <row r="3">
          <cell r="A3" t="str">
            <v>87149120007</v>
          </cell>
          <cell r="B3" t="str">
            <v>其他車架及叉及其零件</v>
          </cell>
          <cell r="C3">
            <v>4991035</v>
          </cell>
          <cell r="D3">
            <v>95689</v>
          </cell>
        </row>
        <row r="4">
          <cell r="A4" t="str">
            <v>87149490009</v>
          </cell>
          <cell r="B4" t="str">
            <v>其他煞車器及其零件</v>
          </cell>
          <cell r="C4">
            <v>2163754</v>
          </cell>
          <cell r="D4">
            <v>53239</v>
          </cell>
        </row>
        <row r="5">
          <cell r="A5" t="str">
            <v>87149990111</v>
          </cell>
          <cell r="B5" t="str">
            <v>腳踏車用變速器</v>
          </cell>
          <cell r="C5">
            <v>1283644</v>
          </cell>
          <cell r="D5">
            <v>14606</v>
          </cell>
        </row>
        <row r="6">
          <cell r="A6" t="str">
            <v>87149320906</v>
          </cell>
          <cell r="B6" t="str">
            <v>其他飛輪之鏈輪</v>
          </cell>
          <cell r="C6">
            <v>995549</v>
          </cell>
          <cell r="D6">
            <v>31640</v>
          </cell>
        </row>
        <row r="7">
          <cell r="A7" t="str">
            <v>87149620002</v>
          </cell>
          <cell r="B7" t="str">
            <v>曲柄齒輪及其零件</v>
          </cell>
          <cell r="C7">
            <v>674912</v>
          </cell>
          <cell r="D7">
            <v>12046</v>
          </cell>
        </row>
        <row r="8">
          <cell r="A8" t="str">
            <v>87149310007</v>
          </cell>
          <cell r="B8" t="str">
            <v>輪轂，但倒煞車輪轂及輪轂煞車除外</v>
          </cell>
          <cell r="C8">
            <v>521229</v>
          </cell>
          <cell r="D8">
            <v>7640</v>
          </cell>
        </row>
        <row r="9">
          <cell r="A9" t="str">
            <v>87149990166</v>
          </cell>
          <cell r="B9" t="str">
            <v>腳踏車用把手</v>
          </cell>
          <cell r="C9">
            <v>239285</v>
          </cell>
          <cell r="D9">
            <v>5948</v>
          </cell>
        </row>
        <row r="10">
          <cell r="A10" t="str">
            <v>87149200304</v>
          </cell>
          <cell r="B10" t="str">
            <v>輪圈及輪幅</v>
          </cell>
          <cell r="C10">
            <v>172850</v>
          </cell>
          <cell r="D10">
            <v>1018</v>
          </cell>
        </row>
        <row r="11">
          <cell r="A11" t="str">
            <v>87149200206</v>
          </cell>
          <cell r="B11" t="str">
            <v>輪幅</v>
          </cell>
          <cell r="C11">
            <v>152863</v>
          </cell>
          <cell r="D11">
            <v>5813</v>
          </cell>
        </row>
        <row r="12">
          <cell r="A12" t="str">
            <v>87149200108</v>
          </cell>
          <cell r="B12" t="str">
            <v>輪圈</v>
          </cell>
          <cell r="C12">
            <v>131634</v>
          </cell>
          <cell r="D12">
            <v>8320</v>
          </cell>
        </row>
        <row r="13">
          <cell r="A13" t="str">
            <v>87149610004</v>
          </cell>
          <cell r="B13" t="str">
            <v>踏板及其零件</v>
          </cell>
          <cell r="C13">
            <v>129833</v>
          </cell>
          <cell r="D13">
            <v>9814</v>
          </cell>
        </row>
        <row r="14">
          <cell r="A14" t="str">
            <v>87149990157</v>
          </cell>
          <cell r="B14" t="str">
            <v>腳踏車用座管及上下管</v>
          </cell>
          <cell r="C14">
            <v>114394</v>
          </cell>
          <cell r="D14">
            <v>2037</v>
          </cell>
        </row>
        <row r="15">
          <cell r="A15" t="str">
            <v>87149990148</v>
          </cell>
          <cell r="B15" t="str">
            <v>腳踏車用把手豎管</v>
          </cell>
          <cell r="C15">
            <v>81093</v>
          </cell>
          <cell r="D15">
            <v>1020</v>
          </cell>
        </row>
        <row r="16">
          <cell r="A16" t="str">
            <v>87149500007</v>
          </cell>
          <cell r="B16" t="str">
            <v>腳踏車車座</v>
          </cell>
          <cell r="C16">
            <v>71672</v>
          </cell>
          <cell r="D16">
            <v>2329</v>
          </cell>
        </row>
        <row r="17">
          <cell r="A17" t="str">
            <v>87149320103</v>
          </cell>
          <cell r="B17" t="str">
            <v>裝有棘輪機構之單一鏈輪　</v>
          </cell>
          <cell r="C17">
            <v>60026</v>
          </cell>
          <cell r="D17">
            <v>1338</v>
          </cell>
        </row>
        <row r="18">
          <cell r="A18" t="str">
            <v>87149990139</v>
          </cell>
          <cell r="B18" t="str">
            <v>腳踏車用軸心</v>
          </cell>
          <cell r="C18">
            <v>11351</v>
          </cell>
          <cell r="D18">
            <v>246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2023年03月
進口金額($US)</v>
          </cell>
          <cell r="D2" t="str">
            <v>2023年03月
進口重量(KG)</v>
          </cell>
        </row>
        <row r="3">
          <cell r="A3" t="str">
            <v>87149120007</v>
          </cell>
          <cell r="B3" t="str">
            <v>其他車架及叉及其零件</v>
          </cell>
          <cell r="C3">
            <v>28968697</v>
          </cell>
          <cell r="D3">
            <v>619335</v>
          </cell>
        </row>
        <row r="4">
          <cell r="A4" t="str">
            <v>87149200108</v>
          </cell>
          <cell r="B4" t="str">
            <v>輪圈</v>
          </cell>
          <cell r="C4">
            <v>5984253</v>
          </cell>
          <cell r="D4">
            <v>75502</v>
          </cell>
        </row>
        <row r="5">
          <cell r="A5" t="str">
            <v>87149310007</v>
          </cell>
          <cell r="B5" t="str">
            <v>輪轂，但倒煞車輪轂及輪轂煞車除外</v>
          </cell>
          <cell r="C5">
            <v>2382612</v>
          </cell>
          <cell r="D5">
            <v>79671</v>
          </cell>
        </row>
        <row r="6">
          <cell r="A6" t="str">
            <v>87149990166</v>
          </cell>
          <cell r="B6" t="str">
            <v>腳踏車用把手</v>
          </cell>
          <cell r="C6">
            <v>1279732</v>
          </cell>
          <cell r="D6">
            <v>27624</v>
          </cell>
        </row>
        <row r="7">
          <cell r="A7" t="str">
            <v>87149620002</v>
          </cell>
          <cell r="B7" t="str">
            <v>曲柄齒輪及其零件</v>
          </cell>
          <cell r="C7">
            <v>1249930</v>
          </cell>
          <cell r="D7">
            <v>109107</v>
          </cell>
        </row>
        <row r="8">
          <cell r="A8" t="str">
            <v>87149990157</v>
          </cell>
          <cell r="B8" t="str">
            <v>腳踏車用座管及上下管</v>
          </cell>
          <cell r="C8">
            <v>1054683</v>
          </cell>
          <cell r="D8">
            <v>46148</v>
          </cell>
        </row>
        <row r="9">
          <cell r="A9" t="str">
            <v>87149490009</v>
          </cell>
          <cell r="B9" t="str">
            <v>其他煞車器及其零件</v>
          </cell>
          <cell r="C9">
            <v>1053061</v>
          </cell>
          <cell r="D9">
            <v>56111</v>
          </cell>
        </row>
        <row r="10">
          <cell r="A10" t="str">
            <v>87149500007</v>
          </cell>
          <cell r="B10" t="str">
            <v>腳踏車車座</v>
          </cell>
          <cell r="C10">
            <v>566056</v>
          </cell>
          <cell r="D10">
            <v>53554</v>
          </cell>
        </row>
        <row r="11">
          <cell r="A11" t="str">
            <v>87149320906</v>
          </cell>
          <cell r="B11" t="str">
            <v>其他飛輪之鏈輪</v>
          </cell>
          <cell r="C11">
            <v>543437</v>
          </cell>
          <cell r="D11">
            <v>29909</v>
          </cell>
        </row>
        <row r="12">
          <cell r="A12" t="str">
            <v>87149990148</v>
          </cell>
          <cell r="B12" t="str">
            <v>腳踏車用把手豎管</v>
          </cell>
          <cell r="C12">
            <v>352702</v>
          </cell>
          <cell r="D12">
            <v>20061</v>
          </cell>
        </row>
        <row r="13">
          <cell r="A13" t="str">
            <v>87149990111</v>
          </cell>
          <cell r="B13" t="str">
            <v>腳踏車用變速器</v>
          </cell>
          <cell r="C13">
            <v>341543</v>
          </cell>
          <cell r="D13">
            <v>13605</v>
          </cell>
        </row>
        <row r="14">
          <cell r="A14" t="str">
            <v>87149200304</v>
          </cell>
          <cell r="B14" t="str">
            <v>輪圈及輪幅</v>
          </cell>
          <cell r="C14">
            <v>240563</v>
          </cell>
          <cell r="D14">
            <v>9886</v>
          </cell>
        </row>
        <row r="15">
          <cell r="A15" t="str">
            <v>87149610004</v>
          </cell>
          <cell r="B15" t="str">
            <v>踏板及其零件</v>
          </cell>
          <cell r="C15">
            <v>143000</v>
          </cell>
          <cell r="D15">
            <v>25258</v>
          </cell>
        </row>
        <row r="16">
          <cell r="A16" t="str">
            <v>87149200206</v>
          </cell>
          <cell r="B16" t="str">
            <v>輪幅</v>
          </cell>
          <cell r="C16">
            <v>65514</v>
          </cell>
          <cell r="D16">
            <v>6248</v>
          </cell>
        </row>
        <row r="17">
          <cell r="A17" t="str">
            <v>87149410006</v>
          </cell>
          <cell r="B17" t="str">
            <v>鋼?煞車器及其零件</v>
          </cell>
          <cell r="C17">
            <v>53663</v>
          </cell>
          <cell r="D17">
            <v>7361</v>
          </cell>
        </row>
        <row r="18">
          <cell r="A18" t="str">
            <v>87149990139</v>
          </cell>
          <cell r="B18" t="str">
            <v>腳踏車用軸心</v>
          </cell>
          <cell r="C18">
            <v>28590</v>
          </cell>
          <cell r="D18">
            <v>3410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2023年01至03月
出口金額($US)</v>
          </cell>
          <cell r="D2" t="str">
            <v>2023年01至03月
出口重量(KG)</v>
          </cell>
        </row>
        <row r="3">
          <cell r="A3" t="str">
            <v>87149120007</v>
          </cell>
          <cell r="B3" t="str">
            <v>其他車架及叉及其零件</v>
          </cell>
          <cell r="C3">
            <v>12810206</v>
          </cell>
          <cell r="D3">
            <v>272015</v>
          </cell>
        </row>
        <row r="4">
          <cell r="A4" t="str">
            <v>87149490009</v>
          </cell>
          <cell r="B4" t="str">
            <v>其他煞車器及其零件</v>
          </cell>
          <cell r="C4">
            <v>7111772</v>
          </cell>
          <cell r="D4">
            <v>156768</v>
          </cell>
        </row>
        <row r="5">
          <cell r="A5" t="str">
            <v>87149990111</v>
          </cell>
          <cell r="B5" t="str">
            <v>腳踏車用變速器</v>
          </cell>
          <cell r="C5">
            <v>3806877</v>
          </cell>
          <cell r="D5">
            <v>38928</v>
          </cell>
        </row>
        <row r="6">
          <cell r="A6" t="str">
            <v>87149320906</v>
          </cell>
          <cell r="B6" t="str">
            <v>其他飛輪之鏈輪</v>
          </cell>
          <cell r="C6">
            <v>2679079</v>
          </cell>
          <cell r="D6">
            <v>85518</v>
          </cell>
        </row>
        <row r="7">
          <cell r="A7" t="str">
            <v>87149620002</v>
          </cell>
          <cell r="B7" t="str">
            <v>曲柄齒輪及其零件</v>
          </cell>
          <cell r="C7">
            <v>2346491</v>
          </cell>
          <cell r="D7">
            <v>53041</v>
          </cell>
        </row>
        <row r="8">
          <cell r="A8" t="str">
            <v>87149310007</v>
          </cell>
          <cell r="B8" t="str">
            <v>輪轂，但倒煞車輪轂及輪轂煞車除外</v>
          </cell>
          <cell r="C8">
            <v>1131941</v>
          </cell>
          <cell r="D8">
            <v>13230</v>
          </cell>
        </row>
        <row r="9">
          <cell r="A9" t="str">
            <v>87149200304</v>
          </cell>
          <cell r="B9" t="str">
            <v>輪圈及輪幅</v>
          </cell>
          <cell r="C9">
            <v>1012655</v>
          </cell>
          <cell r="D9">
            <v>9934</v>
          </cell>
        </row>
        <row r="10">
          <cell r="A10" t="str">
            <v>87149990166</v>
          </cell>
          <cell r="B10" t="str">
            <v>腳踏車用把手</v>
          </cell>
          <cell r="C10">
            <v>675360</v>
          </cell>
          <cell r="D10">
            <v>19384</v>
          </cell>
        </row>
        <row r="11">
          <cell r="A11" t="str">
            <v>87149990157</v>
          </cell>
          <cell r="B11" t="str">
            <v>腳踏車用座管及上下管</v>
          </cell>
          <cell r="C11">
            <v>379708</v>
          </cell>
          <cell r="D11">
            <v>10149</v>
          </cell>
        </row>
        <row r="12">
          <cell r="A12" t="str">
            <v>87149200108</v>
          </cell>
          <cell r="B12" t="str">
            <v>輪圈</v>
          </cell>
          <cell r="C12">
            <v>362254</v>
          </cell>
          <cell r="D12">
            <v>25625</v>
          </cell>
        </row>
        <row r="13">
          <cell r="A13" t="str">
            <v>87149200206</v>
          </cell>
          <cell r="B13" t="str">
            <v>輪幅</v>
          </cell>
          <cell r="C13">
            <v>335187</v>
          </cell>
          <cell r="D13">
            <v>12729</v>
          </cell>
        </row>
        <row r="14">
          <cell r="A14" t="str">
            <v>87149990148</v>
          </cell>
          <cell r="B14" t="str">
            <v>腳踏車用把手豎管</v>
          </cell>
          <cell r="C14">
            <v>290589</v>
          </cell>
          <cell r="D14">
            <v>6910</v>
          </cell>
        </row>
        <row r="15">
          <cell r="A15" t="str">
            <v>87149610004</v>
          </cell>
          <cell r="B15" t="str">
            <v>踏板及其零件</v>
          </cell>
          <cell r="C15">
            <v>288570</v>
          </cell>
          <cell r="D15">
            <v>19127</v>
          </cell>
        </row>
        <row r="16">
          <cell r="A16" t="str">
            <v>87149500007</v>
          </cell>
          <cell r="B16" t="str">
            <v>腳踏車車座</v>
          </cell>
          <cell r="C16">
            <v>249905</v>
          </cell>
          <cell r="D16">
            <v>7453</v>
          </cell>
        </row>
        <row r="17">
          <cell r="A17" t="str">
            <v>87149320103</v>
          </cell>
          <cell r="B17" t="str">
            <v>裝有棘輪機構之單一鏈輪　</v>
          </cell>
          <cell r="C17">
            <v>125424</v>
          </cell>
          <cell r="D17">
            <v>2752</v>
          </cell>
        </row>
        <row r="18">
          <cell r="A18" t="str">
            <v>87149990139</v>
          </cell>
          <cell r="B18" t="str">
            <v>腳踏車用軸心</v>
          </cell>
          <cell r="C18">
            <v>61321</v>
          </cell>
          <cell r="D18">
            <v>2947</v>
          </cell>
        </row>
        <row r="19">
          <cell r="A19" t="str">
            <v>87149410006</v>
          </cell>
          <cell r="B19" t="str">
            <v>鋼?煞車器及其零件</v>
          </cell>
          <cell r="C19">
            <v>9871</v>
          </cell>
          <cell r="D19">
            <v>443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2022年01至03月
出口金額($US)</v>
          </cell>
          <cell r="D2" t="str">
            <v>2022年01至03月
出口重量(KG)</v>
          </cell>
        </row>
        <row r="3">
          <cell r="A3" t="str">
            <v>87149120007</v>
          </cell>
          <cell r="B3" t="str">
            <v>其他車架及叉及其零件</v>
          </cell>
          <cell r="C3">
            <v>21389083</v>
          </cell>
          <cell r="D3">
            <v>616325</v>
          </cell>
        </row>
        <row r="4">
          <cell r="A4" t="str">
            <v>87149490009</v>
          </cell>
          <cell r="B4" t="str">
            <v>其他煞車器及其零件</v>
          </cell>
          <cell r="C4">
            <v>16792479</v>
          </cell>
          <cell r="D4">
            <v>509808</v>
          </cell>
        </row>
        <row r="5">
          <cell r="A5" t="str">
            <v>87149990111</v>
          </cell>
          <cell r="B5" t="str">
            <v>腳踏車用變速器</v>
          </cell>
          <cell r="C5">
            <v>3543783</v>
          </cell>
          <cell r="D5">
            <v>41303</v>
          </cell>
        </row>
        <row r="6">
          <cell r="A6" t="str">
            <v>87149620002</v>
          </cell>
          <cell r="B6" t="str">
            <v>曲柄齒輪及其零件</v>
          </cell>
          <cell r="C6">
            <v>3274383</v>
          </cell>
          <cell r="D6">
            <v>91797</v>
          </cell>
        </row>
        <row r="7">
          <cell r="A7" t="str">
            <v>87149320005</v>
          </cell>
          <cell r="B7" t="str">
            <v>飛輪之鏈輪</v>
          </cell>
          <cell r="C7">
            <v>2707454</v>
          </cell>
          <cell r="D7">
            <v>77748</v>
          </cell>
        </row>
        <row r="8">
          <cell r="A8" t="str">
            <v>87149310007</v>
          </cell>
          <cell r="B8" t="str">
            <v>輪轂，但倒煞車輪轂及輪轂煞車除外</v>
          </cell>
          <cell r="C8">
            <v>1573823</v>
          </cell>
          <cell r="D8">
            <v>21382</v>
          </cell>
        </row>
        <row r="9">
          <cell r="A9" t="str">
            <v>87149610004</v>
          </cell>
          <cell r="B9" t="str">
            <v>踏板及其零件</v>
          </cell>
          <cell r="C9">
            <v>955220</v>
          </cell>
          <cell r="D9">
            <v>64163</v>
          </cell>
        </row>
        <row r="10">
          <cell r="A10" t="str">
            <v>87149990120</v>
          </cell>
          <cell r="B10" t="str">
            <v>腳踏車用飛輪</v>
          </cell>
          <cell r="C10">
            <v>812965</v>
          </cell>
          <cell r="D10">
            <v>34188</v>
          </cell>
        </row>
        <row r="11">
          <cell r="A11" t="str">
            <v>87149990157</v>
          </cell>
          <cell r="B11" t="str">
            <v>腳踏車用座管及上下管</v>
          </cell>
          <cell r="C11">
            <v>799162</v>
          </cell>
          <cell r="D11">
            <v>17457</v>
          </cell>
        </row>
        <row r="12">
          <cell r="A12" t="str">
            <v>87149200206</v>
          </cell>
          <cell r="B12" t="str">
            <v>輪幅</v>
          </cell>
          <cell r="C12">
            <v>756107</v>
          </cell>
          <cell r="D12">
            <v>31901</v>
          </cell>
        </row>
        <row r="13">
          <cell r="A13" t="str">
            <v>87149990148</v>
          </cell>
          <cell r="B13" t="str">
            <v>腳踏車用把手豎管</v>
          </cell>
          <cell r="C13">
            <v>640627</v>
          </cell>
          <cell r="D13">
            <v>24456</v>
          </cell>
        </row>
        <row r="14">
          <cell r="A14" t="str">
            <v>87149200304</v>
          </cell>
          <cell r="B14" t="str">
            <v>輪圈及輪幅</v>
          </cell>
          <cell r="C14">
            <v>616147</v>
          </cell>
          <cell r="D14">
            <v>6203</v>
          </cell>
        </row>
        <row r="15">
          <cell r="A15" t="str">
            <v>87149990166</v>
          </cell>
          <cell r="B15" t="str">
            <v>腳踏車用把手</v>
          </cell>
          <cell r="C15">
            <v>605492</v>
          </cell>
          <cell r="D15">
            <v>26954</v>
          </cell>
        </row>
        <row r="16">
          <cell r="A16" t="str">
            <v>87149200108</v>
          </cell>
          <cell r="B16" t="str">
            <v>輪圈</v>
          </cell>
          <cell r="C16">
            <v>504450</v>
          </cell>
          <cell r="D16">
            <v>47560</v>
          </cell>
        </row>
        <row r="17">
          <cell r="A17" t="str">
            <v>87149500007</v>
          </cell>
          <cell r="B17" t="str">
            <v>腳踏車車座</v>
          </cell>
          <cell r="C17">
            <v>306504</v>
          </cell>
          <cell r="D17">
            <v>9142</v>
          </cell>
        </row>
        <row r="18">
          <cell r="A18" t="str">
            <v>87149990139</v>
          </cell>
          <cell r="B18" t="str">
            <v>腳踏車用軸心</v>
          </cell>
          <cell r="C18">
            <v>154773</v>
          </cell>
          <cell r="D18">
            <v>7169</v>
          </cell>
        </row>
        <row r="19">
          <cell r="A19" t="str">
            <v>87149920009</v>
          </cell>
          <cell r="B19" t="str">
            <v>車輛用反光片、帶</v>
          </cell>
          <cell r="C19">
            <v>97521</v>
          </cell>
          <cell r="D19">
            <v>2642</v>
          </cell>
        </row>
        <row r="20">
          <cell r="A20" t="str">
            <v>87149910001</v>
          </cell>
          <cell r="B20" t="str">
            <v>邊車零件</v>
          </cell>
          <cell r="C20">
            <v>37661</v>
          </cell>
          <cell r="D20">
            <v>518</v>
          </cell>
        </row>
        <row r="21">
          <cell r="A21" t="str">
            <v>87149410006</v>
          </cell>
          <cell r="B21" t="str">
            <v>鋼?煞車器及其零件</v>
          </cell>
          <cell r="C21">
            <v>7595</v>
          </cell>
          <cell r="D21">
            <v>364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2023年01至03月
進口金額($US)</v>
          </cell>
          <cell r="D2" t="str">
            <v>2023年01至03月
進口重量(KG)</v>
          </cell>
        </row>
        <row r="3">
          <cell r="A3" t="str">
            <v>87149120007</v>
          </cell>
          <cell r="B3" t="str">
            <v>其他車架及叉及其零件</v>
          </cell>
          <cell r="C3">
            <v>83774755</v>
          </cell>
          <cell r="D3">
            <v>1728028</v>
          </cell>
        </row>
        <row r="4">
          <cell r="A4" t="str">
            <v>87149200108</v>
          </cell>
          <cell r="B4" t="str">
            <v>輪圈</v>
          </cell>
          <cell r="C4">
            <v>15805019</v>
          </cell>
          <cell r="D4">
            <v>235633</v>
          </cell>
        </row>
        <row r="5">
          <cell r="A5" t="str">
            <v>87149310007</v>
          </cell>
          <cell r="B5" t="str">
            <v>輪轂，但倒煞車輪轂及輪轂煞車除外</v>
          </cell>
          <cell r="C5">
            <v>8110658</v>
          </cell>
          <cell r="D5">
            <v>297776</v>
          </cell>
        </row>
        <row r="6">
          <cell r="A6" t="str">
            <v>87149990166</v>
          </cell>
          <cell r="B6" t="str">
            <v>腳踏車用把手</v>
          </cell>
          <cell r="C6">
            <v>4131782</v>
          </cell>
          <cell r="D6">
            <v>116256</v>
          </cell>
        </row>
        <row r="7">
          <cell r="A7" t="str">
            <v>87149490009</v>
          </cell>
          <cell r="B7" t="str">
            <v>其他煞車器及其零件</v>
          </cell>
          <cell r="C7">
            <v>3717991</v>
          </cell>
          <cell r="D7">
            <v>197623</v>
          </cell>
        </row>
        <row r="8">
          <cell r="A8" t="str">
            <v>87149990157</v>
          </cell>
          <cell r="B8" t="str">
            <v>腳踏車用座管及上下管</v>
          </cell>
          <cell r="C8">
            <v>3047889</v>
          </cell>
          <cell r="D8">
            <v>123142</v>
          </cell>
        </row>
        <row r="9">
          <cell r="A9" t="str">
            <v>87149620002</v>
          </cell>
          <cell r="B9" t="str">
            <v>曲柄齒輪及其零件</v>
          </cell>
          <cell r="C9">
            <v>2649298</v>
          </cell>
          <cell r="D9">
            <v>258564</v>
          </cell>
        </row>
        <row r="10">
          <cell r="A10" t="str">
            <v>87149500007</v>
          </cell>
          <cell r="B10" t="str">
            <v>腳踏車車座</v>
          </cell>
          <cell r="C10">
            <v>1915863</v>
          </cell>
          <cell r="D10">
            <v>180613</v>
          </cell>
        </row>
        <row r="11">
          <cell r="A11" t="str">
            <v>87149990148</v>
          </cell>
          <cell r="B11" t="str">
            <v>腳踏車用把手豎管</v>
          </cell>
          <cell r="C11">
            <v>1228753</v>
          </cell>
          <cell r="D11">
            <v>59420</v>
          </cell>
        </row>
        <row r="12">
          <cell r="A12" t="str">
            <v>87149320906</v>
          </cell>
          <cell r="B12" t="str">
            <v>其他飛輪之鏈輪</v>
          </cell>
          <cell r="C12">
            <v>1179081</v>
          </cell>
          <cell r="D12">
            <v>85092</v>
          </cell>
        </row>
        <row r="13">
          <cell r="A13" t="str">
            <v>87149990111</v>
          </cell>
          <cell r="B13" t="str">
            <v>腳踏車用變速器</v>
          </cell>
          <cell r="C13">
            <v>1006924</v>
          </cell>
          <cell r="D13">
            <v>40723</v>
          </cell>
        </row>
        <row r="14">
          <cell r="A14" t="str">
            <v>87149200304</v>
          </cell>
          <cell r="B14" t="str">
            <v>輪圈及輪幅</v>
          </cell>
          <cell r="C14">
            <v>497250</v>
          </cell>
          <cell r="D14">
            <v>32488</v>
          </cell>
        </row>
        <row r="15">
          <cell r="A15" t="str">
            <v>87149610004</v>
          </cell>
          <cell r="B15" t="str">
            <v>踏板及其零件</v>
          </cell>
          <cell r="C15">
            <v>459711</v>
          </cell>
          <cell r="D15">
            <v>63992</v>
          </cell>
        </row>
        <row r="16">
          <cell r="A16" t="str">
            <v>87149200206</v>
          </cell>
          <cell r="B16" t="str">
            <v>輪幅</v>
          </cell>
          <cell r="C16">
            <v>220387</v>
          </cell>
          <cell r="D16">
            <v>17207</v>
          </cell>
        </row>
        <row r="17">
          <cell r="A17" t="str">
            <v>87149410006</v>
          </cell>
          <cell r="B17" t="str">
            <v>鋼?煞車器及其零件</v>
          </cell>
          <cell r="C17">
            <v>105400</v>
          </cell>
          <cell r="D17">
            <v>20225</v>
          </cell>
        </row>
        <row r="18">
          <cell r="A18" t="str">
            <v>87149990139</v>
          </cell>
          <cell r="B18" t="str">
            <v>腳踏車用軸心</v>
          </cell>
          <cell r="C18">
            <v>34437</v>
          </cell>
          <cell r="D18">
            <v>6698</v>
          </cell>
        </row>
        <row r="19">
          <cell r="A19" t="str">
            <v>87149320103</v>
          </cell>
          <cell r="B19" t="str">
            <v>裝有棘輪機構之單一鏈輪　</v>
          </cell>
          <cell r="C19">
            <v>17860</v>
          </cell>
          <cell r="D19">
            <v>2137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441352966</v>
          </cell>
          <cell r="D3">
            <v>10680912</v>
          </cell>
        </row>
        <row r="4">
          <cell r="A4">
            <v>87149200108</v>
          </cell>
          <cell r="B4" t="str">
            <v>輪圈</v>
          </cell>
          <cell r="C4">
            <v>84389554</v>
          </cell>
          <cell r="D4">
            <v>1508179</v>
          </cell>
        </row>
        <row r="5">
          <cell r="A5">
            <v>87149310007</v>
          </cell>
          <cell r="B5" t="str">
            <v>輪轂，但倒煞車輪轂及輪轂煞車除外</v>
          </cell>
          <cell r="C5">
            <v>42700251</v>
          </cell>
          <cell r="D5">
            <v>1765133</v>
          </cell>
        </row>
        <row r="6">
          <cell r="A6">
            <v>87149490009</v>
          </cell>
          <cell r="B6" t="str">
            <v>其他煞車器及其零件</v>
          </cell>
          <cell r="C6">
            <v>40621390</v>
          </cell>
          <cell r="D6">
            <v>2639704</v>
          </cell>
        </row>
        <row r="7">
          <cell r="A7">
            <v>87149990166</v>
          </cell>
          <cell r="B7" t="str">
            <v>腳踏車用把手</v>
          </cell>
          <cell r="C7">
            <v>26991886</v>
          </cell>
          <cell r="D7">
            <v>876654</v>
          </cell>
        </row>
        <row r="8">
          <cell r="A8">
            <v>87149500007</v>
          </cell>
          <cell r="B8" t="str">
            <v>腳踏車車座</v>
          </cell>
          <cell r="C8">
            <v>23426391</v>
          </cell>
          <cell r="D8">
            <v>1648936</v>
          </cell>
        </row>
        <row r="9">
          <cell r="A9">
            <v>87149620002</v>
          </cell>
          <cell r="B9" t="str">
            <v>曲柄齒輪及其零件</v>
          </cell>
          <cell r="C9">
            <v>20817775</v>
          </cell>
          <cell r="D9">
            <v>1897643</v>
          </cell>
        </row>
        <row r="10">
          <cell r="A10">
            <v>87149990111</v>
          </cell>
          <cell r="B10" t="str">
            <v>腳踏車用變速器</v>
          </cell>
          <cell r="C10">
            <v>17496359</v>
          </cell>
          <cell r="D10">
            <v>723919</v>
          </cell>
        </row>
        <row r="11">
          <cell r="A11">
            <v>87149990157</v>
          </cell>
          <cell r="B11" t="str">
            <v>腳踏車用座管及上下管</v>
          </cell>
          <cell r="C11">
            <v>17133289</v>
          </cell>
          <cell r="D11">
            <v>808856</v>
          </cell>
        </row>
        <row r="12">
          <cell r="A12">
            <v>87149990148</v>
          </cell>
          <cell r="B12" t="str">
            <v>腳踏車用把手豎管</v>
          </cell>
          <cell r="C12">
            <v>8279263</v>
          </cell>
          <cell r="D12">
            <v>477448</v>
          </cell>
        </row>
        <row r="13">
          <cell r="A13">
            <v>87149610004</v>
          </cell>
          <cell r="B13" t="str">
            <v>踏板及其零件</v>
          </cell>
          <cell r="C13">
            <v>6472619</v>
          </cell>
          <cell r="D13">
            <v>776591</v>
          </cell>
        </row>
        <row r="14">
          <cell r="A14">
            <v>87149320906</v>
          </cell>
          <cell r="B14" t="str">
            <v>其他飛輪之鏈輪</v>
          </cell>
          <cell r="C14">
            <v>4979474</v>
          </cell>
          <cell r="D14">
            <v>397347</v>
          </cell>
        </row>
        <row r="15">
          <cell r="A15">
            <v>87149200304</v>
          </cell>
          <cell r="B15" t="str">
            <v>輪圈及輪幅</v>
          </cell>
          <cell r="C15">
            <v>3634159</v>
          </cell>
          <cell r="D15">
            <v>256974</v>
          </cell>
        </row>
        <row r="16">
          <cell r="A16" t="str">
            <v>87149320005</v>
          </cell>
          <cell r="B16" t="str">
            <v>飛輪之鏈輪</v>
          </cell>
          <cell r="C16">
            <v>1972411</v>
          </cell>
          <cell r="D16">
            <v>192397</v>
          </cell>
        </row>
        <row r="17">
          <cell r="A17">
            <v>87149200206</v>
          </cell>
          <cell r="B17" t="str">
            <v>輪幅</v>
          </cell>
          <cell r="C17">
            <v>1257027</v>
          </cell>
          <cell r="D17">
            <v>82714</v>
          </cell>
        </row>
        <row r="18">
          <cell r="A18">
            <v>87149410006</v>
          </cell>
          <cell r="B18" t="str">
            <v>鋼?煞車器及其零件</v>
          </cell>
          <cell r="C18">
            <v>1013571</v>
          </cell>
          <cell r="D18">
            <v>59172</v>
          </cell>
        </row>
        <row r="19">
          <cell r="A19" t="str">
            <v>87149990120</v>
          </cell>
          <cell r="B19" t="str">
            <v>腳踏車用飛輪</v>
          </cell>
          <cell r="C19">
            <v>842239</v>
          </cell>
          <cell r="D19">
            <v>72951</v>
          </cell>
        </row>
        <row r="20">
          <cell r="A20">
            <v>87149990139</v>
          </cell>
          <cell r="B20" t="str">
            <v>腳踏車用軸心</v>
          </cell>
          <cell r="C20">
            <v>492799</v>
          </cell>
          <cell r="D20">
            <v>103838</v>
          </cell>
        </row>
        <row r="21">
          <cell r="A21">
            <v>87149320103</v>
          </cell>
          <cell r="B21" t="str">
            <v>裝有棘輪機構之單一鏈輪　</v>
          </cell>
          <cell r="C21">
            <v>54855</v>
          </cell>
          <cell r="D21">
            <v>3879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2022年01至03月
進口金額($US)</v>
          </cell>
          <cell r="D2" t="str">
            <v>2022年01至03月
進口重量(KG)</v>
          </cell>
        </row>
        <row r="3">
          <cell r="A3" t="str">
            <v>87149120007</v>
          </cell>
          <cell r="B3" t="str">
            <v>其他車架及叉及其零件</v>
          </cell>
          <cell r="C3">
            <v>107615777</v>
          </cell>
          <cell r="D3">
            <v>2690205</v>
          </cell>
        </row>
        <row r="4">
          <cell r="A4" t="str">
            <v>87149200108</v>
          </cell>
          <cell r="B4" t="str">
            <v>輪圈</v>
          </cell>
          <cell r="C4">
            <v>17401011</v>
          </cell>
          <cell r="D4">
            <v>414229</v>
          </cell>
        </row>
        <row r="5">
          <cell r="A5" t="str">
            <v>87149490009</v>
          </cell>
          <cell r="B5" t="str">
            <v>其他煞車器及其零件</v>
          </cell>
          <cell r="C5">
            <v>12282546</v>
          </cell>
          <cell r="D5">
            <v>779401</v>
          </cell>
        </row>
        <row r="6">
          <cell r="A6" t="str">
            <v>87149310007</v>
          </cell>
          <cell r="B6" t="str">
            <v>輪轂，但倒煞車輪轂及輪轂煞車除外</v>
          </cell>
          <cell r="C6">
            <v>11525109</v>
          </cell>
          <cell r="D6">
            <v>535420</v>
          </cell>
        </row>
        <row r="7">
          <cell r="A7" t="str">
            <v>87149990166</v>
          </cell>
          <cell r="B7" t="str">
            <v>腳踏車用把手</v>
          </cell>
          <cell r="C7">
            <v>6486004</v>
          </cell>
          <cell r="D7">
            <v>215218</v>
          </cell>
        </row>
        <row r="8">
          <cell r="A8" t="str">
            <v>87149620002</v>
          </cell>
          <cell r="B8" t="str">
            <v>曲柄齒輪及其零件</v>
          </cell>
          <cell r="C8">
            <v>6186424</v>
          </cell>
          <cell r="D8">
            <v>644402</v>
          </cell>
        </row>
        <row r="9">
          <cell r="A9" t="str">
            <v>87149500007</v>
          </cell>
          <cell r="B9" t="str">
            <v>腳踏車車座</v>
          </cell>
          <cell r="C9">
            <v>6111889</v>
          </cell>
          <cell r="D9">
            <v>445866</v>
          </cell>
        </row>
        <row r="10">
          <cell r="A10" t="str">
            <v>87149990157</v>
          </cell>
          <cell r="B10" t="str">
            <v>腳踏車用座管及上下管</v>
          </cell>
          <cell r="C10">
            <v>4226592</v>
          </cell>
          <cell r="D10">
            <v>241109</v>
          </cell>
        </row>
        <row r="11">
          <cell r="A11" t="str">
            <v>87149990111</v>
          </cell>
          <cell r="B11" t="str">
            <v>腳踏車用變速器</v>
          </cell>
          <cell r="C11">
            <v>4051058</v>
          </cell>
          <cell r="D11">
            <v>211565</v>
          </cell>
        </row>
        <row r="12">
          <cell r="A12" t="str">
            <v>87149610004</v>
          </cell>
          <cell r="B12" t="str">
            <v>踏板及其零件</v>
          </cell>
          <cell r="C12">
            <v>2489426</v>
          </cell>
          <cell r="D12">
            <v>252539</v>
          </cell>
        </row>
        <row r="13">
          <cell r="A13" t="str">
            <v>87149990148</v>
          </cell>
          <cell r="B13" t="str">
            <v>腳踏車用把手豎管</v>
          </cell>
          <cell r="C13">
            <v>2118201</v>
          </cell>
          <cell r="D13">
            <v>135553</v>
          </cell>
        </row>
        <row r="14">
          <cell r="A14" t="str">
            <v>87149320005</v>
          </cell>
          <cell r="B14" t="str">
            <v>飛輪之鏈輪</v>
          </cell>
          <cell r="C14">
            <v>1837958</v>
          </cell>
          <cell r="D14">
            <v>175900</v>
          </cell>
        </row>
        <row r="15">
          <cell r="A15" t="str">
            <v>87149200304</v>
          </cell>
          <cell r="B15" t="str">
            <v>輪圈及輪幅</v>
          </cell>
          <cell r="C15">
            <v>889986</v>
          </cell>
          <cell r="D15">
            <v>74544</v>
          </cell>
        </row>
        <row r="16">
          <cell r="A16" t="str">
            <v>87149990120</v>
          </cell>
          <cell r="B16" t="str">
            <v>腳踏車用飛輪</v>
          </cell>
          <cell r="C16">
            <v>745258</v>
          </cell>
          <cell r="D16">
            <v>63649</v>
          </cell>
        </row>
        <row r="17">
          <cell r="A17" t="str">
            <v>87149200206</v>
          </cell>
          <cell r="B17" t="str">
            <v>輪幅</v>
          </cell>
          <cell r="C17">
            <v>380016</v>
          </cell>
          <cell r="D17">
            <v>24818</v>
          </cell>
        </row>
        <row r="18">
          <cell r="A18" t="str">
            <v>87149410006</v>
          </cell>
          <cell r="B18" t="str">
            <v>鋼?煞車器及其零件</v>
          </cell>
          <cell r="C18">
            <v>239701</v>
          </cell>
          <cell r="D18">
            <v>12742</v>
          </cell>
        </row>
        <row r="19">
          <cell r="A19" t="str">
            <v>87149990139</v>
          </cell>
          <cell r="B19" t="str">
            <v>腳踏車用軸心</v>
          </cell>
          <cell r="C19">
            <v>181333</v>
          </cell>
          <cell r="D19">
            <v>46336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2023年05月
出口金額($US)</v>
          </cell>
          <cell r="D2" t="str">
            <v>2023年05月
出口重量(KG)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3154775</v>
          </cell>
          <cell r="D3">
            <v>73554</v>
          </cell>
        </row>
        <row r="4">
          <cell r="A4">
            <v>87149990111</v>
          </cell>
          <cell r="B4" t="str">
            <v>腳踏車用變速器</v>
          </cell>
          <cell r="C4">
            <v>2055324</v>
          </cell>
          <cell r="D4">
            <v>16594</v>
          </cell>
        </row>
        <row r="5">
          <cell r="A5">
            <v>87149490009</v>
          </cell>
          <cell r="B5" t="str">
            <v>其他煞車器及其零件</v>
          </cell>
          <cell r="C5">
            <v>2051873</v>
          </cell>
          <cell r="D5">
            <v>45368</v>
          </cell>
        </row>
        <row r="6">
          <cell r="A6">
            <v>87149620002</v>
          </cell>
          <cell r="B6" t="str">
            <v>曲柄齒輪及其零件</v>
          </cell>
          <cell r="C6">
            <v>1081473</v>
          </cell>
          <cell r="D6">
            <v>15446</v>
          </cell>
        </row>
        <row r="7">
          <cell r="A7">
            <v>87149320906</v>
          </cell>
          <cell r="B7" t="str">
            <v>其他飛輪之鏈輪</v>
          </cell>
          <cell r="C7">
            <v>930869</v>
          </cell>
          <cell r="D7">
            <v>28384</v>
          </cell>
        </row>
        <row r="8">
          <cell r="A8">
            <v>87149200304</v>
          </cell>
          <cell r="B8" t="str">
            <v>輪圈及輪幅</v>
          </cell>
          <cell r="C8">
            <v>479910</v>
          </cell>
          <cell r="D8">
            <v>3832</v>
          </cell>
        </row>
        <row r="9">
          <cell r="A9">
            <v>87149990166</v>
          </cell>
          <cell r="B9" t="str">
            <v>腳踏車用把手</v>
          </cell>
          <cell r="C9">
            <v>294694</v>
          </cell>
          <cell r="D9">
            <v>5243</v>
          </cell>
        </row>
        <row r="10">
          <cell r="A10">
            <v>87149610004</v>
          </cell>
          <cell r="B10" t="str">
            <v>踏板及其零件</v>
          </cell>
          <cell r="C10">
            <v>245295</v>
          </cell>
          <cell r="D10">
            <v>10299</v>
          </cell>
        </row>
        <row r="11">
          <cell r="A11">
            <v>87149200206</v>
          </cell>
          <cell r="B11" t="str">
            <v>輪幅</v>
          </cell>
          <cell r="C11">
            <v>199349</v>
          </cell>
          <cell r="D11">
            <v>7401</v>
          </cell>
        </row>
        <row r="12">
          <cell r="A12">
            <v>87149500007</v>
          </cell>
          <cell r="B12" t="str">
            <v>腳踏車車座</v>
          </cell>
          <cell r="C12">
            <v>129013</v>
          </cell>
          <cell r="D12">
            <v>2229</v>
          </cell>
        </row>
        <row r="13">
          <cell r="A13">
            <v>87149310007</v>
          </cell>
          <cell r="B13" t="str">
            <v>輪轂，但倒煞車輪轂及輪轂煞車除外</v>
          </cell>
          <cell r="C13">
            <v>124813</v>
          </cell>
          <cell r="D13">
            <v>1371</v>
          </cell>
        </row>
        <row r="14">
          <cell r="A14">
            <v>87149990157</v>
          </cell>
          <cell r="B14" t="str">
            <v>腳踏車用座管及上下管</v>
          </cell>
          <cell r="C14">
            <v>106351</v>
          </cell>
          <cell r="D14">
            <v>2583</v>
          </cell>
        </row>
        <row r="15">
          <cell r="A15">
            <v>87149200108</v>
          </cell>
          <cell r="B15" t="str">
            <v>輪圈</v>
          </cell>
          <cell r="C15">
            <v>104365</v>
          </cell>
          <cell r="D15">
            <v>5614</v>
          </cell>
        </row>
        <row r="16">
          <cell r="A16">
            <v>87149990148</v>
          </cell>
          <cell r="B16" t="str">
            <v>腳踏車用把手豎管</v>
          </cell>
          <cell r="C16">
            <v>73494</v>
          </cell>
          <cell r="D16">
            <v>1721</v>
          </cell>
        </row>
        <row r="17">
          <cell r="A17">
            <v>87149320103</v>
          </cell>
          <cell r="B17" t="str">
            <v>裝有棘輪機構之單一鏈輪　</v>
          </cell>
          <cell r="C17">
            <v>58939</v>
          </cell>
          <cell r="D17">
            <v>893</v>
          </cell>
        </row>
        <row r="18">
          <cell r="A18">
            <v>87149990139</v>
          </cell>
          <cell r="B18" t="str">
            <v>腳踏車用軸心</v>
          </cell>
          <cell r="C18">
            <v>26897</v>
          </cell>
          <cell r="D18">
            <v>365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2023年05月
進口金額($US)</v>
          </cell>
          <cell r="D2" t="str">
            <v>2023年05月
進口重量(KG)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32064670</v>
          </cell>
          <cell r="D3">
            <v>513553</v>
          </cell>
        </row>
        <row r="4">
          <cell r="A4">
            <v>87149200108</v>
          </cell>
          <cell r="B4" t="str">
            <v>輪圈</v>
          </cell>
          <cell r="C4">
            <v>5881239</v>
          </cell>
          <cell r="D4">
            <v>87635</v>
          </cell>
        </row>
        <row r="5">
          <cell r="A5">
            <v>87149310007</v>
          </cell>
          <cell r="B5" t="str">
            <v>輪轂，但倒煞車輪轂及輪轂煞車除外</v>
          </cell>
          <cell r="C5">
            <v>1991633</v>
          </cell>
          <cell r="D5">
            <v>66357</v>
          </cell>
        </row>
        <row r="6">
          <cell r="A6">
            <v>87149990166</v>
          </cell>
          <cell r="B6" t="str">
            <v>腳踏車用把手</v>
          </cell>
          <cell r="C6">
            <v>1526291</v>
          </cell>
          <cell r="D6">
            <v>31633</v>
          </cell>
        </row>
        <row r="7">
          <cell r="A7">
            <v>87149990157</v>
          </cell>
          <cell r="B7" t="str">
            <v>腳踏車用座管及上下管</v>
          </cell>
          <cell r="C7">
            <v>1006516</v>
          </cell>
          <cell r="D7">
            <v>22288</v>
          </cell>
        </row>
        <row r="8">
          <cell r="A8">
            <v>87149490009</v>
          </cell>
          <cell r="B8" t="str">
            <v>其他煞車器及其零件</v>
          </cell>
          <cell r="C8">
            <v>795323</v>
          </cell>
          <cell r="D8">
            <v>57570</v>
          </cell>
        </row>
        <row r="9">
          <cell r="A9">
            <v>87149620002</v>
          </cell>
          <cell r="B9" t="str">
            <v>曲柄齒輪及其零件</v>
          </cell>
          <cell r="C9">
            <v>670009</v>
          </cell>
          <cell r="D9">
            <v>65693</v>
          </cell>
        </row>
        <row r="10">
          <cell r="A10">
            <v>87149500007</v>
          </cell>
          <cell r="B10" t="str">
            <v>腳踏車車座</v>
          </cell>
          <cell r="C10">
            <v>600528</v>
          </cell>
          <cell r="D10">
            <v>60095</v>
          </cell>
        </row>
        <row r="11">
          <cell r="A11">
            <v>87149200304</v>
          </cell>
          <cell r="B11" t="str">
            <v>輪圈及輪幅</v>
          </cell>
          <cell r="C11">
            <v>468409</v>
          </cell>
          <cell r="D11">
            <v>23206</v>
          </cell>
        </row>
        <row r="12">
          <cell r="A12">
            <v>87149990148</v>
          </cell>
          <cell r="B12" t="str">
            <v>腳踏車用把手豎管</v>
          </cell>
          <cell r="C12">
            <v>370142</v>
          </cell>
          <cell r="D12">
            <v>12756</v>
          </cell>
        </row>
        <row r="13">
          <cell r="A13">
            <v>87149320906</v>
          </cell>
          <cell r="B13" t="str">
            <v>其他飛輪之鏈輪</v>
          </cell>
          <cell r="C13">
            <v>214882</v>
          </cell>
          <cell r="D13">
            <v>15561</v>
          </cell>
        </row>
        <row r="14">
          <cell r="A14">
            <v>87149990111</v>
          </cell>
          <cell r="B14" t="str">
            <v>腳踏車用變速器</v>
          </cell>
          <cell r="C14">
            <v>149512</v>
          </cell>
          <cell r="D14">
            <v>5569</v>
          </cell>
        </row>
        <row r="15">
          <cell r="A15">
            <v>87149200206</v>
          </cell>
          <cell r="B15" t="str">
            <v>輪幅</v>
          </cell>
          <cell r="C15">
            <v>89159</v>
          </cell>
          <cell r="D15">
            <v>5260</v>
          </cell>
        </row>
        <row r="16">
          <cell r="A16">
            <v>87149410006</v>
          </cell>
          <cell r="B16" t="str">
            <v>鋼?煞車器及其零件</v>
          </cell>
          <cell r="C16">
            <v>54022</v>
          </cell>
          <cell r="D16">
            <v>3782</v>
          </cell>
        </row>
        <row r="17">
          <cell r="A17">
            <v>87149610004</v>
          </cell>
          <cell r="B17" t="str">
            <v>踏板及其零件</v>
          </cell>
          <cell r="C17">
            <v>37844</v>
          </cell>
          <cell r="D17">
            <v>8987</v>
          </cell>
        </row>
        <row r="18">
          <cell r="A18">
            <v>87149990139</v>
          </cell>
          <cell r="B18" t="str">
            <v>腳踏車用軸心</v>
          </cell>
          <cell r="C18">
            <v>10844</v>
          </cell>
          <cell r="D18">
            <v>3438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3321</v>
          </cell>
          <cell r="D19">
            <v>146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2023年01至05月
出口金額($US)</v>
          </cell>
          <cell r="D2" t="str">
            <v>2023年01至05月
出口重量(KG)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20118138</v>
          </cell>
          <cell r="D3">
            <v>426663</v>
          </cell>
        </row>
        <row r="4">
          <cell r="A4">
            <v>87149490009</v>
          </cell>
          <cell r="B4" t="str">
            <v>其他煞車器及其零件</v>
          </cell>
          <cell r="C4">
            <v>11640254</v>
          </cell>
          <cell r="D4">
            <v>250949</v>
          </cell>
        </row>
        <row r="5">
          <cell r="A5">
            <v>87149990111</v>
          </cell>
          <cell r="B5" t="str">
            <v>腳踏車用變速器</v>
          </cell>
          <cell r="C5">
            <v>7622320</v>
          </cell>
          <cell r="D5">
            <v>75084</v>
          </cell>
        </row>
        <row r="6">
          <cell r="A6">
            <v>87149620002</v>
          </cell>
          <cell r="B6" t="str">
            <v>曲柄齒輪及其零件</v>
          </cell>
          <cell r="C6">
            <v>4706184</v>
          </cell>
          <cell r="D6">
            <v>96374</v>
          </cell>
        </row>
        <row r="7">
          <cell r="A7">
            <v>87149320906</v>
          </cell>
          <cell r="B7" t="str">
            <v>其他飛輪之鏈輪</v>
          </cell>
          <cell r="C7">
            <v>4622698</v>
          </cell>
          <cell r="D7">
            <v>141199</v>
          </cell>
        </row>
        <row r="8">
          <cell r="A8">
            <v>87149200304</v>
          </cell>
          <cell r="B8" t="str">
            <v>輪圈及輪幅</v>
          </cell>
          <cell r="C8">
            <v>1622101</v>
          </cell>
          <cell r="D8">
            <v>15441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1402419</v>
          </cell>
          <cell r="D9">
            <v>18396</v>
          </cell>
        </row>
        <row r="10">
          <cell r="A10">
            <v>87149990166</v>
          </cell>
          <cell r="B10" t="str">
            <v>腳踏車用把手</v>
          </cell>
          <cell r="C10">
            <v>1152643</v>
          </cell>
          <cell r="D10">
            <v>28601</v>
          </cell>
        </row>
        <row r="11">
          <cell r="A11">
            <v>87149200206</v>
          </cell>
          <cell r="B11" t="str">
            <v>輪幅</v>
          </cell>
          <cell r="C11">
            <v>824089</v>
          </cell>
          <cell r="D11">
            <v>29072</v>
          </cell>
        </row>
        <row r="12">
          <cell r="A12">
            <v>87149990157</v>
          </cell>
          <cell r="B12" t="str">
            <v>腳踏車用座管及上下管</v>
          </cell>
          <cell r="C12">
            <v>717236</v>
          </cell>
          <cell r="D12">
            <v>17441</v>
          </cell>
        </row>
        <row r="13">
          <cell r="A13">
            <v>87149200108</v>
          </cell>
          <cell r="B13" t="str">
            <v>輪圈</v>
          </cell>
          <cell r="C13">
            <v>678709</v>
          </cell>
          <cell r="D13">
            <v>43535</v>
          </cell>
        </row>
        <row r="14">
          <cell r="A14">
            <v>87149610004</v>
          </cell>
          <cell r="B14" t="str">
            <v>踏板及其零件</v>
          </cell>
          <cell r="C14">
            <v>577064</v>
          </cell>
          <cell r="D14">
            <v>35370</v>
          </cell>
        </row>
        <row r="15">
          <cell r="A15">
            <v>87149500007</v>
          </cell>
          <cell r="B15" t="str">
            <v>腳踏車車座</v>
          </cell>
          <cell r="C15">
            <v>471625</v>
          </cell>
          <cell r="D15">
            <v>11631</v>
          </cell>
        </row>
        <row r="16">
          <cell r="A16">
            <v>87149990148</v>
          </cell>
          <cell r="B16" t="str">
            <v>腳踏車用把手豎管</v>
          </cell>
          <cell r="C16">
            <v>447329</v>
          </cell>
          <cell r="D16">
            <v>10430</v>
          </cell>
        </row>
        <row r="17">
          <cell r="A17">
            <v>87149320103</v>
          </cell>
          <cell r="B17" t="str">
            <v>裝有棘輪機構之單一鏈輪　</v>
          </cell>
          <cell r="C17">
            <v>186203</v>
          </cell>
          <cell r="D17">
            <v>3771</v>
          </cell>
        </row>
        <row r="18">
          <cell r="A18">
            <v>87149990139</v>
          </cell>
          <cell r="B18" t="str">
            <v>腳踏車用軸心</v>
          </cell>
          <cell r="C18">
            <v>117686</v>
          </cell>
          <cell r="D18">
            <v>5794</v>
          </cell>
        </row>
        <row r="19">
          <cell r="A19">
            <v>87149410006</v>
          </cell>
          <cell r="B19" t="str">
            <v>鋼?煞車器及其零件</v>
          </cell>
          <cell r="C19">
            <v>9871</v>
          </cell>
          <cell r="D19">
            <v>443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2022年01至05月
出口金額($US)</v>
          </cell>
          <cell r="D2" t="str">
            <v>2022年01至05月
出口重量(KG)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33036250</v>
          </cell>
          <cell r="D3">
            <v>932753</v>
          </cell>
        </row>
        <row r="4">
          <cell r="A4">
            <v>87149490009</v>
          </cell>
          <cell r="B4" t="str">
            <v>其他煞車器及其零件</v>
          </cell>
          <cell r="C4">
            <v>28636091</v>
          </cell>
          <cell r="D4">
            <v>881672</v>
          </cell>
        </row>
        <row r="5">
          <cell r="A5">
            <v>87149990111</v>
          </cell>
          <cell r="B5" t="str">
            <v>腳踏車用變速器</v>
          </cell>
          <cell r="C5">
            <v>6242440</v>
          </cell>
          <cell r="D5">
            <v>68951</v>
          </cell>
        </row>
        <row r="6">
          <cell r="A6">
            <v>87149620002</v>
          </cell>
          <cell r="B6" t="str">
            <v>曲柄齒輪及其零件</v>
          </cell>
          <cell r="C6">
            <v>5302963</v>
          </cell>
          <cell r="D6">
            <v>148482</v>
          </cell>
        </row>
        <row r="7">
          <cell r="A7" t="str">
            <v>87149320005</v>
          </cell>
          <cell r="B7" t="str">
            <v>飛輪之鏈輪</v>
          </cell>
          <cell r="C7">
            <v>3593953</v>
          </cell>
          <cell r="D7">
            <v>100618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3005001</v>
          </cell>
          <cell r="D8">
            <v>35662</v>
          </cell>
        </row>
        <row r="9">
          <cell r="A9">
            <v>87149610004</v>
          </cell>
          <cell r="B9" t="str">
            <v>踏板及其零件</v>
          </cell>
          <cell r="C9">
            <v>1584234</v>
          </cell>
          <cell r="D9">
            <v>96832</v>
          </cell>
        </row>
        <row r="10">
          <cell r="A10">
            <v>87149990157</v>
          </cell>
          <cell r="B10" t="str">
            <v>腳踏車用座管及上下管</v>
          </cell>
          <cell r="C10">
            <v>1538266</v>
          </cell>
          <cell r="D10">
            <v>33259</v>
          </cell>
        </row>
        <row r="11">
          <cell r="A11">
            <v>87149320906</v>
          </cell>
          <cell r="B11" t="str">
            <v>其他飛輪之鏈輪</v>
          </cell>
          <cell r="C11">
            <v>1221584</v>
          </cell>
          <cell r="D11">
            <v>48981</v>
          </cell>
        </row>
        <row r="12">
          <cell r="A12">
            <v>87149200206</v>
          </cell>
          <cell r="B12" t="str">
            <v>輪幅</v>
          </cell>
          <cell r="C12">
            <v>1083448</v>
          </cell>
          <cell r="D12">
            <v>46765</v>
          </cell>
        </row>
        <row r="13">
          <cell r="A13">
            <v>87149990166</v>
          </cell>
          <cell r="B13" t="str">
            <v>腳踏車用把手</v>
          </cell>
          <cell r="C13">
            <v>1081340</v>
          </cell>
          <cell r="D13">
            <v>48809</v>
          </cell>
        </row>
        <row r="14">
          <cell r="A14">
            <v>87149200108</v>
          </cell>
          <cell r="B14" t="str">
            <v>輪圈</v>
          </cell>
          <cell r="C14">
            <v>972636</v>
          </cell>
          <cell r="D14">
            <v>95593</v>
          </cell>
        </row>
        <row r="15">
          <cell r="A15">
            <v>87149200304</v>
          </cell>
          <cell r="B15" t="str">
            <v>輪圈及輪幅</v>
          </cell>
          <cell r="C15">
            <v>964400</v>
          </cell>
          <cell r="D15">
            <v>10756</v>
          </cell>
        </row>
        <row r="16">
          <cell r="A16">
            <v>87149990148</v>
          </cell>
          <cell r="B16" t="str">
            <v>腳踏車用把手豎管</v>
          </cell>
          <cell r="C16">
            <v>959013</v>
          </cell>
          <cell r="D16">
            <v>35497</v>
          </cell>
        </row>
        <row r="17">
          <cell r="A17" t="str">
            <v>87149990120</v>
          </cell>
          <cell r="B17" t="str">
            <v>腳踏車用飛輪</v>
          </cell>
          <cell r="C17">
            <v>939553</v>
          </cell>
          <cell r="D17">
            <v>41729</v>
          </cell>
        </row>
        <row r="18">
          <cell r="A18">
            <v>87149500007</v>
          </cell>
          <cell r="B18" t="str">
            <v>腳踏車車座</v>
          </cell>
          <cell r="C18">
            <v>466503</v>
          </cell>
          <cell r="D18">
            <v>13147</v>
          </cell>
        </row>
        <row r="19">
          <cell r="A19">
            <v>87149990139</v>
          </cell>
          <cell r="B19" t="str">
            <v>腳踏車用軸心</v>
          </cell>
          <cell r="C19">
            <v>252544</v>
          </cell>
          <cell r="D19">
            <v>11300</v>
          </cell>
        </row>
        <row r="20">
          <cell r="A20">
            <v>87149320103</v>
          </cell>
          <cell r="B20" t="str">
            <v>裝有棘輪機構之單一鏈輪　</v>
          </cell>
          <cell r="C20">
            <v>169622</v>
          </cell>
          <cell r="D20">
            <v>3637</v>
          </cell>
        </row>
        <row r="21">
          <cell r="A21">
            <v>87149410006</v>
          </cell>
          <cell r="B21" t="str">
            <v>鋼?煞車器及其零件</v>
          </cell>
          <cell r="C21">
            <v>7595</v>
          </cell>
          <cell r="D21">
            <v>364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2023年01至05月
進口金額($US)</v>
          </cell>
          <cell r="D2" t="str">
            <v>2023年01至05月
進口重量(KG)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143692618</v>
          </cell>
          <cell r="D3">
            <v>2709509</v>
          </cell>
        </row>
        <row r="4">
          <cell r="A4">
            <v>87149200108</v>
          </cell>
          <cell r="B4" t="str">
            <v>輪圈</v>
          </cell>
          <cell r="C4">
            <v>27161460</v>
          </cell>
          <cell r="D4">
            <v>399837</v>
          </cell>
        </row>
        <row r="5">
          <cell r="A5">
            <v>87149310007</v>
          </cell>
          <cell r="B5" t="str">
            <v>輪轂，但倒煞車輪轂及輪轂煞車除外</v>
          </cell>
          <cell r="C5">
            <v>12804758</v>
          </cell>
          <cell r="D5">
            <v>440105</v>
          </cell>
        </row>
        <row r="6">
          <cell r="A6">
            <v>87149990166</v>
          </cell>
          <cell r="B6" t="str">
            <v>腳踏車用把手</v>
          </cell>
          <cell r="C6">
            <v>7327134</v>
          </cell>
          <cell r="D6">
            <v>192877</v>
          </cell>
        </row>
        <row r="7">
          <cell r="A7">
            <v>87149490009</v>
          </cell>
          <cell r="B7" t="str">
            <v>其他煞車器及其零件</v>
          </cell>
          <cell r="C7">
            <v>5405232</v>
          </cell>
          <cell r="D7">
            <v>310720</v>
          </cell>
        </row>
        <row r="8">
          <cell r="A8">
            <v>87149990157</v>
          </cell>
          <cell r="B8" t="str">
            <v>腳踏車用座管及上下管</v>
          </cell>
          <cell r="C8">
            <v>5021740</v>
          </cell>
          <cell r="D8">
            <v>170618</v>
          </cell>
        </row>
        <row r="9">
          <cell r="A9">
            <v>87149620002</v>
          </cell>
          <cell r="B9" t="str">
            <v>曲柄齒輪及其零件</v>
          </cell>
          <cell r="C9">
            <v>4142109</v>
          </cell>
          <cell r="D9">
            <v>386937</v>
          </cell>
        </row>
        <row r="10">
          <cell r="A10">
            <v>87149500007</v>
          </cell>
          <cell r="B10" t="str">
            <v>腳踏車車座</v>
          </cell>
          <cell r="C10">
            <v>3233322</v>
          </cell>
          <cell r="D10">
            <v>307454</v>
          </cell>
        </row>
        <row r="11">
          <cell r="A11">
            <v>87149990148</v>
          </cell>
          <cell r="B11" t="str">
            <v>腳踏車用把手豎管</v>
          </cell>
          <cell r="C11">
            <v>1883635</v>
          </cell>
          <cell r="D11">
            <v>81708</v>
          </cell>
        </row>
        <row r="12">
          <cell r="A12">
            <v>87149320906</v>
          </cell>
          <cell r="B12" t="str">
            <v>其他飛輪之鏈輪</v>
          </cell>
          <cell r="C12">
            <v>1715778</v>
          </cell>
          <cell r="D12">
            <v>126003</v>
          </cell>
        </row>
        <row r="13">
          <cell r="A13">
            <v>87149990111</v>
          </cell>
          <cell r="B13" t="str">
            <v>腳踏車用變速器</v>
          </cell>
          <cell r="C13">
            <v>1534293</v>
          </cell>
          <cell r="D13">
            <v>62477</v>
          </cell>
        </row>
        <row r="14">
          <cell r="A14">
            <v>87149200304</v>
          </cell>
          <cell r="B14" t="str">
            <v>輪圈及輪幅</v>
          </cell>
          <cell r="C14">
            <v>1078957</v>
          </cell>
          <cell r="D14">
            <v>65361</v>
          </cell>
        </row>
        <row r="15">
          <cell r="A15">
            <v>87149610004</v>
          </cell>
          <cell r="B15" t="str">
            <v>踏板及其零件</v>
          </cell>
          <cell r="C15">
            <v>620147</v>
          </cell>
          <cell r="D15">
            <v>98324</v>
          </cell>
        </row>
        <row r="16">
          <cell r="A16">
            <v>87149200206</v>
          </cell>
          <cell r="B16" t="str">
            <v>輪幅</v>
          </cell>
          <cell r="C16">
            <v>358462</v>
          </cell>
          <cell r="D16">
            <v>27991</v>
          </cell>
        </row>
        <row r="17">
          <cell r="A17">
            <v>87149410006</v>
          </cell>
          <cell r="B17" t="str">
            <v>鋼?煞車器及其零件</v>
          </cell>
          <cell r="C17">
            <v>196643</v>
          </cell>
          <cell r="D17">
            <v>26719</v>
          </cell>
        </row>
        <row r="18">
          <cell r="A18">
            <v>87149990139</v>
          </cell>
          <cell r="B18" t="str">
            <v>腳踏車用軸心</v>
          </cell>
          <cell r="C18">
            <v>60326</v>
          </cell>
          <cell r="D18">
            <v>14974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23645</v>
          </cell>
          <cell r="D19">
            <v>2488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2022年01至05月
進口金額($US)</v>
          </cell>
          <cell r="D2" t="str">
            <v>2022年01至05月
進口重量(KG)</v>
          </cell>
          <cell r="E2" t="str">
            <v>2022年01至05月
進口數量</v>
          </cell>
        </row>
        <row r="3">
          <cell r="A3">
            <v>87149120007</v>
          </cell>
          <cell r="B3" t="str">
            <v>其他車架及叉及其零件</v>
          </cell>
          <cell r="C3">
            <v>178538762</v>
          </cell>
          <cell r="D3">
            <v>4534147</v>
          </cell>
          <cell r="E3">
            <v>0</v>
          </cell>
        </row>
        <row r="4">
          <cell r="A4">
            <v>87149200108</v>
          </cell>
          <cell r="B4" t="str">
            <v>輪圈</v>
          </cell>
          <cell r="C4">
            <v>32622447</v>
          </cell>
          <cell r="D4">
            <v>642995</v>
          </cell>
          <cell r="E4">
            <v>1502648</v>
          </cell>
        </row>
        <row r="5">
          <cell r="A5">
            <v>87149490009</v>
          </cell>
          <cell r="B5" t="str">
            <v>其他煞車器及其零件</v>
          </cell>
          <cell r="C5">
            <v>19939512</v>
          </cell>
          <cell r="D5">
            <v>1338437</v>
          </cell>
          <cell r="E5">
            <v>0</v>
          </cell>
        </row>
        <row r="6">
          <cell r="A6">
            <v>87149310007</v>
          </cell>
          <cell r="B6" t="str">
            <v>輪轂，但倒煞車輪轂及輪轂煞車除外</v>
          </cell>
          <cell r="C6">
            <v>16301000</v>
          </cell>
          <cell r="D6">
            <v>787016</v>
          </cell>
          <cell r="E6">
            <v>0</v>
          </cell>
        </row>
        <row r="7">
          <cell r="A7">
            <v>87149990166</v>
          </cell>
          <cell r="B7" t="str">
            <v>腳踏車用把手</v>
          </cell>
          <cell r="C7">
            <v>11117205</v>
          </cell>
          <cell r="D7">
            <v>342835</v>
          </cell>
          <cell r="E7">
            <v>0</v>
          </cell>
        </row>
        <row r="8">
          <cell r="A8">
            <v>87149500007</v>
          </cell>
          <cell r="B8" t="str">
            <v>腳踏車車座</v>
          </cell>
          <cell r="C8">
            <v>10882418</v>
          </cell>
          <cell r="D8">
            <v>754461</v>
          </cell>
          <cell r="E8">
            <v>0</v>
          </cell>
        </row>
        <row r="9">
          <cell r="A9">
            <v>87149620002</v>
          </cell>
          <cell r="B9" t="str">
            <v>曲柄齒輪及其零件</v>
          </cell>
          <cell r="C9">
            <v>8977896</v>
          </cell>
          <cell r="D9">
            <v>920544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7061443</v>
          </cell>
          <cell r="D10">
            <v>362997</v>
          </cell>
          <cell r="E10">
            <v>0</v>
          </cell>
        </row>
        <row r="11">
          <cell r="A11">
            <v>87149990111</v>
          </cell>
          <cell r="B11" t="str">
            <v>腳踏車用變速器</v>
          </cell>
          <cell r="C11">
            <v>6713543</v>
          </cell>
          <cell r="D11">
            <v>323295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3833070</v>
          </cell>
          <cell r="D12">
            <v>431701</v>
          </cell>
          <cell r="E12">
            <v>0</v>
          </cell>
        </row>
        <row r="13">
          <cell r="A13">
            <v>87149990148</v>
          </cell>
          <cell r="B13" t="str">
            <v>腳踏車用把手豎管</v>
          </cell>
          <cell r="C13">
            <v>3495384</v>
          </cell>
          <cell r="D13">
            <v>209744</v>
          </cell>
          <cell r="E13">
            <v>0</v>
          </cell>
        </row>
        <row r="14">
          <cell r="A14" t="str">
            <v>87149320005</v>
          </cell>
          <cell r="B14" t="str">
            <v>飛輪之鏈輪</v>
          </cell>
          <cell r="C14">
            <v>1972411</v>
          </cell>
          <cell r="D14">
            <v>192397</v>
          </cell>
          <cell r="E14">
            <v>0</v>
          </cell>
        </row>
        <row r="15">
          <cell r="A15">
            <v>87149200304</v>
          </cell>
          <cell r="B15" t="str">
            <v>輪圈及輪幅</v>
          </cell>
          <cell r="C15">
            <v>1595980</v>
          </cell>
          <cell r="D15">
            <v>129135</v>
          </cell>
          <cell r="E15">
            <v>366184</v>
          </cell>
        </row>
        <row r="16">
          <cell r="A16">
            <v>87149320906</v>
          </cell>
          <cell r="B16" t="str">
            <v>其他飛輪之鏈輪</v>
          </cell>
          <cell r="C16">
            <v>983838</v>
          </cell>
          <cell r="D16">
            <v>101581</v>
          </cell>
          <cell r="E16">
            <v>0</v>
          </cell>
        </row>
        <row r="17">
          <cell r="A17" t="str">
            <v>87149990120</v>
          </cell>
          <cell r="B17" t="str">
            <v>腳踏車用飛輪</v>
          </cell>
          <cell r="C17">
            <v>842239</v>
          </cell>
          <cell r="D17">
            <v>72951</v>
          </cell>
          <cell r="E17">
            <v>0</v>
          </cell>
        </row>
        <row r="18">
          <cell r="A18">
            <v>87149200206</v>
          </cell>
          <cell r="B18" t="str">
            <v>輪幅</v>
          </cell>
          <cell r="C18">
            <v>681262</v>
          </cell>
          <cell r="D18">
            <v>41867</v>
          </cell>
          <cell r="E18">
            <v>5394598</v>
          </cell>
        </row>
        <row r="19">
          <cell r="A19">
            <v>87149990139</v>
          </cell>
          <cell r="B19" t="str">
            <v>腳踏車用軸心</v>
          </cell>
          <cell r="C19">
            <v>309742</v>
          </cell>
          <cell r="D19">
            <v>74073</v>
          </cell>
          <cell r="E19">
            <v>0</v>
          </cell>
        </row>
        <row r="20">
          <cell r="A20">
            <v>87149410006</v>
          </cell>
          <cell r="B20" t="str">
            <v>鋼?煞車器及其零件</v>
          </cell>
          <cell r="C20">
            <v>307731</v>
          </cell>
          <cell r="D20">
            <v>18948</v>
          </cell>
          <cell r="E20">
            <v>0</v>
          </cell>
        </row>
        <row r="21">
          <cell r="A21">
            <v>87149320103</v>
          </cell>
          <cell r="B21" t="str">
            <v>裝有棘輪機構之單一鏈輪　</v>
          </cell>
          <cell r="C21">
            <v>24305</v>
          </cell>
          <cell r="D21">
            <v>2131</v>
          </cell>
          <cell r="E21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2023年04月
出口金額($US)</v>
          </cell>
          <cell r="D2" t="str">
            <v>2023年04月
出口重量(KG)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4153157</v>
          </cell>
          <cell r="D3">
            <v>81094</v>
          </cell>
        </row>
        <row r="4">
          <cell r="A4">
            <v>87149490009</v>
          </cell>
          <cell r="B4" t="str">
            <v>其他煞車器及其零件</v>
          </cell>
          <cell r="C4">
            <v>2476609</v>
          </cell>
          <cell r="D4">
            <v>48813</v>
          </cell>
        </row>
        <row r="5">
          <cell r="A5">
            <v>87149990111</v>
          </cell>
          <cell r="B5" t="str">
            <v>腳踏車用變速器</v>
          </cell>
          <cell r="C5">
            <v>1760119</v>
          </cell>
          <cell r="D5">
            <v>19562</v>
          </cell>
        </row>
        <row r="6">
          <cell r="A6">
            <v>87149620002</v>
          </cell>
          <cell r="B6" t="str">
            <v>曲柄齒輪及其零件</v>
          </cell>
          <cell r="C6">
            <v>1278220</v>
          </cell>
          <cell r="D6">
            <v>27887</v>
          </cell>
        </row>
        <row r="7">
          <cell r="A7">
            <v>87149320906</v>
          </cell>
          <cell r="B7" t="str">
            <v>其他飛輪之鏈輪</v>
          </cell>
          <cell r="C7">
            <v>1012750</v>
          </cell>
          <cell r="D7">
            <v>27297</v>
          </cell>
        </row>
        <row r="8">
          <cell r="A8">
            <v>87149200206</v>
          </cell>
          <cell r="B8" t="str">
            <v>輪幅</v>
          </cell>
          <cell r="C8">
            <v>289553</v>
          </cell>
          <cell r="D8">
            <v>8942</v>
          </cell>
        </row>
        <row r="9">
          <cell r="A9">
            <v>87149990157</v>
          </cell>
          <cell r="B9" t="str">
            <v>腳踏車用座管及上下管</v>
          </cell>
          <cell r="C9">
            <v>231177</v>
          </cell>
          <cell r="D9">
            <v>4709</v>
          </cell>
        </row>
        <row r="10">
          <cell r="A10">
            <v>87149200108</v>
          </cell>
          <cell r="B10" t="str">
            <v>輪圈</v>
          </cell>
          <cell r="C10">
            <v>212090</v>
          </cell>
          <cell r="D10">
            <v>12296</v>
          </cell>
        </row>
        <row r="11">
          <cell r="A11">
            <v>87149990166</v>
          </cell>
          <cell r="B11" t="str">
            <v>腳踏車用把手</v>
          </cell>
          <cell r="C11">
            <v>182589</v>
          </cell>
          <cell r="D11">
            <v>3974</v>
          </cell>
        </row>
        <row r="12">
          <cell r="A12">
            <v>87149310007</v>
          </cell>
          <cell r="B12" t="str">
            <v>輪轂，但倒煞車輪轂及輪轂煞車除外</v>
          </cell>
          <cell r="C12">
            <v>145665</v>
          </cell>
          <cell r="D12">
            <v>3795</v>
          </cell>
        </row>
        <row r="13">
          <cell r="A13">
            <v>87149200304</v>
          </cell>
          <cell r="B13" t="str">
            <v>輪圈及輪幅</v>
          </cell>
          <cell r="C13">
            <v>129536</v>
          </cell>
          <cell r="D13">
            <v>1675</v>
          </cell>
        </row>
        <row r="14">
          <cell r="A14">
            <v>87149500007</v>
          </cell>
          <cell r="B14" t="str">
            <v>腳踏車車座</v>
          </cell>
          <cell r="C14">
            <v>92707</v>
          </cell>
          <cell r="D14">
            <v>1949</v>
          </cell>
        </row>
        <row r="15">
          <cell r="A15">
            <v>87149990148</v>
          </cell>
          <cell r="B15" t="str">
            <v>腳踏車用把手豎管</v>
          </cell>
          <cell r="C15">
            <v>83246</v>
          </cell>
          <cell r="D15">
            <v>1799</v>
          </cell>
        </row>
        <row r="16">
          <cell r="A16">
            <v>87149610004</v>
          </cell>
          <cell r="B16" t="str">
            <v>踏板及其零件</v>
          </cell>
          <cell r="C16">
            <v>43199</v>
          </cell>
          <cell r="D16">
            <v>5944</v>
          </cell>
        </row>
        <row r="17">
          <cell r="A17">
            <v>87149990139</v>
          </cell>
          <cell r="B17" t="str">
            <v>腳踏車用軸心</v>
          </cell>
          <cell r="C17">
            <v>29468</v>
          </cell>
          <cell r="D17">
            <v>2482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1840</v>
          </cell>
          <cell r="D18">
            <v>126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765BC"/>
    <pageSetUpPr fitToPage="1"/>
  </sheetPr>
  <dimension ref="A1:J89"/>
  <sheetViews>
    <sheetView tabSelected="1" zoomScaleNormal="10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7.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8.875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8.875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8.875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8.875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8.875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8.875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8.875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8.875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8.875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8.875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8.875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8.875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8.875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8.875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8.875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8.875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8.875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8.875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8.875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8.875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8.875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8.875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8.875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8.875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8.875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8.875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8.875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8.875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8.875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8.875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8.875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8.875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8.875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8.875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8.875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8.875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8.875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8.875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8.875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8.875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8.875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8.875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8.875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8.875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8.875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8.875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8.875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8.875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8.875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8.875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8.875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8.875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8.875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8.875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8.875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8.875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8.875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8.875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8.875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8.875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8.875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8.875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8.875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8.875" style="3"/>
  </cols>
  <sheetData>
    <row r="1" spans="1:10" s="1" customFormat="1" ht="23.25" customHeight="1">
      <c r="A1" s="130" t="s">
        <v>359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137</v>
      </c>
      <c r="B3" s="6" t="s">
        <v>138</v>
      </c>
      <c r="C3" s="110" t="s">
        <v>346</v>
      </c>
      <c r="D3" s="111" t="s">
        <v>347</v>
      </c>
      <c r="E3" s="112" t="s">
        <v>2</v>
      </c>
      <c r="F3" s="113" t="s">
        <v>348</v>
      </c>
      <c r="G3" s="114" t="s">
        <v>349</v>
      </c>
      <c r="H3" s="9" t="s">
        <v>144</v>
      </c>
      <c r="I3" s="56" t="s">
        <v>145</v>
      </c>
      <c r="J3" s="56" t="s">
        <v>146</v>
      </c>
    </row>
    <row r="4" spans="1:10" ht="15" customHeight="1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206</v>
      </c>
      <c r="B5" s="22" t="s">
        <v>147</v>
      </c>
      <c r="C5" s="23">
        <v>127</v>
      </c>
      <c r="D5" s="23">
        <v>3816</v>
      </c>
      <c r="E5" s="101">
        <v>-3689</v>
      </c>
      <c r="F5" s="23">
        <v>182957</v>
      </c>
      <c r="G5" s="23">
        <v>222889</v>
      </c>
      <c r="H5" s="84">
        <v>-39932</v>
      </c>
      <c r="I5" s="25">
        <v>1440.6062992125985</v>
      </c>
      <c r="J5" s="25">
        <v>58.409067085953879</v>
      </c>
    </row>
    <row r="6" spans="1:10" ht="16.5">
      <c r="A6" s="26" t="s">
        <v>205</v>
      </c>
      <c r="B6" s="27" t="s">
        <v>148</v>
      </c>
      <c r="C6" s="23">
        <v>0</v>
      </c>
      <c r="D6" s="23">
        <v>3128</v>
      </c>
      <c r="E6" s="101">
        <v>-3128</v>
      </c>
      <c r="F6" s="23">
        <v>0</v>
      </c>
      <c r="G6" s="23">
        <v>208998</v>
      </c>
      <c r="H6" s="84">
        <v>-208998</v>
      </c>
      <c r="I6" s="25">
        <v>0</v>
      </c>
      <c r="J6" s="25">
        <v>66.815217391304344</v>
      </c>
    </row>
    <row r="7" spans="1:10" ht="16.5">
      <c r="A7" s="21" t="s">
        <v>149</v>
      </c>
      <c r="B7" s="28" t="s">
        <v>150</v>
      </c>
      <c r="C7" s="29">
        <v>0</v>
      </c>
      <c r="D7" s="23">
        <v>2632</v>
      </c>
      <c r="E7" s="101">
        <v>-2632</v>
      </c>
      <c r="F7" s="23">
        <v>0</v>
      </c>
      <c r="G7" s="23">
        <v>150109</v>
      </c>
      <c r="H7" s="84">
        <v>-150109</v>
      </c>
      <c r="I7" s="25">
        <v>0</v>
      </c>
      <c r="J7" s="25">
        <v>57.03229483282675</v>
      </c>
    </row>
    <row r="8" spans="1:10" ht="16.5">
      <c r="A8" s="21" t="s">
        <v>151</v>
      </c>
      <c r="B8" s="28" t="s">
        <v>152</v>
      </c>
      <c r="C8" s="23">
        <v>4</v>
      </c>
      <c r="D8" s="23">
        <v>4208</v>
      </c>
      <c r="E8" s="101">
        <v>-4204</v>
      </c>
      <c r="F8" s="23">
        <v>1844</v>
      </c>
      <c r="G8" s="23">
        <v>386358</v>
      </c>
      <c r="H8" s="84">
        <v>-384514</v>
      </c>
      <c r="I8" s="25">
        <v>461</v>
      </c>
      <c r="J8" s="25">
        <v>91.815114068441062</v>
      </c>
    </row>
    <row r="9" spans="1:10" ht="16.5">
      <c r="A9" s="21" t="s">
        <v>153</v>
      </c>
      <c r="B9" s="28" t="s">
        <v>154</v>
      </c>
      <c r="C9" s="23">
        <v>1321</v>
      </c>
      <c r="D9" s="23">
        <v>1552</v>
      </c>
      <c r="E9" s="101">
        <v>-231</v>
      </c>
      <c r="F9" s="23">
        <v>1755801</v>
      </c>
      <c r="G9" s="23">
        <v>144004</v>
      </c>
      <c r="H9" s="84">
        <v>1611797</v>
      </c>
      <c r="I9" s="25">
        <v>1329.1453444360334</v>
      </c>
      <c r="J9" s="25">
        <v>92.786082474226802</v>
      </c>
    </row>
    <row r="10" spans="1:10" ht="16.5">
      <c r="A10" s="21" t="s">
        <v>155</v>
      </c>
      <c r="B10" s="28" t="s">
        <v>156</v>
      </c>
      <c r="C10" s="23">
        <v>5624</v>
      </c>
      <c r="D10" s="23">
        <v>1097</v>
      </c>
      <c r="E10" s="101">
        <v>4527</v>
      </c>
      <c r="F10" s="23">
        <v>8767060</v>
      </c>
      <c r="G10" s="23">
        <v>460193</v>
      </c>
      <c r="H10" s="84">
        <v>8306867</v>
      </c>
      <c r="I10" s="25">
        <v>1558.8655761024181</v>
      </c>
      <c r="J10" s="25">
        <v>419.50136736554236</v>
      </c>
    </row>
    <row r="11" spans="1:10" ht="17.25" thickBot="1">
      <c r="A11" s="48" t="s">
        <v>157</v>
      </c>
      <c r="B11" s="70" t="s">
        <v>158</v>
      </c>
      <c r="C11" s="63">
        <v>7076</v>
      </c>
      <c r="D11" s="63">
        <v>16433</v>
      </c>
      <c r="E11" s="100">
        <v>-9357</v>
      </c>
      <c r="F11" s="63">
        <v>10707662</v>
      </c>
      <c r="G11" s="63">
        <v>1572551</v>
      </c>
      <c r="H11" s="82">
        <v>9135111</v>
      </c>
      <c r="I11" s="102">
        <v>1513.236574335783</v>
      </c>
      <c r="J11" s="72">
        <v>95.694699689648871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207</v>
      </c>
      <c r="B13" s="22" t="s">
        <v>159</v>
      </c>
      <c r="C13" s="23">
        <v>0</v>
      </c>
      <c r="D13" s="23">
        <v>5</v>
      </c>
      <c r="E13" s="101">
        <v>-5</v>
      </c>
      <c r="F13" s="23">
        <v>0</v>
      </c>
      <c r="G13" s="23">
        <v>668</v>
      </c>
      <c r="H13" s="103">
        <v>-668</v>
      </c>
      <c r="I13" s="25">
        <v>0</v>
      </c>
      <c r="J13" s="25">
        <v>133.6</v>
      </c>
    </row>
    <row r="14" spans="1:10" ht="17.25" thickBot="1">
      <c r="A14" s="106" t="s">
        <v>160</v>
      </c>
      <c r="B14" s="105" t="s">
        <v>80</v>
      </c>
      <c r="C14" s="63">
        <v>7076</v>
      </c>
      <c r="D14" s="63">
        <v>16438</v>
      </c>
      <c r="E14" s="80">
        <v>-9362</v>
      </c>
      <c r="F14" s="63">
        <v>10707662</v>
      </c>
      <c r="G14" s="63">
        <v>1573219</v>
      </c>
      <c r="H14" s="107">
        <v>9134443</v>
      </c>
      <c r="I14" s="72">
        <v>1513.236574335783</v>
      </c>
      <c r="J14" s="104">
        <v>95.706229468305153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350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110" t="s">
        <v>346</v>
      </c>
      <c r="D18" s="111" t="s">
        <v>347</v>
      </c>
      <c r="E18" s="112" t="s">
        <v>2</v>
      </c>
      <c r="F18" s="113" t="s">
        <v>348</v>
      </c>
      <c r="G18" s="114" t="s">
        <v>349</v>
      </c>
      <c r="H18" s="9" t="s">
        <v>144</v>
      </c>
      <c r="I18" s="44"/>
      <c r="J18" s="44"/>
    </row>
    <row r="19" spans="1:10">
      <c r="A19" s="13"/>
      <c r="B19" s="14"/>
      <c r="C19" s="15" t="s">
        <v>161</v>
      </c>
      <c r="D19" s="15" t="s">
        <v>161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208</v>
      </c>
      <c r="B20" s="22" t="s">
        <v>162</v>
      </c>
      <c r="C20" s="23">
        <v>148</v>
      </c>
      <c r="D20" s="23">
        <v>2854</v>
      </c>
      <c r="E20" s="24">
        <v>-2706</v>
      </c>
      <c r="F20" s="23">
        <v>13673</v>
      </c>
      <c r="G20" s="23">
        <v>144494</v>
      </c>
      <c r="H20" s="24">
        <v>-130821</v>
      </c>
      <c r="I20" s="4"/>
      <c r="J20" s="4"/>
    </row>
    <row r="21" spans="1:10">
      <c r="A21" s="46" t="s">
        <v>209</v>
      </c>
      <c r="B21" s="22" t="s">
        <v>163</v>
      </c>
      <c r="C21" s="23">
        <v>0</v>
      </c>
      <c r="D21" s="23">
        <v>957</v>
      </c>
      <c r="E21" s="24">
        <v>-957</v>
      </c>
      <c r="F21" s="23">
        <v>0</v>
      </c>
      <c r="G21" s="23">
        <v>44548</v>
      </c>
      <c r="H21" s="24">
        <v>-44548</v>
      </c>
      <c r="I21" s="4"/>
      <c r="J21" s="4"/>
    </row>
    <row r="22" spans="1:10">
      <c r="A22" s="46" t="s">
        <v>258</v>
      </c>
      <c r="B22" s="22" t="s">
        <v>164</v>
      </c>
      <c r="C22" s="23">
        <v>89629</v>
      </c>
      <c r="D22" s="23">
        <v>267297</v>
      </c>
      <c r="E22" s="24">
        <v>-177668</v>
      </c>
      <c r="F22" s="23">
        <v>5424548</v>
      </c>
      <c r="G22" s="23">
        <v>17921487</v>
      </c>
      <c r="H22" s="24">
        <v>-12496939</v>
      </c>
      <c r="I22" s="4"/>
      <c r="J22" s="4"/>
    </row>
    <row r="23" spans="1:10">
      <c r="A23" s="46" t="s">
        <v>345</v>
      </c>
      <c r="B23" s="22" t="s">
        <v>165</v>
      </c>
      <c r="C23" s="23">
        <v>14161</v>
      </c>
      <c r="D23" s="23">
        <v>40103</v>
      </c>
      <c r="E23" s="24">
        <v>-25942</v>
      </c>
      <c r="F23" s="23">
        <v>261972</v>
      </c>
      <c r="G23" s="23">
        <v>4250875</v>
      </c>
      <c r="H23" s="24">
        <v>-3988903</v>
      </c>
      <c r="I23" s="4"/>
      <c r="J23" s="4"/>
    </row>
    <row r="24" spans="1:10">
      <c r="A24" s="46">
        <v>87149200206</v>
      </c>
      <c r="B24" s="22" t="s">
        <v>166</v>
      </c>
      <c r="C24" s="23">
        <v>19505</v>
      </c>
      <c r="D24" s="23">
        <v>6669</v>
      </c>
      <c r="E24" s="24">
        <v>12836</v>
      </c>
      <c r="F24" s="23">
        <v>490747</v>
      </c>
      <c r="G24" s="23">
        <v>120794</v>
      </c>
      <c r="H24" s="24">
        <v>369953</v>
      </c>
      <c r="I24" s="4"/>
      <c r="J24" s="4"/>
    </row>
    <row r="25" spans="1:10">
      <c r="A25" s="46">
        <v>87149200304</v>
      </c>
      <c r="B25" s="22" t="s">
        <v>167</v>
      </c>
      <c r="C25" s="23">
        <v>4777</v>
      </c>
      <c r="D25" s="23">
        <v>3399</v>
      </c>
      <c r="E25" s="24">
        <v>1378</v>
      </c>
      <c r="F25" s="23">
        <v>885976</v>
      </c>
      <c r="G25" s="23">
        <v>303402</v>
      </c>
      <c r="H25" s="24">
        <v>582574</v>
      </c>
      <c r="I25" s="4"/>
      <c r="J25" s="4"/>
    </row>
    <row r="26" spans="1:10">
      <c r="A26" s="46">
        <v>87149310007</v>
      </c>
      <c r="B26" s="22" t="s">
        <v>168</v>
      </c>
      <c r="C26" s="23">
        <v>4693</v>
      </c>
      <c r="D26" s="23">
        <v>36994</v>
      </c>
      <c r="E26" s="24">
        <v>-32301</v>
      </c>
      <c r="F26" s="23">
        <v>451703</v>
      </c>
      <c r="G26" s="23">
        <v>1228682</v>
      </c>
      <c r="H26" s="24">
        <v>-776979</v>
      </c>
      <c r="I26" s="4"/>
      <c r="J26" s="4"/>
    </row>
    <row r="27" spans="1:10">
      <c r="A27" s="46">
        <v>87149320103</v>
      </c>
      <c r="B27" s="22" t="s">
        <v>169</v>
      </c>
      <c r="C27" s="23">
        <v>0</v>
      </c>
      <c r="D27" s="23">
        <v>237</v>
      </c>
      <c r="E27" s="24">
        <v>-237</v>
      </c>
      <c r="F27" s="23">
        <v>0</v>
      </c>
      <c r="G27" s="23">
        <v>3085</v>
      </c>
      <c r="H27" s="24">
        <v>-3085</v>
      </c>
      <c r="I27" s="4"/>
      <c r="J27" s="4"/>
    </row>
    <row r="28" spans="1:10">
      <c r="A28" s="46">
        <v>87149410006</v>
      </c>
      <c r="B28" s="22" t="s">
        <v>170</v>
      </c>
      <c r="C28" s="23">
        <v>0</v>
      </c>
      <c r="D28" s="23">
        <v>279</v>
      </c>
      <c r="E28" s="24">
        <v>-279</v>
      </c>
      <c r="F28" s="23">
        <v>0</v>
      </c>
      <c r="G28" s="23">
        <v>2703</v>
      </c>
      <c r="H28" s="24">
        <v>-2703</v>
      </c>
      <c r="I28" s="4"/>
      <c r="J28" s="4"/>
    </row>
    <row r="29" spans="1:10">
      <c r="A29" s="46">
        <v>87149490009</v>
      </c>
      <c r="B29" s="22" t="s">
        <v>171</v>
      </c>
      <c r="C29" s="23">
        <v>68783</v>
      </c>
      <c r="D29" s="23">
        <v>66021</v>
      </c>
      <c r="E29" s="24">
        <v>2762</v>
      </c>
      <c r="F29" s="23">
        <v>2413163</v>
      </c>
      <c r="G29" s="23">
        <v>762968</v>
      </c>
      <c r="H29" s="24">
        <v>1650195</v>
      </c>
      <c r="I29" s="4"/>
      <c r="J29" s="4"/>
    </row>
    <row r="30" spans="1:10">
      <c r="A30" s="46">
        <v>87149500007</v>
      </c>
      <c r="B30" s="22" t="s">
        <v>172</v>
      </c>
      <c r="C30" s="23">
        <v>4552</v>
      </c>
      <c r="D30" s="23">
        <v>32741</v>
      </c>
      <c r="E30" s="24">
        <v>-28189</v>
      </c>
      <c r="F30" s="23">
        <v>158380</v>
      </c>
      <c r="G30" s="23">
        <v>355329</v>
      </c>
      <c r="H30" s="24">
        <v>-196949</v>
      </c>
      <c r="I30" s="4"/>
      <c r="J30" s="4"/>
    </row>
    <row r="31" spans="1:10">
      <c r="A31" s="46">
        <v>87149610004</v>
      </c>
      <c r="B31" s="22" t="s">
        <v>173</v>
      </c>
      <c r="C31" s="23">
        <v>12488</v>
      </c>
      <c r="D31" s="23">
        <v>22537</v>
      </c>
      <c r="E31" s="24">
        <v>-10049</v>
      </c>
      <c r="F31" s="23">
        <v>167251</v>
      </c>
      <c r="G31" s="23">
        <v>93717</v>
      </c>
      <c r="H31" s="24">
        <v>73534</v>
      </c>
      <c r="I31" s="4"/>
      <c r="J31" s="4"/>
    </row>
    <row r="32" spans="1:10">
      <c r="A32" s="46">
        <v>87149620002</v>
      </c>
      <c r="B32" s="22" t="s">
        <v>174</v>
      </c>
      <c r="C32" s="23">
        <v>14928</v>
      </c>
      <c r="D32" s="23">
        <v>32938</v>
      </c>
      <c r="E32" s="24">
        <v>-18010</v>
      </c>
      <c r="F32" s="23">
        <v>734118</v>
      </c>
      <c r="G32" s="23">
        <v>451320</v>
      </c>
      <c r="H32" s="24">
        <v>282798</v>
      </c>
      <c r="I32" s="4"/>
      <c r="J32" s="4"/>
    </row>
    <row r="33" spans="1:10">
      <c r="A33" s="46" t="s">
        <v>210</v>
      </c>
      <c r="B33" s="22" t="s">
        <v>175</v>
      </c>
      <c r="C33" s="23">
        <v>3611</v>
      </c>
      <c r="D33" s="23">
        <v>35327</v>
      </c>
      <c r="E33" s="24">
        <v>-31716</v>
      </c>
      <c r="F33" s="23">
        <v>119587</v>
      </c>
      <c r="G33" s="23">
        <v>124301</v>
      </c>
      <c r="H33" s="24">
        <v>-4714</v>
      </c>
      <c r="I33" s="4"/>
      <c r="J33" s="4"/>
    </row>
    <row r="34" spans="1:10">
      <c r="A34" s="46">
        <v>87149990111</v>
      </c>
      <c r="B34" s="22" t="s">
        <v>176</v>
      </c>
      <c r="C34" s="23">
        <v>7349</v>
      </c>
      <c r="D34" s="23">
        <v>22831</v>
      </c>
      <c r="E34" s="24">
        <v>-15482</v>
      </c>
      <c r="F34" s="23">
        <v>740094</v>
      </c>
      <c r="G34" s="23">
        <v>391545</v>
      </c>
      <c r="H34" s="24">
        <v>348549</v>
      </c>
      <c r="I34" s="4"/>
      <c r="J34" s="4"/>
    </row>
    <row r="35" spans="1:10">
      <c r="A35" s="46">
        <v>87149320906</v>
      </c>
      <c r="B35" s="22" t="s">
        <v>177</v>
      </c>
      <c r="C35" s="23">
        <v>18172</v>
      </c>
      <c r="D35" s="23">
        <v>5968</v>
      </c>
      <c r="E35" s="24">
        <v>12204</v>
      </c>
      <c r="F35" s="23">
        <v>561463</v>
      </c>
      <c r="G35" s="23">
        <v>57869</v>
      </c>
      <c r="H35" s="24">
        <v>503594</v>
      </c>
      <c r="I35" s="4"/>
      <c r="J35" s="4"/>
    </row>
    <row r="36" spans="1:10">
      <c r="A36" s="46">
        <v>87149990139</v>
      </c>
      <c r="B36" s="22" t="s">
        <v>178</v>
      </c>
      <c r="C36" s="23">
        <v>498</v>
      </c>
      <c r="D36" s="23">
        <v>3258</v>
      </c>
      <c r="E36" s="24">
        <v>-2760</v>
      </c>
      <c r="F36" s="23">
        <v>20603</v>
      </c>
      <c r="G36" s="23">
        <v>6287</v>
      </c>
      <c r="H36" s="24">
        <v>14316</v>
      </c>
      <c r="I36" s="4"/>
      <c r="J36" s="4"/>
    </row>
    <row r="37" spans="1:10">
      <c r="A37" s="46">
        <v>87149990148</v>
      </c>
      <c r="B37" s="22" t="s">
        <v>179</v>
      </c>
      <c r="C37" s="23">
        <v>4869</v>
      </c>
      <c r="D37" s="23">
        <v>12825</v>
      </c>
      <c r="E37" s="24">
        <v>-7956</v>
      </c>
      <c r="F37" s="23">
        <v>180703</v>
      </c>
      <c r="G37" s="23">
        <v>353003</v>
      </c>
      <c r="H37" s="24">
        <v>-172300</v>
      </c>
      <c r="I37" s="4"/>
      <c r="J37" s="4"/>
    </row>
    <row r="38" spans="1:10">
      <c r="A38" s="46">
        <v>87149990157</v>
      </c>
      <c r="B38" s="22" t="s">
        <v>180</v>
      </c>
      <c r="C38" s="23">
        <v>4959</v>
      </c>
      <c r="D38" s="23">
        <v>21019</v>
      </c>
      <c r="E38" s="24">
        <v>-16060</v>
      </c>
      <c r="F38" s="23">
        <v>179426</v>
      </c>
      <c r="G38" s="23">
        <v>833659</v>
      </c>
      <c r="H38" s="24">
        <v>-654233</v>
      </c>
      <c r="I38" s="4"/>
      <c r="J38" s="4"/>
    </row>
    <row r="39" spans="1:10">
      <c r="A39" s="46" t="s">
        <v>259</v>
      </c>
      <c r="B39" s="22" t="s">
        <v>181</v>
      </c>
      <c r="C39" s="23">
        <v>11027</v>
      </c>
      <c r="D39" s="23">
        <v>23690</v>
      </c>
      <c r="E39" s="24">
        <v>-12663</v>
      </c>
      <c r="F39" s="23">
        <v>563978</v>
      </c>
      <c r="G39" s="23">
        <v>1338537</v>
      </c>
      <c r="H39" s="24">
        <v>-774559</v>
      </c>
      <c r="I39" s="4"/>
      <c r="J39" s="4"/>
    </row>
    <row r="40" spans="1:10">
      <c r="A40" s="46" t="s">
        <v>211</v>
      </c>
      <c r="B40" s="22" t="s">
        <v>182</v>
      </c>
      <c r="C40" s="23">
        <v>55885</v>
      </c>
      <c r="D40" s="23">
        <v>28283</v>
      </c>
      <c r="E40" s="24">
        <v>27602</v>
      </c>
      <c r="F40" s="23">
        <v>1114722</v>
      </c>
      <c r="G40" s="23">
        <v>187028</v>
      </c>
      <c r="H40" s="24">
        <v>927694</v>
      </c>
      <c r="I40" s="4"/>
      <c r="J40" s="4"/>
    </row>
    <row r="41" spans="1:10">
      <c r="A41" s="46" t="s">
        <v>212</v>
      </c>
      <c r="B41" s="22" t="s">
        <v>183</v>
      </c>
      <c r="C41" s="23">
        <v>1443</v>
      </c>
      <c r="D41" s="23">
        <v>11203</v>
      </c>
      <c r="E41" s="24">
        <v>-9760</v>
      </c>
      <c r="F41" s="23">
        <v>12242</v>
      </c>
      <c r="G41" s="23">
        <v>62156</v>
      </c>
      <c r="H41" s="24">
        <v>-49914</v>
      </c>
      <c r="I41" s="4"/>
      <c r="J41" s="4"/>
    </row>
    <row r="42" spans="1:10" ht="18.75" customHeight="1" thickBot="1">
      <c r="A42" s="132" t="s">
        <v>160</v>
      </c>
      <c r="B42" s="133"/>
      <c r="C42" s="50">
        <v>341477</v>
      </c>
      <c r="D42" s="50">
        <v>677430</v>
      </c>
      <c r="E42" s="51">
        <v>-335953</v>
      </c>
      <c r="F42" s="50">
        <v>14494349</v>
      </c>
      <c r="G42" s="50">
        <v>29037789</v>
      </c>
      <c r="H42" s="51">
        <v>-14543440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360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</sheetPr>
  <dimension ref="A1:K46"/>
  <sheetViews>
    <sheetView topLeftCell="A19" zoomScaleNormal="100" workbookViewId="0">
      <selection activeCell="I22" sqref="I22"/>
    </sheetView>
  </sheetViews>
  <sheetFormatPr defaultRowHeight="15.75"/>
  <cols>
    <col min="1" max="1" width="14.5" style="2" customWidth="1"/>
    <col min="2" max="2" width="26.375" style="3" customWidth="1"/>
    <col min="3" max="3" width="15.5" style="4" customWidth="1"/>
    <col min="4" max="4" width="16.2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8.875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8.875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8.875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8.875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8.875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8.875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8.875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8.875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8.875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8.875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8.875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8.875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8.875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8.875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8.875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8.875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8.875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8.875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8.875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8.875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8.875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8.875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8.875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8.875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8.875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8.875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8.875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8.875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8.875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8.875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8.875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8.875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8.875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8.875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8.875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8.875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8.875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8.875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8.875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8.875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8.875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8.875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8.875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8.875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8.875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8.875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8.875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8.875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8.875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8.875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8.875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8.875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8.875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8.875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8.875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8.875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8.875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8.875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8.875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8.875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8.875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8.875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8.875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8.875" style="3"/>
  </cols>
  <sheetData>
    <row r="1" spans="1:11" s="42" customFormat="1" ht="19.5">
      <c r="A1" s="131" t="s">
        <v>282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137</v>
      </c>
      <c r="B3" s="6" t="s">
        <v>138</v>
      </c>
      <c r="C3" s="7" t="s">
        <v>283</v>
      </c>
      <c r="D3" s="7" t="s">
        <v>284</v>
      </c>
      <c r="E3" s="9" t="s">
        <v>197</v>
      </c>
      <c r="F3" s="74" t="s">
        <v>285</v>
      </c>
      <c r="G3" s="74" t="s">
        <v>286</v>
      </c>
      <c r="H3" s="9" t="s">
        <v>197</v>
      </c>
      <c r="I3" s="56" t="s">
        <v>187</v>
      </c>
      <c r="J3" s="56" t="s">
        <v>227</v>
      </c>
      <c r="K3" s="64" t="s">
        <v>226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65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31852</v>
      </c>
      <c r="D5" s="23">
        <v>23069</v>
      </c>
      <c r="E5" s="89">
        <v>0.38072738306818676</v>
      </c>
      <c r="F5" s="76">
        <v>1977164</v>
      </c>
      <c r="G5" s="76">
        <v>1715067</v>
      </c>
      <c r="H5" s="90">
        <v>0.15282026882914779</v>
      </c>
      <c r="I5" s="25">
        <v>62.07346477458244</v>
      </c>
      <c r="J5" s="25">
        <v>74.345095149334611</v>
      </c>
      <c r="K5" s="89">
        <v>-0.16506307981854809</v>
      </c>
    </row>
    <row r="6" spans="1:11" ht="16.5">
      <c r="A6" s="26" t="s">
        <v>205</v>
      </c>
      <c r="B6" s="27" t="s">
        <v>148</v>
      </c>
      <c r="C6" s="23">
        <v>18302</v>
      </c>
      <c r="D6" s="23">
        <v>26015</v>
      </c>
      <c r="E6" s="89">
        <v>-0.29648279838554681</v>
      </c>
      <c r="F6" s="76">
        <v>1805931</v>
      </c>
      <c r="G6" s="76">
        <v>2926263</v>
      </c>
      <c r="H6" s="90">
        <v>-0.38285417271106525</v>
      </c>
      <c r="I6" s="25">
        <v>98.673970057917174</v>
      </c>
      <c r="J6" s="25">
        <v>112.48368249087065</v>
      </c>
      <c r="K6" s="89">
        <v>-0.12277080663743643</v>
      </c>
    </row>
    <row r="7" spans="1:11" ht="16.5">
      <c r="A7" s="21" t="s">
        <v>149</v>
      </c>
      <c r="B7" s="28" t="s">
        <v>150</v>
      </c>
      <c r="C7" s="23">
        <v>24987</v>
      </c>
      <c r="D7" s="23">
        <v>26453</v>
      </c>
      <c r="E7" s="89">
        <v>-5.541904509885457E-2</v>
      </c>
      <c r="F7" s="76">
        <v>1391229</v>
      </c>
      <c r="G7" s="76">
        <v>1636933</v>
      </c>
      <c r="H7" s="90">
        <v>-0.15010021790751363</v>
      </c>
      <c r="I7" s="25">
        <v>55.678112618561649</v>
      </c>
      <c r="J7" s="25">
        <v>61.880807469852193</v>
      </c>
      <c r="K7" s="89">
        <v>-0.10023616537829512</v>
      </c>
    </row>
    <row r="8" spans="1:11" ht="16.5">
      <c r="A8" s="21" t="s">
        <v>151</v>
      </c>
      <c r="B8" s="28" t="s">
        <v>152</v>
      </c>
      <c r="C8" s="23">
        <v>38249</v>
      </c>
      <c r="D8" s="23">
        <v>49042</v>
      </c>
      <c r="E8" s="89">
        <v>-0.22007666897761102</v>
      </c>
      <c r="F8" s="76">
        <v>4436716</v>
      </c>
      <c r="G8" s="76">
        <v>6407398</v>
      </c>
      <c r="H8" s="90">
        <v>-0.30756353827247818</v>
      </c>
      <c r="I8" s="25">
        <v>115.99560772830662</v>
      </c>
      <c r="J8" s="25">
        <v>130.65123771461197</v>
      </c>
      <c r="K8" s="89">
        <v>-0.11217367889249062</v>
      </c>
    </row>
    <row r="9" spans="1:11" ht="16.5">
      <c r="A9" s="21" t="s">
        <v>153</v>
      </c>
      <c r="B9" s="28" t="s">
        <v>154</v>
      </c>
      <c r="C9" s="23">
        <v>12614</v>
      </c>
      <c r="D9" s="23">
        <v>16029</v>
      </c>
      <c r="E9" s="89">
        <v>-0.21305134443820575</v>
      </c>
      <c r="F9" s="76">
        <v>1336308</v>
      </c>
      <c r="G9" s="76">
        <v>1835888</v>
      </c>
      <c r="H9" s="90">
        <v>-0.2721189963657914</v>
      </c>
      <c r="I9" s="25">
        <v>105.93848105279848</v>
      </c>
      <c r="J9" s="25">
        <v>114.5354045792002</v>
      </c>
      <c r="K9" s="89">
        <v>-7.5059092496216132E-2</v>
      </c>
    </row>
    <row r="10" spans="1:11" ht="16.5">
      <c r="A10" s="21" t="s">
        <v>155</v>
      </c>
      <c r="B10" s="28" t="s">
        <v>156</v>
      </c>
      <c r="C10" s="23">
        <v>12567</v>
      </c>
      <c r="D10" s="23">
        <v>12476</v>
      </c>
      <c r="E10" s="89">
        <v>7.2940044886181466E-3</v>
      </c>
      <c r="F10" s="76">
        <v>2390075</v>
      </c>
      <c r="G10" s="76">
        <v>2519376</v>
      </c>
      <c r="H10" s="90">
        <v>-5.1322629095458559E-2</v>
      </c>
      <c r="I10" s="25">
        <v>190.18659982493833</v>
      </c>
      <c r="J10" s="25">
        <v>201.93780057710805</v>
      </c>
      <c r="K10" s="89">
        <v>-5.8192179565126227E-2</v>
      </c>
    </row>
    <row r="11" spans="1:11" ht="17.25" thickBot="1">
      <c r="A11" s="48" t="s">
        <v>157</v>
      </c>
      <c r="B11" s="70" t="s">
        <v>158</v>
      </c>
      <c r="C11" s="63">
        <v>138571</v>
      </c>
      <c r="D11" s="63">
        <v>153084</v>
      </c>
      <c r="E11" s="91">
        <v>-9.4804159807687277E-2</v>
      </c>
      <c r="F11" s="77">
        <v>13337423</v>
      </c>
      <c r="G11" s="77">
        <v>17040925</v>
      </c>
      <c r="H11" s="91">
        <v>-0.21732986912388852</v>
      </c>
      <c r="I11" s="102">
        <v>96.249742009511365</v>
      </c>
      <c r="J11" s="72">
        <v>111.31747929241462</v>
      </c>
      <c r="K11" s="91">
        <v>-0.13535823285508045</v>
      </c>
    </row>
    <row r="12" spans="1:11" ht="5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207</v>
      </c>
      <c r="B13" s="22" t="s">
        <v>159</v>
      </c>
      <c r="C13" s="23">
        <v>1775</v>
      </c>
      <c r="D13" s="23">
        <v>487</v>
      </c>
      <c r="E13" s="89">
        <v>2.64476386036961</v>
      </c>
      <c r="F13" s="76">
        <v>82562</v>
      </c>
      <c r="G13" s="76">
        <v>101122</v>
      </c>
      <c r="H13" s="92">
        <v>-0.18354067364173968</v>
      </c>
      <c r="I13" s="25">
        <v>46.513802816901411</v>
      </c>
      <c r="J13" s="25">
        <v>207.64271047227925</v>
      </c>
      <c r="K13" s="89">
        <v>-0.77599115947240971</v>
      </c>
    </row>
    <row r="14" spans="1:11" ht="17.25" thickBot="1">
      <c r="A14" s="48" t="s">
        <v>160</v>
      </c>
      <c r="B14" s="73" t="s">
        <v>80</v>
      </c>
      <c r="C14" s="109">
        <v>140346</v>
      </c>
      <c r="D14" s="31">
        <v>153571</v>
      </c>
      <c r="E14" s="91">
        <v>-8.6116519394937849E-2</v>
      </c>
      <c r="F14" s="77">
        <v>13419985</v>
      </c>
      <c r="G14" s="108">
        <v>17142047</v>
      </c>
      <c r="H14" s="93">
        <v>-0.21713054456098504</v>
      </c>
      <c r="I14" s="102">
        <v>95.62071594487908</v>
      </c>
      <c r="J14" s="72">
        <v>111.62294313379479</v>
      </c>
      <c r="K14" s="91">
        <v>-0.14335966011696122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281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283</v>
      </c>
      <c r="D18" s="7" t="s">
        <v>284</v>
      </c>
      <c r="E18" s="9" t="s">
        <v>197</v>
      </c>
      <c r="F18" s="74" t="s">
        <v>287</v>
      </c>
      <c r="G18" s="74" t="s">
        <v>288</v>
      </c>
      <c r="H18" s="9" t="s">
        <v>197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193</v>
      </c>
      <c r="I19" s="4"/>
      <c r="J19" s="4"/>
    </row>
    <row r="20" spans="1:10">
      <c r="A20" s="46" t="s">
        <v>208</v>
      </c>
      <c r="B20" s="22" t="s">
        <v>162</v>
      </c>
      <c r="C20" s="23">
        <v>19815</v>
      </c>
      <c r="D20" s="23">
        <v>39754</v>
      </c>
      <c r="E20" s="90">
        <v>-0.50155959148764906</v>
      </c>
      <c r="F20" s="76">
        <v>1063115</v>
      </c>
      <c r="G20" s="76">
        <v>2044912</v>
      </c>
      <c r="H20" s="94">
        <v>-0.48011699280947051</v>
      </c>
      <c r="I20" s="4"/>
      <c r="J20" s="4"/>
    </row>
    <row r="21" spans="1:10">
      <c r="A21" s="46" t="s">
        <v>209</v>
      </c>
      <c r="B21" s="22" t="s">
        <v>163</v>
      </c>
      <c r="C21" s="23">
        <v>14786</v>
      </c>
      <c r="D21" s="23">
        <v>27338</v>
      </c>
      <c r="E21" s="90">
        <v>-0.45914112224742115</v>
      </c>
      <c r="F21" s="76">
        <v>970520</v>
      </c>
      <c r="G21" s="76">
        <v>1588382</v>
      </c>
      <c r="H21" s="94">
        <v>-0.38898829122969159</v>
      </c>
      <c r="I21" s="4"/>
      <c r="J21" s="4"/>
    </row>
    <row r="22" spans="1:10">
      <c r="A22" s="46" t="s">
        <v>258</v>
      </c>
      <c r="B22" s="22" t="s">
        <v>164</v>
      </c>
      <c r="C22" s="23">
        <v>3994168</v>
      </c>
      <c r="D22" s="23">
        <v>8399413</v>
      </c>
      <c r="E22" s="90">
        <v>-0.52447057907499017</v>
      </c>
      <c r="F22" s="76">
        <v>241749366</v>
      </c>
      <c r="G22" s="76">
        <v>335542202</v>
      </c>
      <c r="H22" s="94">
        <v>-0.27952619801904977</v>
      </c>
      <c r="I22" s="4"/>
      <c r="J22" s="4"/>
    </row>
    <row r="23" spans="1:10">
      <c r="A23" s="46">
        <v>87149200108</v>
      </c>
      <c r="B23" s="22" t="s">
        <v>165</v>
      </c>
      <c r="C23" s="23">
        <v>628491</v>
      </c>
      <c r="D23" s="23">
        <v>1165105</v>
      </c>
      <c r="E23" s="90">
        <v>-0.46057136481261346</v>
      </c>
      <c r="F23" s="76">
        <v>43733546</v>
      </c>
      <c r="G23" s="76">
        <v>64157347</v>
      </c>
      <c r="H23" s="94">
        <v>-0.31833923868454223</v>
      </c>
      <c r="I23" s="4"/>
      <c r="J23" s="4"/>
    </row>
    <row r="24" spans="1:10">
      <c r="A24" s="46">
        <v>87149200206</v>
      </c>
      <c r="B24" s="22" t="s">
        <v>166</v>
      </c>
      <c r="C24" s="23">
        <v>41858</v>
      </c>
      <c r="D24" s="23">
        <v>63940</v>
      </c>
      <c r="E24" s="90">
        <v>-0.34535502033156085</v>
      </c>
      <c r="F24" s="76">
        <v>1352579</v>
      </c>
      <c r="G24" s="76">
        <v>1026319</v>
      </c>
      <c r="H24" s="94">
        <v>0.31789336453870581</v>
      </c>
      <c r="I24" s="4"/>
      <c r="J24" s="4"/>
    </row>
    <row r="25" spans="1:10">
      <c r="A25" s="46">
        <v>87149200304</v>
      </c>
      <c r="B25" s="22" t="s">
        <v>167</v>
      </c>
      <c r="C25" s="23">
        <v>117644</v>
      </c>
      <c r="D25" s="23">
        <v>215851</v>
      </c>
      <c r="E25" s="90">
        <v>-0.45497588614368245</v>
      </c>
      <c r="F25" s="76">
        <v>2203704</v>
      </c>
      <c r="G25" s="76">
        <v>2853366</v>
      </c>
      <c r="H25" s="94">
        <v>-0.22768267372639892</v>
      </c>
      <c r="I25" s="4"/>
      <c r="J25" s="4"/>
    </row>
    <row r="26" spans="1:10">
      <c r="A26" s="46">
        <v>87149310007</v>
      </c>
      <c r="B26" s="22" t="s">
        <v>168</v>
      </c>
      <c r="C26" s="23">
        <v>613922</v>
      </c>
      <c r="D26" s="23">
        <v>1394344</v>
      </c>
      <c r="E26" s="90">
        <v>-0.55970549591779362</v>
      </c>
      <c r="F26" s="76">
        <v>20545464</v>
      </c>
      <c r="G26" s="76">
        <v>31395189</v>
      </c>
      <c r="H26" s="94">
        <v>-0.34558559274798439</v>
      </c>
      <c r="I26" s="4"/>
      <c r="J26" s="4"/>
    </row>
    <row r="27" spans="1:10">
      <c r="A27" s="46">
        <v>87149320103</v>
      </c>
      <c r="B27" s="22" t="s">
        <v>169</v>
      </c>
      <c r="C27" s="23">
        <v>2849</v>
      </c>
      <c r="D27" s="23">
        <v>3022</v>
      </c>
      <c r="E27" s="90">
        <v>-5.7246856386499005E-2</v>
      </c>
      <c r="F27" s="76">
        <v>35514</v>
      </c>
      <c r="G27" s="76">
        <v>39178</v>
      </c>
      <c r="H27" s="94">
        <v>-9.3521874521415083E-2</v>
      </c>
      <c r="I27" s="4"/>
      <c r="J27" s="4"/>
    </row>
    <row r="28" spans="1:10">
      <c r="A28" s="46" t="s">
        <v>243</v>
      </c>
      <c r="B28" s="22" t="s">
        <v>170</v>
      </c>
      <c r="C28" s="23">
        <v>33942</v>
      </c>
      <c r="D28" s="23">
        <v>45188</v>
      </c>
      <c r="E28" s="90">
        <v>-0.24887138178277418</v>
      </c>
      <c r="F28" s="76">
        <v>276207</v>
      </c>
      <c r="G28" s="76">
        <v>893149</v>
      </c>
      <c r="H28" s="94">
        <v>-0.69074924788585113</v>
      </c>
      <c r="I28" s="4"/>
      <c r="J28" s="4"/>
    </row>
    <row r="29" spans="1:10">
      <c r="A29" s="46">
        <v>87149490009</v>
      </c>
      <c r="B29" s="22" t="s">
        <v>171</v>
      </c>
      <c r="C29" s="23">
        <v>521669</v>
      </c>
      <c r="D29" s="23">
        <v>2271028</v>
      </c>
      <c r="E29" s="90">
        <v>-0.77029389333817111</v>
      </c>
      <c r="F29" s="76">
        <v>8758176</v>
      </c>
      <c r="G29" s="76">
        <v>34579925</v>
      </c>
      <c r="H29" s="94">
        <v>-0.74672657618546023</v>
      </c>
      <c r="I29" s="4"/>
      <c r="J29" s="4"/>
    </row>
    <row r="30" spans="1:10">
      <c r="A30" s="46">
        <v>87149500007</v>
      </c>
      <c r="B30" s="22" t="s">
        <v>172</v>
      </c>
      <c r="C30" s="23">
        <v>437103</v>
      </c>
      <c r="D30" s="23">
        <v>1404062</v>
      </c>
      <c r="E30" s="90">
        <v>-0.68868682437100359</v>
      </c>
      <c r="F30" s="76">
        <v>4729264</v>
      </c>
      <c r="G30" s="76">
        <v>20636518</v>
      </c>
      <c r="H30" s="94">
        <v>-0.77083033096959475</v>
      </c>
      <c r="I30" s="4"/>
      <c r="J30" s="4"/>
    </row>
    <row r="31" spans="1:10">
      <c r="A31" s="46">
        <v>87149610004</v>
      </c>
      <c r="B31" s="22" t="s">
        <v>173</v>
      </c>
      <c r="C31" s="23">
        <v>158527</v>
      </c>
      <c r="D31" s="23">
        <v>679775</v>
      </c>
      <c r="E31" s="90">
        <v>-0.76679489536979151</v>
      </c>
      <c r="F31" s="76">
        <v>2410977</v>
      </c>
      <c r="G31" s="76">
        <v>5772561</v>
      </c>
      <c r="H31" s="94">
        <v>-0.58233841097564842</v>
      </c>
      <c r="I31" s="4"/>
      <c r="J31" s="4"/>
    </row>
    <row r="32" spans="1:10">
      <c r="A32" s="46">
        <v>87149620002</v>
      </c>
      <c r="B32" s="22" t="s">
        <v>174</v>
      </c>
      <c r="C32" s="23">
        <v>594978</v>
      </c>
      <c r="D32" s="23">
        <v>1578798</v>
      </c>
      <c r="E32" s="90">
        <v>-0.62314494951222388</v>
      </c>
      <c r="F32" s="76">
        <v>6909258</v>
      </c>
      <c r="G32" s="76">
        <v>16374313</v>
      </c>
      <c r="H32" s="94">
        <v>-0.57804287727979797</v>
      </c>
      <c r="I32" s="4"/>
      <c r="J32" s="4"/>
    </row>
    <row r="33" spans="1:10">
      <c r="A33" s="46" t="s">
        <v>210</v>
      </c>
      <c r="B33" s="22" t="s">
        <v>175</v>
      </c>
      <c r="C33" s="23">
        <v>283462</v>
      </c>
      <c r="D33" s="23">
        <v>826300</v>
      </c>
      <c r="E33" s="90">
        <v>-0.65695026019605474</v>
      </c>
      <c r="F33" s="76">
        <v>1208272</v>
      </c>
      <c r="G33" s="76">
        <v>3491740</v>
      </c>
      <c r="H33" s="94">
        <v>-0.65396278073396075</v>
      </c>
      <c r="I33" s="4"/>
      <c r="J33" s="4"/>
    </row>
    <row r="34" spans="1:10">
      <c r="A34" s="46">
        <v>87149990111</v>
      </c>
      <c r="B34" s="22" t="s">
        <v>176</v>
      </c>
      <c r="C34" s="23">
        <v>105920</v>
      </c>
      <c r="D34" s="23">
        <v>599010</v>
      </c>
      <c r="E34" s="90">
        <v>-0.8231749052603462</v>
      </c>
      <c r="F34" s="76">
        <v>3105357</v>
      </c>
      <c r="G34" s="76">
        <v>14248501</v>
      </c>
      <c r="H34" s="94">
        <v>-0.78205728448206591</v>
      </c>
      <c r="I34" s="4"/>
      <c r="J34" s="4"/>
    </row>
    <row r="35" spans="1:10">
      <c r="A35" s="46">
        <v>87149320906</v>
      </c>
      <c r="B35" s="22" t="s">
        <v>177</v>
      </c>
      <c r="C35" s="23">
        <v>166434</v>
      </c>
      <c r="D35" s="23">
        <v>280831</v>
      </c>
      <c r="E35" s="90">
        <v>-0.40735175247746863</v>
      </c>
      <c r="F35" s="76">
        <v>2287171</v>
      </c>
      <c r="G35" s="76">
        <v>3086673</v>
      </c>
      <c r="H35" s="94">
        <v>-0.25901739510469685</v>
      </c>
      <c r="I35" s="4"/>
      <c r="J35" s="4"/>
    </row>
    <row r="36" spans="1:10">
      <c r="A36" s="46">
        <v>87149990139</v>
      </c>
      <c r="B36" s="22" t="s">
        <v>178</v>
      </c>
      <c r="C36" s="23">
        <v>26064</v>
      </c>
      <c r="D36" s="23">
        <v>94779</v>
      </c>
      <c r="E36" s="90">
        <v>-0.72500237394359512</v>
      </c>
      <c r="F36" s="76">
        <v>87418</v>
      </c>
      <c r="G36" s="76">
        <v>465313</v>
      </c>
      <c r="H36" s="94">
        <v>-0.81213075929535605</v>
      </c>
      <c r="I36" s="4"/>
      <c r="J36" s="4"/>
    </row>
    <row r="37" spans="1:10">
      <c r="A37" s="46">
        <v>87149990148</v>
      </c>
      <c r="B37" s="22" t="s">
        <v>179</v>
      </c>
      <c r="C37" s="23">
        <v>111515</v>
      </c>
      <c r="D37" s="23">
        <v>391032</v>
      </c>
      <c r="E37" s="90">
        <v>-0.71481873606252178</v>
      </c>
      <c r="F37" s="76">
        <v>2895430</v>
      </c>
      <c r="G37" s="76">
        <v>6630407</v>
      </c>
      <c r="H37" s="94">
        <v>-0.56331036692016045</v>
      </c>
      <c r="I37" s="4"/>
      <c r="J37" s="4"/>
    </row>
    <row r="38" spans="1:10">
      <c r="A38" s="46">
        <v>87149990157</v>
      </c>
      <c r="B38" s="22" t="s">
        <v>180</v>
      </c>
      <c r="C38" s="23">
        <v>267176</v>
      </c>
      <c r="D38" s="23">
        <v>661278</v>
      </c>
      <c r="E38" s="90">
        <v>-0.59597022734765104</v>
      </c>
      <c r="F38" s="76">
        <v>9527178</v>
      </c>
      <c r="G38" s="76">
        <v>13155447</v>
      </c>
      <c r="H38" s="94">
        <v>-0.27579975047598154</v>
      </c>
      <c r="I38" s="4"/>
      <c r="J38" s="4"/>
    </row>
    <row r="39" spans="1:10">
      <c r="A39" s="46" t="s">
        <v>259</v>
      </c>
      <c r="B39" s="22" t="s">
        <v>181</v>
      </c>
      <c r="C39" s="23">
        <v>289752</v>
      </c>
      <c r="D39" s="23">
        <v>701641</v>
      </c>
      <c r="E39" s="90">
        <v>-0.58703667545083593</v>
      </c>
      <c r="F39" s="76">
        <v>12605367</v>
      </c>
      <c r="G39" s="76">
        <v>21259255</v>
      </c>
      <c r="H39" s="94">
        <v>-0.40706449967320113</v>
      </c>
      <c r="I39" s="4"/>
      <c r="J39" s="4"/>
    </row>
    <row r="40" spans="1:10">
      <c r="A40" s="46" t="s">
        <v>211</v>
      </c>
      <c r="B40" s="22" t="s">
        <v>182</v>
      </c>
      <c r="C40" s="23">
        <v>582781</v>
      </c>
      <c r="D40" s="23">
        <v>1024244</v>
      </c>
      <c r="E40" s="90">
        <v>-0.43101350849992776</v>
      </c>
      <c r="F40" s="76">
        <v>3665097</v>
      </c>
      <c r="G40" s="76">
        <v>7161919</v>
      </c>
      <c r="H40" s="94">
        <v>-0.48825210114775103</v>
      </c>
      <c r="I40" s="4"/>
      <c r="J40" s="4"/>
    </row>
    <row r="41" spans="1:10">
      <c r="A41" s="46" t="s">
        <v>212</v>
      </c>
      <c r="B41" s="22" t="s">
        <v>183</v>
      </c>
      <c r="C41" s="23">
        <v>183799</v>
      </c>
      <c r="D41" s="23">
        <v>328150</v>
      </c>
      <c r="E41" s="90">
        <v>-0.43989334145969833</v>
      </c>
      <c r="F41" s="76">
        <v>1072578</v>
      </c>
      <c r="G41" s="76">
        <v>1828775</v>
      </c>
      <c r="H41" s="94">
        <v>-0.41349920028434334</v>
      </c>
      <c r="I41" s="4"/>
      <c r="J41" s="4"/>
    </row>
    <row r="42" spans="1:10" ht="18.75" customHeight="1" thickBot="1">
      <c r="A42" s="132" t="s">
        <v>160</v>
      </c>
      <c r="B42" s="133"/>
      <c r="C42" s="63">
        <v>9196655</v>
      </c>
      <c r="D42" s="63">
        <v>22194883</v>
      </c>
      <c r="E42" s="91">
        <v>-0.58564075332138499</v>
      </c>
      <c r="F42" s="77">
        <v>371191558</v>
      </c>
      <c r="G42" s="77">
        <v>588231391</v>
      </c>
      <c r="H42" s="91">
        <v>-0.36897016432773139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273" priority="13" operator="greaterThanOrEqual">
      <formula>0</formula>
    </cfRule>
    <cfRule type="cellIs" dxfId="272" priority="14" operator="lessThan">
      <formula>0</formula>
    </cfRule>
  </conditionalFormatting>
  <conditionalFormatting sqref="E13">
    <cfRule type="cellIs" dxfId="271" priority="3" operator="greaterThanOrEqual">
      <formula>0</formula>
    </cfRule>
    <cfRule type="cellIs" dxfId="270" priority="4" operator="lessThan">
      <formula>0</formula>
    </cfRule>
  </conditionalFormatting>
  <conditionalFormatting sqref="E20:E41">
    <cfRule type="cellIs" dxfId="269" priority="1" operator="greaterThanOrEqual">
      <formula>0</formula>
    </cfRule>
    <cfRule type="cellIs" dxfId="268" priority="2" operator="lessThan">
      <formula>0</formula>
    </cfRule>
  </conditionalFormatting>
  <conditionalFormatting sqref="H5:H10">
    <cfRule type="cellIs" dxfId="267" priority="11" operator="greaterThanOrEqual">
      <formula>0</formula>
    </cfRule>
    <cfRule type="cellIs" dxfId="266" priority="12" operator="lessThan">
      <formula>0</formula>
    </cfRule>
  </conditionalFormatting>
  <conditionalFormatting sqref="H13">
    <cfRule type="cellIs" dxfId="265" priority="7" operator="greaterThanOrEqual">
      <formula>0</formula>
    </cfRule>
    <cfRule type="cellIs" dxfId="264" priority="8" operator="lessThan">
      <formula>0</formula>
    </cfRule>
  </conditionalFormatting>
  <conditionalFormatting sqref="K5:K10">
    <cfRule type="cellIs" dxfId="263" priority="9" operator="greaterThanOrEqual">
      <formula>0</formula>
    </cfRule>
    <cfRule type="cellIs" dxfId="262" priority="10" operator="lessThan">
      <formula>0</formula>
    </cfRule>
  </conditionalFormatting>
  <conditionalFormatting sqref="K13">
    <cfRule type="cellIs" dxfId="261" priority="5" operator="greaterThanOrEqual">
      <formula>0</formula>
    </cfRule>
    <cfRule type="cellIs" dxfId="260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K46"/>
  <sheetViews>
    <sheetView topLeftCell="A22" zoomScaleNormal="100" workbookViewId="0">
      <selection activeCell="F21" sqref="F21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3.875" style="3" customWidth="1"/>
    <col min="11" max="11" width="11.125" style="3" customWidth="1"/>
    <col min="12" max="256" width="8.875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8.875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8.875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8.875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8.875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8.875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8.875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8.875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8.875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8.875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8.875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8.875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8.875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8.875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8.875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8.875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8.875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8.875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8.875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8.875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8.875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8.875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8.875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8.875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8.875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8.875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8.875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8.875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8.875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8.875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8.875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8.875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8.875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8.875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8.875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8.875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8.875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8.875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8.875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8.875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8.875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8.875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8.875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8.875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8.875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8.875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8.875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8.875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8.875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8.875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8.875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8.875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8.875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8.875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8.875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8.875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8.875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8.875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8.875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8.875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8.875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8.875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8.875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8.875" style="3"/>
  </cols>
  <sheetData>
    <row r="1" spans="1:11" ht="21" customHeight="1">
      <c r="A1" s="134" t="s">
        <v>280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137</v>
      </c>
      <c r="B3" s="6" t="s">
        <v>138</v>
      </c>
      <c r="C3" s="7" t="s">
        <v>283</v>
      </c>
      <c r="D3" s="7" t="s">
        <v>284</v>
      </c>
      <c r="E3" s="9" t="s">
        <v>186</v>
      </c>
      <c r="F3" s="74" t="s">
        <v>287</v>
      </c>
      <c r="G3" s="74" t="s">
        <v>288</v>
      </c>
      <c r="H3" s="9" t="s">
        <v>186</v>
      </c>
      <c r="I3" s="56" t="s">
        <v>187</v>
      </c>
      <c r="J3" s="56" t="s">
        <v>188</v>
      </c>
      <c r="K3" s="64" t="s">
        <v>189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14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19665</v>
      </c>
      <c r="D5" s="23">
        <v>1668</v>
      </c>
      <c r="E5" s="89">
        <v>10.78956834532374</v>
      </c>
      <c r="F5" s="76">
        <v>6770435</v>
      </c>
      <c r="G5" s="76">
        <v>868252</v>
      </c>
      <c r="H5" s="90">
        <v>6.797776451997807</v>
      </c>
      <c r="I5" s="25">
        <v>344.2885837782863</v>
      </c>
      <c r="J5" s="25">
        <v>520.53477218225419</v>
      </c>
      <c r="K5" s="89">
        <v>-0.33858677234007922</v>
      </c>
    </row>
    <row r="6" spans="1:11" ht="16.5">
      <c r="A6" s="26" t="s">
        <v>205</v>
      </c>
      <c r="B6" s="27" t="s">
        <v>148</v>
      </c>
      <c r="C6" s="23">
        <v>3196</v>
      </c>
      <c r="D6" s="23">
        <v>1631</v>
      </c>
      <c r="E6" s="89">
        <v>0.95953402820355616</v>
      </c>
      <c r="F6" s="76">
        <v>2056250</v>
      </c>
      <c r="G6" s="76">
        <v>1537491</v>
      </c>
      <c r="H6" s="90">
        <v>0.33740620270297517</v>
      </c>
      <c r="I6" s="25">
        <v>643.38235294117646</v>
      </c>
      <c r="J6" s="25">
        <v>942.66768853464134</v>
      </c>
      <c r="K6" s="89">
        <v>-0.3174876356043328</v>
      </c>
    </row>
    <row r="7" spans="1:11" ht="16.5">
      <c r="A7" s="21" t="s">
        <v>149</v>
      </c>
      <c r="B7" s="28" t="s">
        <v>150</v>
      </c>
      <c r="C7" s="23">
        <v>31</v>
      </c>
      <c r="D7" s="23">
        <v>141</v>
      </c>
      <c r="E7" s="89">
        <v>-0.78014184397163122</v>
      </c>
      <c r="F7" s="76">
        <v>3126</v>
      </c>
      <c r="G7" s="76">
        <v>20304</v>
      </c>
      <c r="H7" s="90">
        <v>-0.84604018912529555</v>
      </c>
      <c r="I7" s="25">
        <v>100.83870967741936</v>
      </c>
      <c r="J7" s="25">
        <v>144</v>
      </c>
      <c r="K7" s="89">
        <v>-0.29973118279569888</v>
      </c>
    </row>
    <row r="8" spans="1:11" ht="16.5">
      <c r="A8" s="21" t="s">
        <v>151</v>
      </c>
      <c r="B8" s="28" t="s">
        <v>152</v>
      </c>
      <c r="C8" s="23">
        <v>597</v>
      </c>
      <c r="D8" s="23">
        <v>1804</v>
      </c>
      <c r="E8" s="89">
        <v>-0.66906873614190687</v>
      </c>
      <c r="F8" s="76">
        <v>350079</v>
      </c>
      <c r="G8" s="76">
        <v>368606</v>
      </c>
      <c r="H8" s="90">
        <v>-5.0262339734024948E-2</v>
      </c>
      <c r="I8" s="25">
        <v>586.3969849246231</v>
      </c>
      <c r="J8" s="25">
        <v>204.32705099778269</v>
      </c>
      <c r="K8" s="89">
        <v>1.8698940353765814</v>
      </c>
    </row>
    <row r="9" spans="1:11" ht="16.5">
      <c r="A9" s="21" t="s">
        <v>153</v>
      </c>
      <c r="B9" s="28" t="s">
        <v>154</v>
      </c>
      <c r="C9" s="23">
        <v>22279</v>
      </c>
      <c r="D9" s="23">
        <v>6949</v>
      </c>
      <c r="E9" s="89">
        <v>2.2060728162325516</v>
      </c>
      <c r="F9" s="76">
        <v>12100945</v>
      </c>
      <c r="G9" s="76">
        <v>5135293</v>
      </c>
      <c r="H9" s="90">
        <v>1.3564273742510895</v>
      </c>
      <c r="I9" s="25">
        <v>543.15476457650698</v>
      </c>
      <c r="J9" s="25">
        <v>738.99740969923732</v>
      </c>
      <c r="K9" s="89">
        <v>-0.2650112741294125</v>
      </c>
    </row>
    <row r="10" spans="1:11" ht="16.5">
      <c r="A10" s="21" t="s">
        <v>155</v>
      </c>
      <c r="B10" s="28" t="s">
        <v>156</v>
      </c>
      <c r="C10" s="23">
        <v>51895</v>
      </c>
      <c r="D10" s="23">
        <v>15831</v>
      </c>
      <c r="E10" s="89">
        <v>2.2780620301939232</v>
      </c>
      <c r="F10" s="76">
        <v>76999724</v>
      </c>
      <c r="G10" s="76">
        <v>21005320</v>
      </c>
      <c r="H10" s="90">
        <v>2.6657248735082351</v>
      </c>
      <c r="I10" s="25">
        <v>1483.7599768763851</v>
      </c>
      <c r="J10" s="25">
        <v>1326.8473248689281</v>
      </c>
      <c r="K10" s="89">
        <v>0.11825976438016896</v>
      </c>
    </row>
    <row r="11" spans="1:11" ht="17.25" thickBot="1">
      <c r="A11" s="30" t="s">
        <v>157</v>
      </c>
      <c r="B11" s="70" t="s">
        <v>158</v>
      </c>
      <c r="C11" s="63">
        <v>97663</v>
      </c>
      <c r="D11" s="63">
        <v>28024</v>
      </c>
      <c r="E11" s="91">
        <v>2.4849771624322008</v>
      </c>
      <c r="F11" s="77">
        <v>98280559</v>
      </c>
      <c r="G11" s="77">
        <v>28935266</v>
      </c>
      <c r="H11" s="91">
        <v>2.3965666325652579</v>
      </c>
      <c r="I11" s="71">
        <v>1006.3233670888668</v>
      </c>
      <c r="J11" s="72">
        <v>1032.5173422780474</v>
      </c>
      <c r="K11" s="91">
        <v>-2.5369041387129369E-2</v>
      </c>
    </row>
    <row r="12" spans="1:11" ht="11.25" customHeight="1" thickTop="1">
      <c r="A12" s="33"/>
      <c r="B12" s="34"/>
      <c r="E12" s="68"/>
      <c r="F12" s="78"/>
      <c r="G12" s="78"/>
      <c r="H12" s="68"/>
      <c r="I12" s="35"/>
      <c r="J12" s="69"/>
      <c r="K12" s="61"/>
    </row>
    <row r="13" spans="1:11" ht="16.5">
      <c r="A13" s="21" t="s">
        <v>207</v>
      </c>
      <c r="B13" s="22" t="s">
        <v>159</v>
      </c>
      <c r="C13" s="23">
        <v>44</v>
      </c>
      <c r="D13" s="23">
        <v>63</v>
      </c>
      <c r="E13" s="89">
        <v>-0.30158730158730157</v>
      </c>
      <c r="F13" s="76">
        <v>25799</v>
      </c>
      <c r="G13" s="76">
        <v>93588</v>
      </c>
      <c r="H13" s="92">
        <v>-0.72433431636534595</v>
      </c>
      <c r="I13" s="25">
        <v>586.34090909090912</v>
      </c>
      <c r="J13" s="25">
        <v>1485.5238095238096</v>
      </c>
      <c r="K13" s="89">
        <v>-0.60529686206856359</v>
      </c>
    </row>
    <row r="14" spans="1:11" ht="17.25" thickBot="1">
      <c r="A14" s="106" t="s">
        <v>160</v>
      </c>
      <c r="B14" s="105" t="s">
        <v>80</v>
      </c>
      <c r="C14" s="109">
        <v>97707</v>
      </c>
      <c r="D14" s="31">
        <v>28087</v>
      </c>
      <c r="E14" s="91">
        <v>2.4787268131163884</v>
      </c>
      <c r="F14" s="77">
        <v>98306358</v>
      </c>
      <c r="G14" s="108">
        <v>29028854</v>
      </c>
      <c r="H14" s="93">
        <v>2.3865049581357916</v>
      </c>
      <c r="I14" s="102">
        <v>1006.134238079155</v>
      </c>
      <c r="J14" s="72">
        <v>1033.5334496386229</v>
      </c>
      <c r="K14" s="91">
        <v>-2.6510232028821176E-2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279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283</v>
      </c>
      <c r="D18" s="7" t="s">
        <v>284</v>
      </c>
      <c r="E18" s="9" t="s">
        <v>186</v>
      </c>
      <c r="F18" s="74" t="s">
        <v>287</v>
      </c>
      <c r="G18" s="74" t="s">
        <v>288</v>
      </c>
      <c r="H18" s="9" t="s">
        <v>186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196</v>
      </c>
      <c r="I19" s="45"/>
      <c r="J19" s="44"/>
    </row>
    <row r="20" spans="1:10">
      <c r="A20" s="46" t="s">
        <v>208</v>
      </c>
      <c r="B20" s="22" t="s">
        <v>162</v>
      </c>
      <c r="C20" s="23">
        <v>3386</v>
      </c>
      <c r="D20" s="23">
        <v>4469</v>
      </c>
      <c r="E20" s="90">
        <v>-0.2423360930857015</v>
      </c>
      <c r="F20" s="76">
        <v>391675</v>
      </c>
      <c r="G20" s="76">
        <v>501509</v>
      </c>
      <c r="H20" s="94">
        <v>-0.21900703676304911</v>
      </c>
      <c r="I20" s="4"/>
      <c r="J20" s="4"/>
    </row>
    <row r="21" spans="1:10">
      <c r="A21" s="46" t="s">
        <v>209</v>
      </c>
      <c r="B21" s="22" t="s">
        <v>163</v>
      </c>
      <c r="C21" s="23">
        <v>936</v>
      </c>
      <c r="D21" s="23">
        <v>1465</v>
      </c>
      <c r="E21" s="90">
        <v>-0.36109215017064844</v>
      </c>
      <c r="F21" s="76">
        <v>138831</v>
      </c>
      <c r="G21" s="76">
        <v>144250</v>
      </c>
      <c r="H21" s="94">
        <v>-3.756672443674177E-2</v>
      </c>
      <c r="I21" s="4"/>
      <c r="J21" s="4"/>
    </row>
    <row r="22" spans="1:10">
      <c r="A22" s="46" t="s">
        <v>258</v>
      </c>
      <c r="B22" s="22" t="s">
        <v>164</v>
      </c>
      <c r="C22" s="23">
        <v>734334</v>
      </c>
      <c r="D22" s="23">
        <v>1691302</v>
      </c>
      <c r="E22" s="90">
        <v>-0.5658173407233007</v>
      </c>
      <c r="F22" s="76">
        <v>34778868</v>
      </c>
      <c r="G22" s="76">
        <v>64206723</v>
      </c>
      <c r="H22" s="94">
        <v>-0.45832980761220288</v>
      </c>
      <c r="I22" s="4"/>
      <c r="J22" s="4"/>
    </row>
    <row r="23" spans="1:10">
      <c r="A23" s="46">
        <v>87149200108</v>
      </c>
      <c r="B23" s="22" t="s">
        <v>165</v>
      </c>
      <c r="C23" s="23">
        <v>60705</v>
      </c>
      <c r="D23" s="23">
        <v>167209</v>
      </c>
      <c r="E23" s="90">
        <v>-0.6369513602736695</v>
      </c>
      <c r="F23" s="76">
        <v>1150263</v>
      </c>
      <c r="G23" s="76">
        <v>1913053</v>
      </c>
      <c r="H23" s="94">
        <v>-0.39872915177990365</v>
      </c>
      <c r="I23" s="4"/>
      <c r="J23" s="4"/>
    </row>
    <row r="24" spans="1:10">
      <c r="A24" s="46">
        <v>87149200206</v>
      </c>
      <c r="B24" s="22" t="s">
        <v>166</v>
      </c>
      <c r="C24" s="23">
        <v>72255</v>
      </c>
      <c r="D24" s="23">
        <v>88335</v>
      </c>
      <c r="E24" s="90">
        <v>-0.18203430123959927</v>
      </c>
      <c r="F24" s="76">
        <v>2057870</v>
      </c>
      <c r="G24" s="76">
        <v>2201940</v>
      </c>
      <c r="H24" s="94">
        <v>-6.5428667447796032E-2</v>
      </c>
      <c r="I24" s="4"/>
      <c r="J24" s="4"/>
    </row>
    <row r="25" spans="1:10">
      <c r="A25" s="46">
        <v>87149200304</v>
      </c>
      <c r="B25" s="22" t="s">
        <v>167</v>
      </c>
      <c r="C25" s="23">
        <v>26811</v>
      </c>
      <c r="D25" s="23">
        <v>20462</v>
      </c>
      <c r="E25" s="90">
        <v>0.31028247483139476</v>
      </c>
      <c r="F25" s="76">
        <v>2978361</v>
      </c>
      <c r="G25" s="76">
        <v>1757438</v>
      </c>
      <c r="H25" s="94">
        <v>0.69471753768838507</v>
      </c>
      <c r="I25" s="4"/>
      <c r="J25" s="4"/>
    </row>
    <row r="26" spans="1:10">
      <c r="A26" s="46">
        <v>87149310007</v>
      </c>
      <c r="B26" s="22" t="s">
        <v>168</v>
      </c>
      <c r="C26" s="23">
        <v>26344</v>
      </c>
      <c r="D26" s="23">
        <v>72358</v>
      </c>
      <c r="E26" s="90">
        <v>-0.63592139086210231</v>
      </c>
      <c r="F26" s="76">
        <v>2677173</v>
      </c>
      <c r="G26" s="76">
        <v>7239557</v>
      </c>
      <c r="H26" s="94">
        <v>-0.63020209662000037</v>
      </c>
      <c r="I26" s="4"/>
      <c r="J26" s="4"/>
    </row>
    <row r="27" spans="1:10">
      <c r="A27" s="46">
        <v>87149320103</v>
      </c>
      <c r="B27" s="22" t="s">
        <v>169</v>
      </c>
      <c r="C27" s="23">
        <v>4619</v>
      </c>
      <c r="D27" s="23">
        <v>11730</v>
      </c>
      <c r="E27" s="90">
        <v>-0.60622335890878087</v>
      </c>
      <c r="F27" s="76">
        <v>246046</v>
      </c>
      <c r="G27" s="76">
        <v>465125</v>
      </c>
      <c r="H27" s="94">
        <v>-0.47101101854340233</v>
      </c>
      <c r="I27" s="4"/>
      <c r="J27" s="4"/>
    </row>
    <row r="28" spans="1:10">
      <c r="A28" s="46">
        <v>87149410006</v>
      </c>
      <c r="B28" s="22" t="s">
        <v>170</v>
      </c>
      <c r="C28" s="23">
        <v>1127</v>
      </c>
      <c r="D28" s="23">
        <v>1420</v>
      </c>
      <c r="E28" s="90">
        <v>-0.20633802816901409</v>
      </c>
      <c r="F28" s="76">
        <v>25392</v>
      </c>
      <c r="G28" s="76">
        <v>52271</v>
      </c>
      <c r="H28" s="94">
        <v>-0.51422394826959494</v>
      </c>
      <c r="I28" s="4"/>
      <c r="J28" s="4"/>
    </row>
    <row r="29" spans="1:10">
      <c r="A29" s="46">
        <v>87149490009</v>
      </c>
      <c r="B29" s="22" t="s">
        <v>171</v>
      </c>
      <c r="C29" s="23">
        <v>436524</v>
      </c>
      <c r="D29" s="23">
        <v>1498438</v>
      </c>
      <c r="E29" s="90">
        <v>-0.70868063943920268</v>
      </c>
      <c r="F29" s="76">
        <v>21090536</v>
      </c>
      <c r="G29" s="76">
        <v>48969220</v>
      </c>
      <c r="H29" s="94">
        <v>-0.56931035454516121</v>
      </c>
      <c r="I29" s="4"/>
      <c r="J29" s="4"/>
    </row>
    <row r="30" spans="1:10">
      <c r="A30" s="46">
        <v>87149500007</v>
      </c>
      <c r="B30" s="22" t="s">
        <v>172</v>
      </c>
      <c r="C30" s="23">
        <v>23374</v>
      </c>
      <c r="D30" s="23">
        <v>32618</v>
      </c>
      <c r="E30" s="90">
        <v>-0.2834018026856337</v>
      </c>
      <c r="F30" s="76">
        <v>1055824</v>
      </c>
      <c r="G30" s="76">
        <v>1171386</v>
      </c>
      <c r="H30" s="94">
        <v>-9.8654073038264067E-2</v>
      </c>
      <c r="I30" s="4"/>
      <c r="J30" s="4"/>
    </row>
    <row r="31" spans="1:10">
      <c r="A31" s="46">
        <v>87149610004</v>
      </c>
      <c r="B31" s="22" t="s">
        <v>173</v>
      </c>
      <c r="C31" s="23">
        <v>71411</v>
      </c>
      <c r="D31" s="23">
        <v>158304</v>
      </c>
      <c r="E31" s="90">
        <v>-0.5488995856074389</v>
      </c>
      <c r="F31" s="76">
        <v>1354889</v>
      </c>
      <c r="G31" s="76">
        <v>2471326</v>
      </c>
      <c r="H31" s="94">
        <v>-0.4517562636414621</v>
      </c>
      <c r="I31" s="4"/>
      <c r="J31" s="4"/>
    </row>
    <row r="32" spans="1:10">
      <c r="A32" s="46">
        <v>87149620002</v>
      </c>
      <c r="B32" s="22" t="s">
        <v>174</v>
      </c>
      <c r="C32" s="23">
        <v>175307</v>
      </c>
      <c r="D32" s="23">
        <v>263543</v>
      </c>
      <c r="E32" s="90">
        <v>-0.33480684366498065</v>
      </c>
      <c r="F32" s="76">
        <v>8264344</v>
      </c>
      <c r="G32" s="76">
        <v>10196012</v>
      </c>
      <c r="H32" s="94">
        <v>-0.18945328820719318</v>
      </c>
      <c r="I32" s="4"/>
      <c r="J32" s="4"/>
    </row>
    <row r="33" spans="1:10">
      <c r="A33" s="46" t="s">
        <v>210</v>
      </c>
      <c r="B33" s="22" t="s">
        <v>175</v>
      </c>
      <c r="C33" s="23">
        <v>60673</v>
      </c>
      <c r="D33" s="23">
        <v>96453</v>
      </c>
      <c r="E33" s="90">
        <v>-0.37095787585663481</v>
      </c>
      <c r="F33" s="76">
        <v>1626810</v>
      </c>
      <c r="G33" s="76">
        <v>2474940</v>
      </c>
      <c r="H33" s="94">
        <v>-0.34268709544473808</v>
      </c>
      <c r="I33" s="4"/>
      <c r="J33" s="4"/>
    </row>
    <row r="34" spans="1:10">
      <c r="A34" s="46">
        <v>87149990111</v>
      </c>
      <c r="B34" s="22" t="s">
        <v>176</v>
      </c>
      <c r="C34" s="23">
        <v>121958</v>
      </c>
      <c r="D34" s="23">
        <v>146012</v>
      </c>
      <c r="E34" s="90">
        <v>-0.16473988439306358</v>
      </c>
      <c r="F34" s="76">
        <v>12962126</v>
      </c>
      <c r="G34" s="76">
        <v>12931992</v>
      </c>
      <c r="H34" s="94">
        <v>2.3301901207486053E-3</v>
      </c>
      <c r="I34" s="4"/>
      <c r="J34" s="4"/>
    </row>
    <row r="35" spans="1:10">
      <c r="A35" s="46">
        <v>87149320906</v>
      </c>
      <c r="B35" s="22" t="s">
        <v>177</v>
      </c>
      <c r="C35" s="23">
        <v>209199</v>
      </c>
      <c r="D35" s="23">
        <v>210870</v>
      </c>
      <c r="E35" s="90">
        <v>-7.9243135581163748E-3</v>
      </c>
      <c r="F35" s="76">
        <v>7290427</v>
      </c>
      <c r="G35" s="76">
        <v>6492442</v>
      </c>
      <c r="H35" s="94">
        <v>0.12290983885570329</v>
      </c>
      <c r="I35" s="4"/>
      <c r="J35" s="4"/>
    </row>
    <row r="36" spans="1:10">
      <c r="A36" s="46">
        <v>87149990139</v>
      </c>
      <c r="B36" s="22" t="s">
        <v>178</v>
      </c>
      <c r="C36" s="23">
        <v>13402</v>
      </c>
      <c r="D36" s="23">
        <v>22789</v>
      </c>
      <c r="E36" s="90">
        <v>-0.41190925446487342</v>
      </c>
      <c r="F36" s="76">
        <v>365297</v>
      </c>
      <c r="G36" s="76">
        <v>510257</v>
      </c>
      <c r="H36" s="94">
        <v>-0.28409213396386529</v>
      </c>
      <c r="I36" s="4"/>
      <c r="J36" s="4"/>
    </row>
    <row r="37" spans="1:10">
      <c r="A37" s="46">
        <v>87149990148</v>
      </c>
      <c r="B37" s="22" t="s">
        <v>179</v>
      </c>
      <c r="C37" s="23">
        <v>18291</v>
      </c>
      <c r="D37" s="23">
        <v>50812</v>
      </c>
      <c r="E37" s="90">
        <v>-0.64002597811540585</v>
      </c>
      <c r="F37" s="76">
        <v>828031</v>
      </c>
      <c r="G37" s="76">
        <v>1502524</v>
      </c>
      <c r="H37" s="94">
        <v>-0.44890663976082912</v>
      </c>
      <c r="I37" s="4"/>
      <c r="J37" s="4"/>
    </row>
    <row r="38" spans="1:10">
      <c r="A38" s="46">
        <v>87149990157</v>
      </c>
      <c r="B38" s="22" t="s">
        <v>180</v>
      </c>
      <c r="C38" s="23">
        <v>36067</v>
      </c>
      <c r="D38" s="23">
        <v>65179</v>
      </c>
      <c r="E38" s="90">
        <v>-0.44664692615719787</v>
      </c>
      <c r="F38" s="76">
        <v>1458240</v>
      </c>
      <c r="G38" s="76">
        <v>3161891</v>
      </c>
      <c r="H38" s="94">
        <v>-0.53880763125610587</v>
      </c>
      <c r="I38" s="4"/>
      <c r="J38" s="4"/>
    </row>
    <row r="39" spans="1:10">
      <c r="A39" s="46" t="s">
        <v>259</v>
      </c>
      <c r="B39" s="22" t="s">
        <v>181</v>
      </c>
      <c r="C39" s="23">
        <v>71357</v>
      </c>
      <c r="D39" s="23">
        <v>82662</v>
      </c>
      <c r="E39" s="90">
        <v>-0.13676175267958676</v>
      </c>
      <c r="F39" s="76">
        <v>2733427</v>
      </c>
      <c r="G39" s="76">
        <v>1847593</v>
      </c>
      <c r="H39" s="94">
        <v>0.47945299641208861</v>
      </c>
      <c r="I39" s="4"/>
      <c r="J39" s="4"/>
    </row>
    <row r="40" spans="1:10">
      <c r="A40" s="46" t="s">
        <v>211</v>
      </c>
      <c r="B40" s="22" t="s">
        <v>182</v>
      </c>
      <c r="C40" s="23">
        <v>364417</v>
      </c>
      <c r="D40" s="23">
        <v>646124</v>
      </c>
      <c r="E40" s="90">
        <v>-0.43599525787619714</v>
      </c>
      <c r="F40" s="76">
        <v>7070346</v>
      </c>
      <c r="G40" s="76">
        <v>10824131</v>
      </c>
      <c r="H40" s="94">
        <v>-0.34679781684090855</v>
      </c>
      <c r="I40" s="4"/>
      <c r="J40" s="4"/>
    </row>
    <row r="41" spans="1:10">
      <c r="A41" s="46" t="s">
        <v>212</v>
      </c>
      <c r="B41" s="22" t="s">
        <v>183</v>
      </c>
      <c r="C41" s="23">
        <v>10304</v>
      </c>
      <c r="D41" s="23">
        <v>35589</v>
      </c>
      <c r="E41" s="90">
        <v>-0.71047233695804879</v>
      </c>
      <c r="F41" s="76">
        <v>120801</v>
      </c>
      <c r="G41" s="76">
        <v>483607</v>
      </c>
      <c r="H41" s="94">
        <v>-0.75020833031779932</v>
      </c>
      <c r="I41" s="4"/>
      <c r="J41" s="4"/>
    </row>
    <row r="42" spans="1:10" ht="18.75" customHeight="1" thickBot="1">
      <c r="A42" s="132" t="s">
        <v>160</v>
      </c>
      <c r="B42" s="133"/>
      <c r="C42" s="63">
        <v>2542801</v>
      </c>
      <c r="D42" s="63">
        <v>5368143</v>
      </c>
      <c r="E42" s="91">
        <v>-0.5263164561748821</v>
      </c>
      <c r="F42" s="77">
        <v>110665577</v>
      </c>
      <c r="G42" s="77">
        <v>181519187</v>
      </c>
      <c r="H42" s="91">
        <v>-0.39033675266516038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259" priority="9" operator="greaterThanOrEqual">
      <formula>0</formula>
    </cfRule>
    <cfRule type="cellIs" dxfId="258" priority="10" operator="lessThan">
      <formula>0</formula>
    </cfRule>
  </conditionalFormatting>
  <conditionalFormatting sqref="E13">
    <cfRule type="cellIs" dxfId="257" priority="5" operator="greaterThanOrEqual">
      <formula>0</formula>
    </cfRule>
    <cfRule type="cellIs" dxfId="256" priority="6" operator="lessThan">
      <formula>0</formula>
    </cfRule>
  </conditionalFormatting>
  <conditionalFormatting sqref="E20:E41">
    <cfRule type="cellIs" dxfId="255" priority="13" operator="greaterThanOrEqual">
      <formula>0</formula>
    </cfRule>
    <cfRule type="cellIs" dxfId="254" priority="14" operator="lessThan">
      <formula>0</formula>
    </cfRule>
  </conditionalFormatting>
  <conditionalFormatting sqref="H5:H10">
    <cfRule type="cellIs" dxfId="253" priority="11" operator="greaterThanOrEqual">
      <formula>0</formula>
    </cfRule>
    <cfRule type="cellIs" dxfId="252" priority="12" operator="lessThan">
      <formula>0</formula>
    </cfRule>
  </conditionalFormatting>
  <conditionalFormatting sqref="H13">
    <cfRule type="cellIs" dxfId="251" priority="3" operator="greaterThanOrEqual">
      <formula>0</formula>
    </cfRule>
    <cfRule type="cellIs" dxfId="250" priority="4" operator="lessThan">
      <formula>0</formula>
    </cfRule>
  </conditionalFormatting>
  <conditionalFormatting sqref="K5:K10">
    <cfRule type="cellIs" dxfId="249" priority="7" operator="greaterThanOrEqual">
      <formula>0</formula>
    </cfRule>
    <cfRule type="cellIs" dxfId="248" priority="8" operator="lessThan">
      <formula>0</formula>
    </cfRule>
  </conditionalFormatting>
  <conditionalFormatting sqref="K13">
    <cfRule type="cellIs" dxfId="247" priority="1" operator="greaterThanOrEqual">
      <formula>0</formula>
    </cfRule>
    <cfRule type="cellIs" dxfId="246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  <pageSetUpPr fitToPage="1"/>
  </sheetPr>
  <dimension ref="A1:J89"/>
  <sheetViews>
    <sheetView zoomScaleNormal="100" workbookViewId="0">
      <selection activeCell="J9" sqref="J9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7.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8.875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8.875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8.875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8.875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8.875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8.875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8.875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8.875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8.875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8.875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8.875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8.875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8.875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8.875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8.875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8.875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8.875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8.875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8.875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8.875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8.875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8.875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8.875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8.875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8.875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8.875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8.875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8.875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8.875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8.875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8.875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8.875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8.875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8.875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8.875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8.875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8.875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8.875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8.875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8.875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8.875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8.875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8.875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8.875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8.875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8.875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8.875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8.875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8.875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8.875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8.875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8.875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8.875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8.875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8.875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8.875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8.875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8.875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8.875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8.875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8.875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8.875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8.875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8.875" style="3"/>
  </cols>
  <sheetData>
    <row r="1" spans="1:10" s="1" customFormat="1" ht="23.25" customHeight="1">
      <c r="A1" s="130" t="s">
        <v>277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137</v>
      </c>
      <c r="B3" s="6" t="s">
        <v>138</v>
      </c>
      <c r="C3" s="110" t="s">
        <v>289</v>
      </c>
      <c r="D3" s="111" t="s">
        <v>290</v>
      </c>
      <c r="E3" s="112" t="s">
        <v>2</v>
      </c>
      <c r="F3" s="113" t="s">
        <v>291</v>
      </c>
      <c r="G3" s="114" t="s">
        <v>292</v>
      </c>
      <c r="H3" s="9" t="s">
        <v>144</v>
      </c>
      <c r="I3" s="56" t="s">
        <v>145</v>
      </c>
      <c r="J3" s="56" t="s">
        <v>146</v>
      </c>
    </row>
    <row r="4" spans="1:10" ht="15" customHeight="1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206</v>
      </c>
      <c r="B5" s="22" t="s">
        <v>147</v>
      </c>
      <c r="C5" s="23">
        <v>224</v>
      </c>
      <c r="D5" s="23">
        <v>3694</v>
      </c>
      <c r="E5" s="101">
        <v>-3470</v>
      </c>
      <c r="F5" s="23">
        <v>281750</v>
      </c>
      <c r="G5" s="23">
        <v>189841</v>
      </c>
      <c r="H5" s="84">
        <v>91909</v>
      </c>
      <c r="I5" s="25">
        <v>1257.8125</v>
      </c>
      <c r="J5" s="25">
        <v>51.391716296697346</v>
      </c>
    </row>
    <row r="6" spans="1:10" ht="16.5">
      <c r="A6" s="26" t="s">
        <v>205</v>
      </c>
      <c r="B6" s="27" t="s">
        <v>148</v>
      </c>
      <c r="C6" s="23">
        <v>338</v>
      </c>
      <c r="D6" s="23">
        <v>1417</v>
      </c>
      <c r="E6" s="101">
        <v>-1079</v>
      </c>
      <c r="F6" s="23">
        <v>263186</v>
      </c>
      <c r="G6" s="23">
        <v>108967</v>
      </c>
      <c r="H6" s="84">
        <v>154219</v>
      </c>
      <c r="I6" s="25">
        <v>778.65680473372777</v>
      </c>
      <c r="J6" s="25">
        <v>76.899788285109381</v>
      </c>
    </row>
    <row r="7" spans="1:10" ht="16.5">
      <c r="A7" s="21" t="s">
        <v>149</v>
      </c>
      <c r="B7" s="28" t="s">
        <v>150</v>
      </c>
      <c r="C7" s="29">
        <v>0</v>
      </c>
      <c r="D7" s="23">
        <v>1304</v>
      </c>
      <c r="E7" s="101">
        <v>-1304</v>
      </c>
      <c r="F7" s="23">
        <v>0</v>
      </c>
      <c r="G7" s="23">
        <v>86484</v>
      </c>
      <c r="H7" s="84">
        <v>-86484</v>
      </c>
      <c r="I7" s="25">
        <v>0</v>
      </c>
      <c r="J7" s="25">
        <v>66.322085889570559</v>
      </c>
    </row>
    <row r="8" spans="1:10" ht="16.5">
      <c r="A8" s="21" t="s">
        <v>151</v>
      </c>
      <c r="B8" s="28" t="s">
        <v>152</v>
      </c>
      <c r="C8" s="23">
        <v>77</v>
      </c>
      <c r="D8" s="23">
        <v>3544</v>
      </c>
      <c r="E8" s="101">
        <v>-3467</v>
      </c>
      <c r="F8" s="23">
        <v>20257</v>
      </c>
      <c r="G8" s="23">
        <v>425461</v>
      </c>
      <c r="H8" s="84">
        <v>-405204</v>
      </c>
      <c r="I8" s="25">
        <v>263.0779220779221</v>
      </c>
      <c r="J8" s="25">
        <v>120.05107223476298</v>
      </c>
    </row>
    <row r="9" spans="1:10" ht="16.5">
      <c r="A9" s="21" t="s">
        <v>153</v>
      </c>
      <c r="B9" s="28" t="s">
        <v>154</v>
      </c>
      <c r="C9" s="23">
        <v>591</v>
      </c>
      <c r="D9" s="23">
        <v>1914</v>
      </c>
      <c r="E9" s="101">
        <v>-1323</v>
      </c>
      <c r="F9" s="23">
        <v>672843</v>
      </c>
      <c r="G9" s="23">
        <v>178802</v>
      </c>
      <c r="H9" s="84">
        <v>494041</v>
      </c>
      <c r="I9" s="25">
        <v>1138.4822335025381</v>
      </c>
      <c r="J9" s="25">
        <v>93.417972831765937</v>
      </c>
    </row>
    <row r="10" spans="1:10" ht="16.5">
      <c r="A10" s="21" t="s">
        <v>155</v>
      </c>
      <c r="B10" s="28" t="s">
        <v>156</v>
      </c>
      <c r="C10" s="23">
        <v>6874</v>
      </c>
      <c r="D10" s="23">
        <v>1054</v>
      </c>
      <c r="E10" s="101">
        <v>5820</v>
      </c>
      <c r="F10" s="23">
        <v>10358109</v>
      </c>
      <c r="G10" s="23">
        <v>247225</v>
      </c>
      <c r="H10" s="84">
        <v>10110884</v>
      </c>
      <c r="I10" s="25">
        <v>1506.8532150130927</v>
      </c>
      <c r="J10" s="25">
        <v>234.55882352941177</v>
      </c>
    </row>
    <row r="11" spans="1:10" ht="17.25" thickBot="1">
      <c r="A11" s="48" t="s">
        <v>157</v>
      </c>
      <c r="B11" s="70" t="s">
        <v>158</v>
      </c>
      <c r="C11" s="63">
        <v>8104</v>
      </c>
      <c r="D11" s="63">
        <v>12927</v>
      </c>
      <c r="E11" s="100">
        <v>-4823</v>
      </c>
      <c r="F11" s="63">
        <v>11596145</v>
      </c>
      <c r="G11" s="63">
        <v>1236780</v>
      </c>
      <c r="H11" s="82">
        <v>10359365</v>
      </c>
      <c r="I11" s="102">
        <v>1430.9162142152024</v>
      </c>
      <c r="J11" s="72">
        <v>95.674170341146436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207</v>
      </c>
      <c r="B13" s="22" t="s">
        <v>159</v>
      </c>
      <c r="C13" s="23">
        <v>0</v>
      </c>
      <c r="D13" s="23">
        <v>561</v>
      </c>
      <c r="E13" s="101">
        <v>-561</v>
      </c>
      <c r="F13" s="23">
        <v>0</v>
      </c>
      <c r="G13" s="23">
        <v>25212</v>
      </c>
      <c r="H13" s="103">
        <v>-25212</v>
      </c>
      <c r="I13" s="25">
        <v>0</v>
      </c>
      <c r="J13" s="25">
        <v>44.941176470588232</v>
      </c>
    </row>
    <row r="14" spans="1:10" ht="17.25" thickBot="1">
      <c r="A14" s="106" t="s">
        <v>160</v>
      </c>
      <c r="B14" s="105" t="s">
        <v>80</v>
      </c>
      <c r="C14" s="63">
        <v>8104</v>
      </c>
      <c r="D14" s="63">
        <v>13488</v>
      </c>
      <c r="E14" s="80">
        <v>-5384</v>
      </c>
      <c r="F14" s="63">
        <v>11596145</v>
      </c>
      <c r="G14" s="63">
        <v>1261992</v>
      </c>
      <c r="H14" s="107">
        <v>10334153</v>
      </c>
      <c r="I14" s="72">
        <v>1430.9162142152024</v>
      </c>
      <c r="J14" s="104">
        <v>93.564056939501782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278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110" t="s">
        <v>293</v>
      </c>
      <c r="D18" s="111" t="s">
        <v>294</v>
      </c>
      <c r="E18" s="112" t="s">
        <v>2</v>
      </c>
      <c r="F18" s="113" t="s">
        <v>295</v>
      </c>
      <c r="G18" s="114" t="s">
        <v>292</v>
      </c>
      <c r="H18" s="9" t="s">
        <v>144</v>
      </c>
      <c r="I18" s="44"/>
      <c r="J18" s="44"/>
    </row>
    <row r="19" spans="1:10">
      <c r="A19" s="13"/>
      <c r="B19" s="14"/>
      <c r="C19" s="15" t="s">
        <v>161</v>
      </c>
      <c r="D19" s="15" t="s">
        <v>161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208</v>
      </c>
      <c r="B20" s="22" t="s">
        <v>162</v>
      </c>
      <c r="C20" s="23">
        <v>309</v>
      </c>
      <c r="D20" s="23">
        <v>2076</v>
      </c>
      <c r="E20" s="24">
        <v>-1767</v>
      </c>
      <c r="F20" s="23">
        <v>40295</v>
      </c>
      <c r="G20" s="23">
        <v>69014</v>
      </c>
      <c r="H20" s="24">
        <v>-28719</v>
      </c>
      <c r="I20" s="4"/>
      <c r="J20" s="4"/>
    </row>
    <row r="21" spans="1:10">
      <c r="A21" s="46" t="s">
        <v>209</v>
      </c>
      <c r="B21" s="22" t="s">
        <v>163</v>
      </c>
      <c r="C21" s="23">
        <v>0</v>
      </c>
      <c r="D21" s="23">
        <v>1654</v>
      </c>
      <c r="E21" s="24">
        <v>-1654</v>
      </c>
      <c r="F21" s="23">
        <v>0</v>
      </c>
      <c r="G21" s="23">
        <v>104874</v>
      </c>
      <c r="H21" s="24">
        <v>-104874</v>
      </c>
      <c r="I21" s="4"/>
      <c r="J21" s="4"/>
    </row>
    <row r="22" spans="1:10">
      <c r="A22" s="46" t="s">
        <v>258</v>
      </c>
      <c r="B22" s="22" t="s">
        <v>164</v>
      </c>
      <c r="C22" s="23">
        <v>74355</v>
      </c>
      <c r="D22" s="23">
        <v>286471</v>
      </c>
      <c r="E22" s="24">
        <v>-212116</v>
      </c>
      <c r="F22" s="23">
        <v>3982125</v>
      </c>
      <c r="G22" s="23">
        <v>21546166</v>
      </c>
      <c r="H22" s="24">
        <v>-17564041</v>
      </c>
      <c r="I22" s="4"/>
      <c r="J22" s="4"/>
    </row>
    <row r="23" spans="1:10">
      <c r="A23" s="46">
        <v>87149200108</v>
      </c>
      <c r="B23" s="22" t="s">
        <v>165</v>
      </c>
      <c r="C23" s="23">
        <v>3714</v>
      </c>
      <c r="D23" s="23">
        <v>50045</v>
      </c>
      <c r="E23" s="24">
        <v>-46331</v>
      </c>
      <c r="F23" s="23">
        <v>84636</v>
      </c>
      <c r="G23" s="23">
        <v>3784127</v>
      </c>
      <c r="H23" s="24">
        <v>-3699491</v>
      </c>
      <c r="I23" s="4"/>
      <c r="J23" s="4"/>
    </row>
    <row r="24" spans="1:10">
      <c r="A24" s="46">
        <v>87149200206</v>
      </c>
      <c r="B24" s="22" t="s">
        <v>166</v>
      </c>
      <c r="C24" s="23">
        <v>14730</v>
      </c>
      <c r="D24" s="23">
        <v>5039</v>
      </c>
      <c r="E24" s="24">
        <v>9691</v>
      </c>
      <c r="F24" s="23">
        <v>333114</v>
      </c>
      <c r="G24" s="23">
        <v>536155</v>
      </c>
      <c r="H24" s="24">
        <v>-203041</v>
      </c>
      <c r="I24" s="4"/>
      <c r="J24" s="4"/>
    </row>
    <row r="25" spans="1:10">
      <c r="A25" s="46">
        <v>87149200304</v>
      </c>
      <c r="B25" s="22" t="s">
        <v>167</v>
      </c>
      <c r="C25" s="23">
        <v>2102</v>
      </c>
      <c r="D25" s="23">
        <v>15722</v>
      </c>
      <c r="E25" s="24">
        <v>-13620</v>
      </c>
      <c r="F25" s="23">
        <v>258984</v>
      </c>
      <c r="G25" s="23">
        <v>329609</v>
      </c>
      <c r="H25" s="24">
        <v>-70625</v>
      </c>
      <c r="I25" s="4"/>
      <c r="J25" s="4"/>
    </row>
    <row r="26" spans="1:10">
      <c r="A26" s="46">
        <v>87149310007</v>
      </c>
      <c r="B26" s="22" t="s">
        <v>168</v>
      </c>
      <c r="C26" s="23">
        <v>2364</v>
      </c>
      <c r="D26" s="23">
        <v>29154</v>
      </c>
      <c r="E26" s="24">
        <v>-26790</v>
      </c>
      <c r="F26" s="23">
        <v>546221</v>
      </c>
      <c r="G26" s="23">
        <v>1276532</v>
      </c>
      <c r="H26" s="24">
        <v>-730311</v>
      </c>
      <c r="I26" s="4"/>
      <c r="J26" s="4"/>
    </row>
    <row r="27" spans="1:10">
      <c r="A27" s="46">
        <v>87149320103</v>
      </c>
      <c r="B27" s="22" t="s">
        <v>169</v>
      </c>
      <c r="C27" s="23">
        <v>126</v>
      </c>
      <c r="D27" s="23">
        <v>41</v>
      </c>
      <c r="E27" s="24">
        <v>85</v>
      </c>
      <c r="F27" s="23">
        <v>8812</v>
      </c>
      <c r="G27" s="23">
        <v>784</v>
      </c>
      <c r="H27" s="24">
        <v>8028</v>
      </c>
      <c r="I27" s="4"/>
      <c r="J27" s="4"/>
    </row>
    <row r="28" spans="1:10">
      <c r="A28" s="46">
        <v>87149410006</v>
      </c>
      <c r="B28" s="22" t="s">
        <v>170</v>
      </c>
      <c r="C28" s="23">
        <v>0</v>
      </c>
      <c r="D28" s="23">
        <v>762</v>
      </c>
      <c r="E28" s="24">
        <v>-762</v>
      </c>
      <c r="F28" s="23">
        <v>0</v>
      </c>
      <c r="G28" s="23">
        <v>12230</v>
      </c>
      <c r="H28" s="24">
        <v>-12230</v>
      </c>
      <c r="I28" s="4"/>
      <c r="J28" s="4"/>
    </row>
    <row r="29" spans="1:10">
      <c r="A29" s="46">
        <v>87149490009</v>
      </c>
      <c r="B29" s="22" t="s">
        <v>171</v>
      </c>
      <c r="C29" s="23">
        <v>51834</v>
      </c>
      <c r="D29" s="23">
        <v>56815</v>
      </c>
      <c r="E29" s="24">
        <v>-4981</v>
      </c>
      <c r="F29" s="23">
        <v>2789433</v>
      </c>
      <c r="G29" s="23">
        <v>624886</v>
      </c>
      <c r="H29" s="24">
        <v>2164547</v>
      </c>
      <c r="I29" s="4"/>
      <c r="J29" s="4"/>
    </row>
    <row r="30" spans="1:10">
      <c r="A30" s="46">
        <v>87149500007</v>
      </c>
      <c r="B30" s="22" t="s">
        <v>172</v>
      </c>
      <c r="C30" s="23">
        <v>1493</v>
      </c>
      <c r="D30" s="23">
        <v>15800</v>
      </c>
      <c r="E30" s="24">
        <v>-14307</v>
      </c>
      <c r="F30" s="23">
        <v>65884</v>
      </c>
      <c r="G30" s="23">
        <v>247250</v>
      </c>
      <c r="H30" s="24">
        <v>-181366</v>
      </c>
      <c r="I30" s="4"/>
      <c r="J30" s="4"/>
    </row>
    <row r="31" spans="1:10">
      <c r="A31" s="46">
        <v>87149610004</v>
      </c>
      <c r="B31" s="22" t="s">
        <v>173</v>
      </c>
      <c r="C31" s="23">
        <v>5362</v>
      </c>
      <c r="D31" s="23">
        <v>13500</v>
      </c>
      <c r="E31" s="24">
        <v>-8138</v>
      </c>
      <c r="F31" s="23">
        <v>85574</v>
      </c>
      <c r="G31" s="23">
        <v>1540963</v>
      </c>
      <c r="H31" s="24">
        <v>-1455389</v>
      </c>
      <c r="I31" s="4"/>
      <c r="J31" s="4"/>
    </row>
    <row r="32" spans="1:10">
      <c r="A32" s="46">
        <v>87149620002</v>
      </c>
      <c r="B32" s="22" t="s">
        <v>174</v>
      </c>
      <c r="C32" s="23">
        <v>18033</v>
      </c>
      <c r="D32" s="23">
        <v>38341</v>
      </c>
      <c r="E32" s="24">
        <v>-20308</v>
      </c>
      <c r="F32" s="23">
        <v>944030</v>
      </c>
      <c r="G32" s="23">
        <v>629603</v>
      </c>
      <c r="H32" s="24">
        <v>314427</v>
      </c>
      <c r="I32" s="4"/>
      <c r="J32" s="4"/>
    </row>
    <row r="33" spans="1:10">
      <c r="A33" s="46" t="s">
        <v>210</v>
      </c>
      <c r="B33" s="22" t="s">
        <v>175</v>
      </c>
      <c r="C33" s="23">
        <v>3232</v>
      </c>
      <c r="D33" s="23">
        <v>18815</v>
      </c>
      <c r="E33" s="24">
        <v>-15583</v>
      </c>
      <c r="F33" s="23">
        <v>142019</v>
      </c>
      <c r="G33" s="23">
        <v>70430</v>
      </c>
      <c r="H33" s="24">
        <v>71589</v>
      </c>
      <c r="I33" s="4"/>
      <c r="J33" s="4"/>
    </row>
    <row r="34" spans="1:10">
      <c r="A34" s="46">
        <v>87149990111</v>
      </c>
      <c r="B34" s="22" t="s">
        <v>176</v>
      </c>
      <c r="C34" s="23">
        <v>8426</v>
      </c>
      <c r="D34" s="23">
        <v>9822</v>
      </c>
      <c r="E34" s="24">
        <v>-1396</v>
      </c>
      <c r="F34" s="23">
        <v>1453778</v>
      </c>
      <c r="G34" s="23">
        <v>387201</v>
      </c>
      <c r="H34" s="24">
        <v>1066577</v>
      </c>
      <c r="I34" s="4"/>
      <c r="J34" s="4"/>
    </row>
    <row r="35" spans="1:10">
      <c r="A35" s="46">
        <v>87149320906</v>
      </c>
      <c r="B35" s="22" t="s">
        <v>177</v>
      </c>
      <c r="C35" s="23">
        <v>20155</v>
      </c>
      <c r="D35" s="23">
        <v>5632</v>
      </c>
      <c r="E35" s="24">
        <v>14523</v>
      </c>
      <c r="F35" s="23">
        <v>774067</v>
      </c>
      <c r="G35" s="23">
        <v>93071</v>
      </c>
      <c r="H35" s="24">
        <v>680996</v>
      </c>
      <c r="I35" s="4"/>
      <c r="J35" s="4"/>
    </row>
    <row r="36" spans="1:10">
      <c r="A36" s="46">
        <v>87149990139</v>
      </c>
      <c r="B36" s="22" t="s">
        <v>178</v>
      </c>
      <c r="C36" s="23">
        <v>4480</v>
      </c>
      <c r="D36" s="23">
        <v>802</v>
      </c>
      <c r="E36" s="24">
        <v>3678</v>
      </c>
      <c r="F36" s="23">
        <v>125306</v>
      </c>
      <c r="G36" s="23">
        <v>1725</v>
      </c>
      <c r="H36" s="24">
        <v>123581</v>
      </c>
      <c r="I36" s="4"/>
      <c r="J36" s="4"/>
    </row>
    <row r="37" spans="1:10">
      <c r="A37" s="46">
        <v>87149990148</v>
      </c>
      <c r="B37" s="22" t="s">
        <v>179</v>
      </c>
      <c r="C37" s="23">
        <v>1444</v>
      </c>
      <c r="D37" s="23">
        <v>6766</v>
      </c>
      <c r="E37" s="24">
        <v>-5322</v>
      </c>
      <c r="F37" s="23">
        <v>78551</v>
      </c>
      <c r="G37" s="23">
        <v>266201</v>
      </c>
      <c r="H37" s="24">
        <v>-187650</v>
      </c>
      <c r="I37" s="4"/>
      <c r="J37" s="4"/>
    </row>
    <row r="38" spans="1:10">
      <c r="A38" s="46">
        <v>87149990157</v>
      </c>
      <c r="B38" s="22" t="s">
        <v>180</v>
      </c>
      <c r="C38" s="23">
        <v>1958</v>
      </c>
      <c r="D38" s="23">
        <v>16084</v>
      </c>
      <c r="E38" s="24">
        <v>-14126</v>
      </c>
      <c r="F38" s="23">
        <v>75853</v>
      </c>
      <c r="G38" s="23">
        <v>945761</v>
      </c>
      <c r="H38" s="24">
        <v>-869908</v>
      </c>
      <c r="I38" s="4"/>
      <c r="J38" s="4"/>
    </row>
    <row r="39" spans="1:10">
      <c r="A39" s="46" t="s">
        <v>259</v>
      </c>
      <c r="B39" s="22" t="s">
        <v>181</v>
      </c>
      <c r="C39" s="23">
        <v>4088</v>
      </c>
      <c r="D39" s="23">
        <v>22690</v>
      </c>
      <c r="E39" s="24">
        <v>-18602</v>
      </c>
      <c r="F39" s="23">
        <v>253307</v>
      </c>
      <c r="G39" s="23">
        <v>1075022</v>
      </c>
      <c r="H39" s="24">
        <v>-821715</v>
      </c>
      <c r="I39" s="4"/>
      <c r="J39" s="4"/>
    </row>
    <row r="40" spans="1:10">
      <c r="A40" s="46" t="s">
        <v>211</v>
      </c>
      <c r="B40" s="22" t="s">
        <v>182</v>
      </c>
      <c r="C40" s="23">
        <v>48224</v>
      </c>
      <c r="D40" s="23">
        <v>33490</v>
      </c>
      <c r="E40" s="24">
        <v>14734</v>
      </c>
      <c r="F40" s="23">
        <v>1031484</v>
      </c>
      <c r="G40" s="23">
        <v>204133</v>
      </c>
      <c r="H40" s="24">
        <v>827351</v>
      </c>
      <c r="I40" s="4"/>
      <c r="J40" s="4"/>
    </row>
    <row r="41" spans="1:10">
      <c r="A41" s="46" t="s">
        <v>212</v>
      </c>
      <c r="B41" s="22" t="s">
        <v>183</v>
      </c>
      <c r="C41" s="23">
        <v>1533</v>
      </c>
      <c r="D41" s="23">
        <v>11955</v>
      </c>
      <c r="E41" s="24">
        <v>-10422</v>
      </c>
      <c r="F41" s="23">
        <v>19630</v>
      </c>
      <c r="G41" s="23">
        <v>63247</v>
      </c>
      <c r="H41" s="24">
        <v>-43617</v>
      </c>
      <c r="I41" s="4"/>
      <c r="J41" s="4"/>
    </row>
    <row r="42" spans="1:10" ht="18.75" customHeight="1" thickBot="1">
      <c r="A42" s="132" t="s">
        <v>160</v>
      </c>
      <c r="B42" s="133"/>
      <c r="C42" s="50">
        <v>267962</v>
      </c>
      <c r="D42" s="50">
        <v>641476</v>
      </c>
      <c r="E42" s="51">
        <v>-373514</v>
      </c>
      <c r="F42" s="50">
        <v>13093103</v>
      </c>
      <c r="G42" s="50">
        <v>33808984</v>
      </c>
      <c r="H42" s="51">
        <v>-20715881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  <pageSetUpPr fitToPage="1"/>
  </sheetPr>
  <dimension ref="A1:J89"/>
  <sheetViews>
    <sheetView zoomScaleNormal="100" workbookViewId="0">
      <selection activeCell="J21" sqref="J21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7.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8.875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8.875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8.875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8.875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8.875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8.875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8.875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8.875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8.875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8.875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8.875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8.875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8.875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8.875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8.875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8.875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8.875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8.875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8.875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8.875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8.875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8.875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8.875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8.875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8.875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8.875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8.875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8.875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8.875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8.875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8.875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8.875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8.875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8.875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8.875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8.875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8.875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8.875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8.875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8.875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8.875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8.875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8.875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8.875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8.875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8.875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8.875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8.875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8.875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8.875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8.875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8.875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8.875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8.875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8.875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8.875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8.875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8.875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8.875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8.875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8.875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8.875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8.875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8.875" style="3"/>
  </cols>
  <sheetData>
    <row r="1" spans="1:10" s="1" customFormat="1" ht="23.25" customHeight="1">
      <c r="A1" s="130" t="s">
        <v>275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137</v>
      </c>
      <c r="B3" s="6" t="s">
        <v>138</v>
      </c>
      <c r="C3" s="110" t="s">
        <v>260</v>
      </c>
      <c r="D3" s="111" t="s">
        <v>261</v>
      </c>
      <c r="E3" s="112" t="s">
        <v>262</v>
      </c>
      <c r="F3" s="113" t="s">
        <v>263</v>
      </c>
      <c r="G3" s="114" t="s">
        <v>264</v>
      </c>
      <c r="H3" s="9" t="s">
        <v>144</v>
      </c>
      <c r="I3" s="56" t="s">
        <v>145</v>
      </c>
      <c r="J3" s="56" t="s">
        <v>146</v>
      </c>
    </row>
    <row r="4" spans="1:10" ht="15" customHeight="1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206</v>
      </c>
      <c r="B5" s="22" t="s">
        <v>147</v>
      </c>
      <c r="C5" s="23">
        <v>1560</v>
      </c>
      <c r="D5" s="23">
        <v>3752</v>
      </c>
      <c r="E5" s="101">
        <v>-2192</v>
      </c>
      <c r="F5" s="23">
        <v>565582</v>
      </c>
      <c r="G5" s="23">
        <v>218761</v>
      </c>
      <c r="H5" s="84">
        <v>346821</v>
      </c>
      <c r="I5" s="25">
        <v>362.55256410256408</v>
      </c>
      <c r="J5" s="25">
        <v>58.305170575692962</v>
      </c>
    </row>
    <row r="6" spans="1:10" ht="16.5">
      <c r="A6" s="26" t="s">
        <v>205</v>
      </c>
      <c r="B6" s="27" t="s">
        <v>148</v>
      </c>
      <c r="C6" s="23">
        <v>258</v>
      </c>
      <c r="D6" s="23">
        <v>1969</v>
      </c>
      <c r="E6" s="101">
        <v>-1711</v>
      </c>
      <c r="F6" s="23">
        <v>169785</v>
      </c>
      <c r="G6" s="23">
        <v>194310</v>
      </c>
      <c r="H6" s="84">
        <v>-24525</v>
      </c>
      <c r="I6" s="25">
        <v>658.08139534883719</v>
      </c>
      <c r="J6" s="25">
        <v>98.684611477907566</v>
      </c>
    </row>
    <row r="7" spans="1:10" ht="16.5">
      <c r="A7" s="21" t="s">
        <v>149</v>
      </c>
      <c r="B7" s="28" t="s">
        <v>150</v>
      </c>
      <c r="C7" s="29">
        <v>0</v>
      </c>
      <c r="D7" s="23">
        <v>3379</v>
      </c>
      <c r="E7" s="101">
        <v>-3379</v>
      </c>
      <c r="F7" s="23">
        <v>0</v>
      </c>
      <c r="G7" s="23">
        <v>142481</v>
      </c>
      <c r="H7" s="84">
        <v>-142481</v>
      </c>
      <c r="I7" s="25">
        <v>0</v>
      </c>
      <c r="J7" s="25">
        <v>42.166617342408998</v>
      </c>
    </row>
    <row r="8" spans="1:10" ht="16.5">
      <c r="A8" s="21" t="s">
        <v>151</v>
      </c>
      <c r="B8" s="28" t="s">
        <v>152</v>
      </c>
      <c r="C8" s="23">
        <v>8</v>
      </c>
      <c r="D8" s="23">
        <v>3217</v>
      </c>
      <c r="E8" s="101">
        <v>-3209</v>
      </c>
      <c r="F8" s="23">
        <v>7396</v>
      </c>
      <c r="G8" s="23">
        <v>426642</v>
      </c>
      <c r="H8" s="84">
        <v>-419246</v>
      </c>
      <c r="I8" s="25">
        <v>924.5</v>
      </c>
      <c r="J8" s="25">
        <v>132.62107553621385</v>
      </c>
    </row>
    <row r="9" spans="1:10" ht="16.5">
      <c r="A9" s="21" t="s">
        <v>153</v>
      </c>
      <c r="B9" s="28" t="s">
        <v>154</v>
      </c>
      <c r="C9" s="23">
        <v>3823</v>
      </c>
      <c r="D9" s="23">
        <v>1990</v>
      </c>
      <c r="E9" s="101">
        <v>1833</v>
      </c>
      <c r="F9" s="23">
        <v>1680214</v>
      </c>
      <c r="G9" s="23">
        <v>164066</v>
      </c>
      <c r="H9" s="84">
        <v>1516148</v>
      </c>
      <c r="I9" s="25">
        <v>439.50143866073762</v>
      </c>
      <c r="J9" s="25">
        <v>82.445226130653268</v>
      </c>
    </row>
    <row r="10" spans="1:10" ht="16.5">
      <c r="A10" s="21" t="s">
        <v>155</v>
      </c>
      <c r="B10" s="28" t="s">
        <v>156</v>
      </c>
      <c r="C10" s="23">
        <v>8164</v>
      </c>
      <c r="D10" s="23">
        <v>1618</v>
      </c>
      <c r="E10" s="101">
        <v>6546</v>
      </c>
      <c r="F10" s="23">
        <v>12858122</v>
      </c>
      <c r="G10" s="23">
        <v>237892</v>
      </c>
      <c r="H10" s="84">
        <v>12620230</v>
      </c>
      <c r="I10" s="25">
        <v>1574.9781969622734</v>
      </c>
      <c r="J10" s="25">
        <v>147.02843016069221</v>
      </c>
    </row>
    <row r="11" spans="1:10" ht="17.25" thickBot="1">
      <c r="A11" s="48" t="s">
        <v>157</v>
      </c>
      <c r="B11" s="70" t="s">
        <v>158</v>
      </c>
      <c r="C11" s="63">
        <v>13813</v>
      </c>
      <c r="D11" s="63">
        <v>15925</v>
      </c>
      <c r="E11" s="100">
        <v>-2112</v>
      </c>
      <c r="F11" s="63">
        <v>15281099</v>
      </c>
      <c r="G11" s="63">
        <v>1384152</v>
      </c>
      <c r="H11" s="82">
        <v>13896947</v>
      </c>
      <c r="I11" s="102">
        <v>1106.2838630275828</v>
      </c>
      <c r="J11" s="72">
        <v>86.916923076923084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207</v>
      </c>
      <c r="B13" s="22" t="s">
        <v>159</v>
      </c>
      <c r="C13" s="23">
        <v>21</v>
      </c>
      <c r="D13" s="23">
        <v>540</v>
      </c>
      <c r="E13" s="101">
        <v>-519</v>
      </c>
      <c r="F13" s="23">
        <v>6889</v>
      </c>
      <c r="G13" s="23">
        <v>20955</v>
      </c>
      <c r="H13" s="103">
        <v>-14066</v>
      </c>
      <c r="I13" s="25">
        <v>328.04761904761904</v>
      </c>
      <c r="J13" s="25">
        <v>38.805555555555557</v>
      </c>
    </row>
    <row r="14" spans="1:10" ht="17.25" thickBot="1">
      <c r="A14" s="106" t="s">
        <v>160</v>
      </c>
      <c r="B14" s="105" t="s">
        <v>80</v>
      </c>
      <c r="C14" s="63">
        <v>13834</v>
      </c>
      <c r="D14" s="63">
        <v>16465</v>
      </c>
      <c r="E14" s="80">
        <v>-2631</v>
      </c>
      <c r="F14" s="63">
        <v>15287988</v>
      </c>
      <c r="G14" s="63">
        <v>1405107</v>
      </c>
      <c r="H14" s="107">
        <v>13882881</v>
      </c>
      <c r="I14" s="72">
        <v>1105.102501084285</v>
      </c>
      <c r="J14" s="104">
        <v>85.339022168235658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276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110" t="s">
        <v>260</v>
      </c>
      <c r="D18" s="111" t="s">
        <v>261</v>
      </c>
      <c r="E18" s="112" t="s">
        <v>265</v>
      </c>
      <c r="F18" s="113" t="s">
        <v>263</v>
      </c>
      <c r="G18" s="114" t="s">
        <v>266</v>
      </c>
      <c r="H18" s="9" t="s">
        <v>144</v>
      </c>
      <c r="I18" s="44"/>
      <c r="J18" s="44"/>
    </row>
    <row r="19" spans="1:10">
      <c r="A19" s="13"/>
      <c r="B19" s="14"/>
      <c r="C19" s="15" t="s">
        <v>161</v>
      </c>
      <c r="D19" s="15" t="s">
        <v>161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208</v>
      </c>
      <c r="B20" s="22" t="s">
        <v>162</v>
      </c>
      <c r="C20" s="23">
        <v>177</v>
      </c>
      <c r="D20" s="23">
        <v>1809</v>
      </c>
      <c r="E20" s="24">
        <v>-1632</v>
      </c>
      <c r="F20" s="23">
        <v>27623</v>
      </c>
      <c r="G20" s="23">
        <v>67873</v>
      </c>
      <c r="H20" s="24">
        <v>-40250</v>
      </c>
      <c r="I20" s="4"/>
      <c r="J20" s="4"/>
    </row>
    <row r="21" spans="1:10">
      <c r="A21" s="46" t="s">
        <v>209</v>
      </c>
      <c r="B21" s="22" t="s">
        <v>163</v>
      </c>
      <c r="C21" s="23">
        <v>25</v>
      </c>
      <c r="D21" s="23">
        <v>1164</v>
      </c>
      <c r="E21" s="24">
        <v>-1139</v>
      </c>
      <c r="F21" s="23">
        <v>4172</v>
      </c>
      <c r="G21" s="23">
        <v>72077</v>
      </c>
      <c r="H21" s="24">
        <v>-67905</v>
      </c>
      <c r="I21" s="4"/>
      <c r="J21" s="4"/>
    </row>
    <row r="22" spans="1:10">
      <c r="A22" s="46" t="s">
        <v>258</v>
      </c>
      <c r="B22" s="22" t="s">
        <v>164</v>
      </c>
      <c r="C22" s="23">
        <v>66682</v>
      </c>
      <c r="D22" s="23">
        <v>343702</v>
      </c>
      <c r="E22" s="24">
        <v>-277020</v>
      </c>
      <c r="F22" s="23">
        <v>3788908</v>
      </c>
      <c r="G22" s="23">
        <v>27373098</v>
      </c>
      <c r="H22" s="24">
        <v>-23584190</v>
      </c>
      <c r="I22" s="4"/>
      <c r="J22" s="4"/>
    </row>
    <row r="23" spans="1:10">
      <c r="A23" s="46">
        <v>87149200108</v>
      </c>
      <c r="B23" s="22" t="s">
        <v>165</v>
      </c>
      <c r="C23" s="23">
        <v>6513</v>
      </c>
      <c r="D23" s="23">
        <v>50510</v>
      </c>
      <c r="E23" s="24">
        <v>-43997</v>
      </c>
      <c r="F23" s="23">
        <v>167984</v>
      </c>
      <c r="G23" s="23">
        <v>3967250</v>
      </c>
      <c r="H23" s="24">
        <v>-3799266</v>
      </c>
      <c r="I23" s="4"/>
      <c r="J23" s="4"/>
    </row>
    <row r="24" spans="1:10">
      <c r="A24" s="46">
        <v>87149200206</v>
      </c>
      <c r="B24" s="22" t="s">
        <v>166</v>
      </c>
      <c r="C24" s="23">
        <v>9098</v>
      </c>
      <c r="D24" s="23">
        <v>4286</v>
      </c>
      <c r="E24" s="24">
        <v>4812</v>
      </c>
      <c r="F24" s="23">
        <v>304266</v>
      </c>
      <c r="G24" s="23">
        <v>309196</v>
      </c>
      <c r="H24" s="24">
        <v>-4930</v>
      </c>
      <c r="I24" s="4"/>
      <c r="J24" s="4"/>
    </row>
    <row r="25" spans="1:10">
      <c r="A25" s="46">
        <v>87149200304</v>
      </c>
      <c r="B25" s="22" t="s">
        <v>167</v>
      </c>
      <c r="C25" s="23">
        <v>3885</v>
      </c>
      <c r="D25" s="23">
        <v>18462</v>
      </c>
      <c r="E25" s="24">
        <v>-14577</v>
      </c>
      <c r="F25" s="23">
        <v>419754</v>
      </c>
      <c r="G25" s="23">
        <v>273387</v>
      </c>
      <c r="H25" s="24">
        <v>146367</v>
      </c>
      <c r="I25" s="4"/>
      <c r="J25" s="4"/>
    </row>
    <row r="26" spans="1:10">
      <c r="A26" s="46">
        <v>87149310007</v>
      </c>
      <c r="B26" s="22" t="s">
        <v>168</v>
      </c>
      <c r="C26" s="23">
        <v>1649</v>
      </c>
      <c r="D26" s="23">
        <v>49068</v>
      </c>
      <c r="E26" s="24">
        <v>-47419</v>
      </c>
      <c r="F26" s="23">
        <v>373482</v>
      </c>
      <c r="G26" s="23">
        <v>2158146</v>
      </c>
      <c r="H26" s="24">
        <v>-1784664</v>
      </c>
      <c r="I26" s="4"/>
      <c r="J26" s="4"/>
    </row>
    <row r="27" spans="1:10">
      <c r="A27" s="46">
        <v>87149320103</v>
      </c>
      <c r="B27" s="22" t="s">
        <v>169</v>
      </c>
      <c r="C27" s="23">
        <v>504</v>
      </c>
      <c r="D27" s="23">
        <v>0</v>
      </c>
      <c r="E27" s="24">
        <v>504</v>
      </c>
      <c r="F27" s="23">
        <v>35557</v>
      </c>
      <c r="G27" s="23">
        <v>0</v>
      </c>
      <c r="H27" s="24">
        <v>35557</v>
      </c>
      <c r="I27" s="4"/>
      <c r="J27" s="4"/>
    </row>
    <row r="28" spans="1:10">
      <c r="A28" s="46">
        <v>87149410006</v>
      </c>
      <c r="B28" s="22" t="s">
        <v>170</v>
      </c>
      <c r="C28" s="23">
        <v>0</v>
      </c>
      <c r="D28" s="23">
        <v>2048</v>
      </c>
      <c r="E28" s="24">
        <v>-2048</v>
      </c>
      <c r="F28" s="23">
        <v>0</v>
      </c>
      <c r="G28" s="23">
        <v>24146</v>
      </c>
      <c r="H28" s="24">
        <v>-24146</v>
      </c>
      <c r="I28" s="4"/>
      <c r="J28" s="4"/>
    </row>
    <row r="29" spans="1:10">
      <c r="A29" s="46">
        <v>87149490009</v>
      </c>
      <c r="B29" s="22" t="s">
        <v>171</v>
      </c>
      <c r="C29" s="23">
        <v>37063</v>
      </c>
      <c r="D29" s="23">
        <v>39028</v>
      </c>
      <c r="E29" s="24">
        <v>-1965</v>
      </c>
      <c r="F29" s="23">
        <v>1638844</v>
      </c>
      <c r="G29" s="23">
        <v>630127</v>
      </c>
      <c r="H29" s="24">
        <v>1008717</v>
      </c>
      <c r="I29" s="4"/>
      <c r="J29" s="4"/>
    </row>
    <row r="30" spans="1:10">
      <c r="A30" s="46">
        <v>87149500007</v>
      </c>
      <c r="B30" s="22" t="s">
        <v>172</v>
      </c>
      <c r="C30" s="23">
        <v>2367</v>
      </c>
      <c r="D30" s="23">
        <v>31714</v>
      </c>
      <c r="E30" s="24">
        <v>-29347</v>
      </c>
      <c r="F30" s="23">
        <v>167004</v>
      </c>
      <c r="G30" s="23">
        <v>337607</v>
      </c>
      <c r="H30" s="24">
        <v>-170603</v>
      </c>
      <c r="I30" s="4"/>
      <c r="J30" s="4"/>
    </row>
    <row r="31" spans="1:10">
      <c r="A31" s="46">
        <v>87149610004</v>
      </c>
      <c r="B31" s="22" t="s">
        <v>173</v>
      </c>
      <c r="C31" s="23">
        <v>10787</v>
      </c>
      <c r="D31" s="23">
        <v>15656</v>
      </c>
      <c r="E31" s="24">
        <v>-4869</v>
      </c>
      <c r="F31" s="23">
        <v>244630</v>
      </c>
      <c r="G31" s="23">
        <v>48465</v>
      </c>
      <c r="H31" s="24">
        <v>196165</v>
      </c>
      <c r="I31" s="4"/>
      <c r="J31" s="4"/>
    </row>
    <row r="32" spans="1:10">
      <c r="A32" s="46">
        <v>87149620002</v>
      </c>
      <c r="B32" s="22" t="s">
        <v>174</v>
      </c>
      <c r="C32" s="23">
        <v>18581</v>
      </c>
      <c r="D32" s="23">
        <v>53516</v>
      </c>
      <c r="E32" s="24">
        <v>-34935</v>
      </c>
      <c r="F32" s="23">
        <v>608660</v>
      </c>
      <c r="G32" s="23">
        <v>650653</v>
      </c>
      <c r="H32" s="24">
        <v>-41993</v>
      </c>
      <c r="I32" s="4"/>
      <c r="J32" s="4"/>
    </row>
    <row r="33" spans="1:10">
      <c r="A33" s="46" t="s">
        <v>210</v>
      </c>
      <c r="B33" s="22" t="s">
        <v>175</v>
      </c>
      <c r="C33" s="23">
        <v>6187</v>
      </c>
      <c r="D33" s="23">
        <v>21700</v>
      </c>
      <c r="E33" s="24">
        <v>-15513</v>
      </c>
      <c r="F33" s="23">
        <v>86186</v>
      </c>
      <c r="G33" s="23">
        <v>87798</v>
      </c>
      <c r="H33" s="24">
        <v>-1612</v>
      </c>
      <c r="I33" s="4"/>
      <c r="J33" s="4"/>
    </row>
    <row r="34" spans="1:10">
      <c r="A34" s="46">
        <v>87149990111</v>
      </c>
      <c r="B34" s="22" t="s">
        <v>176</v>
      </c>
      <c r="C34" s="23">
        <v>4877</v>
      </c>
      <c r="D34" s="23">
        <v>20832</v>
      </c>
      <c r="E34" s="24">
        <v>-15955</v>
      </c>
      <c r="F34" s="23">
        <v>923578</v>
      </c>
      <c r="G34" s="23">
        <v>676328</v>
      </c>
      <c r="H34" s="24">
        <v>247250</v>
      </c>
      <c r="I34" s="4"/>
      <c r="J34" s="4"/>
    </row>
    <row r="35" spans="1:10">
      <c r="A35" s="46">
        <v>87149320906</v>
      </c>
      <c r="B35" s="22" t="s">
        <v>177</v>
      </c>
      <c r="C35" s="23">
        <v>10868</v>
      </c>
      <c r="D35" s="23">
        <v>13232</v>
      </c>
      <c r="E35" s="24">
        <v>-2364</v>
      </c>
      <c r="F35" s="23">
        <v>335905</v>
      </c>
      <c r="G35" s="23">
        <v>143203</v>
      </c>
      <c r="H35" s="24">
        <v>192702</v>
      </c>
      <c r="I35" s="4"/>
      <c r="J35" s="4"/>
    </row>
    <row r="36" spans="1:10">
      <c r="A36" s="46">
        <v>87149990139</v>
      </c>
      <c r="B36" s="22" t="s">
        <v>178</v>
      </c>
      <c r="C36" s="23">
        <v>2474</v>
      </c>
      <c r="D36" s="23">
        <v>8562</v>
      </c>
      <c r="E36" s="24">
        <v>-6088</v>
      </c>
      <c r="F36" s="23">
        <v>69564</v>
      </c>
      <c r="G36" s="23">
        <v>19437</v>
      </c>
      <c r="H36" s="24">
        <v>50127</v>
      </c>
      <c r="I36" s="4"/>
      <c r="J36" s="4"/>
    </row>
    <row r="37" spans="1:10">
      <c r="A37" s="46">
        <v>87149990148</v>
      </c>
      <c r="B37" s="22" t="s">
        <v>179</v>
      </c>
      <c r="C37" s="23">
        <v>1845</v>
      </c>
      <c r="D37" s="23">
        <v>7362</v>
      </c>
      <c r="E37" s="24">
        <v>-5517</v>
      </c>
      <c r="F37" s="23">
        <v>91655</v>
      </c>
      <c r="G37" s="23">
        <v>357492</v>
      </c>
      <c r="H37" s="24">
        <v>-265837</v>
      </c>
      <c r="I37" s="4"/>
      <c r="J37" s="4"/>
    </row>
    <row r="38" spans="1:10">
      <c r="A38" s="46">
        <v>87149990157</v>
      </c>
      <c r="B38" s="22" t="s">
        <v>180</v>
      </c>
      <c r="C38" s="23">
        <v>7526</v>
      </c>
      <c r="D38" s="23">
        <v>29464</v>
      </c>
      <c r="E38" s="24">
        <v>-21938</v>
      </c>
      <c r="F38" s="23">
        <v>247882</v>
      </c>
      <c r="G38" s="23">
        <v>1442354</v>
      </c>
      <c r="H38" s="24">
        <v>-1194472</v>
      </c>
      <c r="I38" s="4"/>
      <c r="J38" s="4"/>
    </row>
    <row r="39" spans="1:10">
      <c r="A39" s="46" t="s">
        <v>259</v>
      </c>
      <c r="B39" s="22" t="s">
        <v>181</v>
      </c>
      <c r="C39" s="23">
        <v>7607</v>
      </c>
      <c r="D39" s="23">
        <v>22361</v>
      </c>
      <c r="E39" s="24">
        <v>-14754</v>
      </c>
      <c r="F39" s="23">
        <v>291811</v>
      </c>
      <c r="G39" s="23">
        <v>1336731</v>
      </c>
      <c r="H39" s="24">
        <v>-1044920</v>
      </c>
      <c r="I39" s="4"/>
      <c r="J39" s="4"/>
    </row>
    <row r="40" spans="1:10">
      <c r="A40" s="46" t="s">
        <v>211</v>
      </c>
      <c r="B40" s="22" t="s">
        <v>182</v>
      </c>
      <c r="C40" s="23">
        <v>37635</v>
      </c>
      <c r="D40" s="23">
        <v>55087</v>
      </c>
      <c r="E40" s="24">
        <v>-17452</v>
      </c>
      <c r="F40" s="23">
        <v>594532</v>
      </c>
      <c r="G40" s="23">
        <v>306381</v>
      </c>
      <c r="H40" s="24">
        <v>288151</v>
      </c>
      <c r="I40" s="4"/>
      <c r="J40" s="4"/>
    </row>
    <row r="41" spans="1:10">
      <c r="A41" s="46" t="s">
        <v>212</v>
      </c>
      <c r="B41" s="22" t="s">
        <v>183</v>
      </c>
      <c r="C41" s="23">
        <v>706</v>
      </c>
      <c r="D41" s="23">
        <v>30042</v>
      </c>
      <c r="E41" s="24">
        <v>-29336</v>
      </c>
      <c r="F41" s="23">
        <v>11663</v>
      </c>
      <c r="G41" s="23">
        <v>144531</v>
      </c>
      <c r="H41" s="24">
        <v>-132868</v>
      </c>
      <c r="I41" s="4"/>
      <c r="J41" s="4"/>
    </row>
    <row r="42" spans="1:10" ht="18.75" customHeight="1" thickBot="1">
      <c r="A42" s="132" t="s">
        <v>160</v>
      </c>
      <c r="B42" s="133"/>
      <c r="C42" s="50">
        <v>237056</v>
      </c>
      <c r="D42" s="50">
        <v>819605</v>
      </c>
      <c r="E42" s="51">
        <v>-582549</v>
      </c>
      <c r="F42" s="50">
        <v>10433660</v>
      </c>
      <c r="G42" s="50">
        <v>40426280</v>
      </c>
      <c r="H42" s="51">
        <v>-29992620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  <pageSetUpPr fitToPage="1"/>
  </sheetPr>
  <dimension ref="A1:K46"/>
  <sheetViews>
    <sheetView topLeftCell="A25" zoomScaleNormal="100" workbookViewId="0">
      <selection activeCell="K9" sqref="K9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3.875" style="3" customWidth="1"/>
    <col min="11" max="11" width="11.125" style="3" customWidth="1"/>
    <col min="12" max="256" width="8.875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8.875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8.875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8.875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8.875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8.875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8.875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8.875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8.875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8.875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8.875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8.875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8.875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8.875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8.875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8.875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8.875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8.875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8.875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8.875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8.875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8.875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8.875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8.875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8.875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8.875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8.875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8.875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8.875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8.875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8.875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8.875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8.875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8.875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8.875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8.875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8.875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8.875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8.875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8.875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8.875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8.875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8.875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8.875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8.875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8.875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8.875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8.875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8.875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8.875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8.875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8.875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8.875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8.875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8.875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8.875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8.875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8.875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8.875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8.875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8.875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8.875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8.875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8.875" style="3"/>
  </cols>
  <sheetData>
    <row r="1" spans="1:11" ht="21" customHeight="1">
      <c r="A1" s="134" t="s">
        <v>273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137</v>
      </c>
      <c r="B3" s="6" t="s">
        <v>138</v>
      </c>
      <c r="C3" s="7" t="s">
        <v>267</v>
      </c>
      <c r="D3" s="7" t="s">
        <v>268</v>
      </c>
      <c r="E3" s="9" t="s">
        <v>186</v>
      </c>
      <c r="F3" s="74" t="s">
        <v>269</v>
      </c>
      <c r="G3" s="74" t="s">
        <v>270</v>
      </c>
      <c r="H3" s="9" t="s">
        <v>186</v>
      </c>
      <c r="I3" s="56" t="s">
        <v>187</v>
      </c>
      <c r="J3" s="56" t="s">
        <v>188</v>
      </c>
      <c r="K3" s="64" t="s">
        <v>189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14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19441</v>
      </c>
      <c r="D5" s="23">
        <v>1594</v>
      </c>
      <c r="E5" s="89">
        <v>11.196361355081557</v>
      </c>
      <c r="F5" s="76">
        <v>6488685</v>
      </c>
      <c r="G5" s="76">
        <v>835886</v>
      </c>
      <c r="H5" s="90">
        <v>6.7626434705211</v>
      </c>
      <c r="I5" s="25">
        <v>333.76292371791573</v>
      </c>
      <c r="J5" s="25">
        <v>524.39523212045174</v>
      </c>
      <c r="K5" s="89">
        <v>-0.36352792078542095</v>
      </c>
    </row>
    <row r="6" spans="1:11" ht="16.5">
      <c r="A6" s="26" t="s">
        <v>205</v>
      </c>
      <c r="B6" s="27" t="s">
        <v>148</v>
      </c>
      <c r="C6" s="23">
        <v>2858</v>
      </c>
      <c r="D6" s="23">
        <v>1631</v>
      </c>
      <c r="E6" s="89">
        <v>0.75229920294297981</v>
      </c>
      <c r="F6" s="76">
        <v>1793064</v>
      </c>
      <c r="G6" s="76">
        <v>1537491</v>
      </c>
      <c r="H6" s="90">
        <v>0.16622731450135317</v>
      </c>
      <c r="I6" s="25">
        <v>627.3841847445766</v>
      </c>
      <c r="J6" s="25">
        <v>942.66768853464134</v>
      </c>
      <c r="K6" s="89">
        <v>-0.33445879987693949</v>
      </c>
    </row>
    <row r="7" spans="1:11" ht="16.5">
      <c r="A7" s="21" t="s">
        <v>149</v>
      </c>
      <c r="B7" s="28" t="s">
        <v>150</v>
      </c>
      <c r="C7" s="23">
        <v>31</v>
      </c>
      <c r="D7" s="23">
        <v>75</v>
      </c>
      <c r="E7" s="89">
        <v>-0.58666666666666667</v>
      </c>
      <c r="F7" s="76">
        <v>3126</v>
      </c>
      <c r="G7" s="76">
        <v>10689</v>
      </c>
      <c r="H7" s="90">
        <v>-0.70754981756946389</v>
      </c>
      <c r="I7" s="25">
        <v>100.83870967741936</v>
      </c>
      <c r="J7" s="25">
        <v>142.52000000000001</v>
      </c>
      <c r="K7" s="89">
        <v>-0.29245923605515473</v>
      </c>
    </row>
    <row r="8" spans="1:11" ht="16.5">
      <c r="A8" s="21" t="s">
        <v>151</v>
      </c>
      <c r="B8" s="28" t="s">
        <v>152</v>
      </c>
      <c r="C8" s="23">
        <v>520</v>
      </c>
      <c r="D8" s="23">
        <v>66</v>
      </c>
      <c r="E8" s="89">
        <v>6.8787878787878789</v>
      </c>
      <c r="F8" s="76">
        <v>329822</v>
      </c>
      <c r="G8" s="76">
        <v>25027</v>
      </c>
      <c r="H8" s="90">
        <v>12.178647061173931</v>
      </c>
      <c r="I8" s="25">
        <v>634.27307692307693</v>
      </c>
      <c r="J8" s="25">
        <v>379.19696969696969</v>
      </c>
      <c r="K8" s="89">
        <v>0.67267443468746069</v>
      </c>
    </row>
    <row r="9" spans="1:11" ht="16.5">
      <c r="A9" s="21" t="s">
        <v>153</v>
      </c>
      <c r="B9" s="28" t="s">
        <v>154</v>
      </c>
      <c r="C9" s="23">
        <v>21688</v>
      </c>
      <c r="D9" s="23">
        <v>3044</v>
      </c>
      <c r="E9" s="89">
        <v>6.1248357424441524</v>
      </c>
      <c r="F9" s="76">
        <v>11428102</v>
      </c>
      <c r="G9" s="76">
        <v>3774372</v>
      </c>
      <c r="H9" s="90">
        <v>2.0278154882454618</v>
      </c>
      <c r="I9" s="25">
        <v>526.93203614902245</v>
      </c>
      <c r="J9" s="25">
        <v>1239.9382391590013</v>
      </c>
      <c r="K9" s="89">
        <v>-0.57503364320273032</v>
      </c>
    </row>
    <row r="10" spans="1:11" ht="16.5">
      <c r="A10" s="21" t="s">
        <v>155</v>
      </c>
      <c r="B10" s="28" t="s">
        <v>156</v>
      </c>
      <c r="C10" s="23">
        <v>45021</v>
      </c>
      <c r="D10" s="23">
        <v>14008</v>
      </c>
      <c r="E10" s="89">
        <v>2.2139491719017705</v>
      </c>
      <c r="F10" s="76">
        <v>66641615</v>
      </c>
      <c r="G10" s="76">
        <v>18998901</v>
      </c>
      <c r="H10" s="90">
        <v>2.5076563112782155</v>
      </c>
      <c r="I10" s="25">
        <v>1480.2340019102196</v>
      </c>
      <c r="J10" s="25">
        <v>1356.2893346659052</v>
      </c>
      <c r="K10" s="89">
        <v>9.1385122684641371E-2</v>
      </c>
    </row>
    <row r="11" spans="1:11" ht="17.25" thickBot="1">
      <c r="A11" s="30" t="s">
        <v>157</v>
      </c>
      <c r="B11" s="70" t="s">
        <v>158</v>
      </c>
      <c r="C11" s="63">
        <v>89559</v>
      </c>
      <c r="D11" s="63">
        <v>20418</v>
      </c>
      <c r="E11" s="91">
        <v>3.3862768145753748</v>
      </c>
      <c r="F11" s="77">
        <v>86684414</v>
      </c>
      <c r="G11" s="77">
        <v>25182366</v>
      </c>
      <c r="H11" s="91">
        <v>2.4422664653511905</v>
      </c>
      <c r="I11" s="71">
        <v>967.90287966591859</v>
      </c>
      <c r="J11" s="72">
        <v>1233.3414634146341</v>
      </c>
      <c r="K11" s="91">
        <v>-0.2152190545948412</v>
      </c>
    </row>
    <row r="12" spans="1:11" ht="11.25" customHeight="1" thickTop="1">
      <c r="A12" s="33"/>
      <c r="B12" s="34"/>
      <c r="E12" s="68"/>
      <c r="F12" s="78"/>
      <c r="G12" s="78"/>
      <c r="H12" s="68"/>
      <c r="I12" s="35"/>
      <c r="J12" s="69"/>
      <c r="K12" s="61"/>
    </row>
    <row r="13" spans="1:11" ht="16.5">
      <c r="A13" s="21" t="s">
        <v>207</v>
      </c>
      <c r="B13" s="22" t="s">
        <v>159</v>
      </c>
      <c r="C13" s="23">
        <v>44</v>
      </c>
      <c r="D13" s="23">
        <v>62</v>
      </c>
      <c r="E13" s="89">
        <v>-0.29032258064516131</v>
      </c>
      <c r="F13" s="76">
        <v>25799</v>
      </c>
      <c r="G13" s="76">
        <v>93523</v>
      </c>
      <c r="H13" s="92">
        <v>-0.72414272424964987</v>
      </c>
      <c r="I13" s="25">
        <v>586.34090909090912</v>
      </c>
      <c r="J13" s="25">
        <v>1508.4354838709678</v>
      </c>
      <c r="K13" s="89">
        <v>-0.61129202053359744</v>
      </c>
    </row>
    <row r="14" spans="1:11" ht="17.25" thickBot="1">
      <c r="A14" s="106" t="s">
        <v>160</v>
      </c>
      <c r="B14" s="105" t="s">
        <v>80</v>
      </c>
      <c r="C14" s="109">
        <v>89603</v>
      </c>
      <c r="D14" s="31">
        <v>20480</v>
      </c>
      <c r="E14" s="91">
        <v>3.3751464843750001</v>
      </c>
      <c r="F14" s="77">
        <v>86710213</v>
      </c>
      <c r="G14" s="108">
        <v>25275889</v>
      </c>
      <c r="H14" s="93">
        <v>2.4305504744066568</v>
      </c>
      <c r="I14" s="102">
        <v>967.71551175741888</v>
      </c>
      <c r="J14" s="72">
        <v>1234.174267578125</v>
      </c>
      <c r="K14" s="91">
        <v>-0.21590043061227482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274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267</v>
      </c>
      <c r="D18" s="7" t="s">
        <v>268</v>
      </c>
      <c r="E18" s="9" t="s">
        <v>186</v>
      </c>
      <c r="F18" s="74" t="s">
        <v>269</v>
      </c>
      <c r="G18" s="74" t="s">
        <v>270</v>
      </c>
      <c r="H18" s="9" t="s">
        <v>186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196</v>
      </c>
      <c r="I19" s="45"/>
      <c r="J19" s="44"/>
    </row>
    <row r="20" spans="1:10">
      <c r="A20" s="46" t="s">
        <v>208</v>
      </c>
      <c r="B20" s="22" t="s">
        <v>162</v>
      </c>
      <c r="C20" s="23">
        <v>3077</v>
      </c>
      <c r="D20" s="23">
        <v>4234</v>
      </c>
      <c r="E20" s="90">
        <v>-0.27326405290505434</v>
      </c>
      <c r="F20" s="76">
        <v>351380</v>
      </c>
      <c r="G20" s="76">
        <v>469241</v>
      </c>
      <c r="H20" s="94">
        <v>-0.25117370391760313</v>
      </c>
      <c r="I20" s="4"/>
      <c r="J20" s="4"/>
    </row>
    <row r="21" spans="1:10">
      <c r="A21" s="46" t="s">
        <v>209</v>
      </c>
      <c r="B21" s="22" t="s">
        <v>163</v>
      </c>
      <c r="C21" s="23">
        <v>936</v>
      </c>
      <c r="D21" s="23">
        <v>878</v>
      </c>
      <c r="E21" s="90">
        <v>6.6059225512528477E-2</v>
      </c>
      <c r="F21" s="76">
        <v>138831</v>
      </c>
      <c r="G21" s="76">
        <v>92457</v>
      </c>
      <c r="H21" s="94">
        <v>0.50157370453291805</v>
      </c>
      <c r="I21" s="4"/>
      <c r="J21" s="4"/>
    </row>
    <row r="22" spans="1:10">
      <c r="A22" s="46" t="s">
        <v>258</v>
      </c>
      <c r="B22" s="22" t="s">
        <v>164</v>
      </c>
      <c r="C22" s="23">
        <v>659979</v>
      </c>
      <c r="D22" s="23">
        <v>1585867</v>
      </c>
      <c r="E22" s="90">
        <v>-0.58383710613815665</v>
      </c>
      <c r="F22" s="76">
        <v>30796743</v>
      </c>
      <c r="G22" s="76">
        <v>60028821</v>
      </c>
      <c r="H22" s="94">
        <v>-0.48696738521651123</v>
      </c>
      <c r="I22" s="4"/>
      <c r="J22" s="4"/>
    </row>
    <row r="23" spans="1:10">
      <c r="A23" s="46">
        <v>87149200108</v>
      </c>
      <c r="B23" s="22" t="s">
        <v>165</v>
      </c>
      <c r="C23" s="23">
        <v>56991</v>
      </c>
      <c r="D23" s="23">
        <v>159272</v>
      </c>
      <c r="E23" s="90">
        <v>-0.64217816063087041</v>
      </c>
      <c r="F23" s="76">
        <v>1065627</v>
      </c>
      <c r="G23" s="76">
        <v>1732383</v>
      </c>
      <c r="H23" s="94">
        <v>-0.38487793980892215</v>
      </c>
      <c r="I23" s="4"/>
      <c r="J23" s="4"/>
    </row>
    <row r="24" spans="1:10">
      <c r="A24" s="46">
        <v>87149200206</v>
      </c>
      <c r="B24" s="22" t="s">
        <v>166</v>
      </c>
      <c r="C24" s="23">
        <v>57525</v>
      </c>
      <c r="D24" s="23">
        <v>79554</v>
      </c>
      <c r="E24" s="90">
        <v>-0.27690625235688965</v>
      </c>
      <c r="F24" s="76">
        <v>1724756</v>
      </c>
      <c r="G24" s="76">
        <v>1945518</v>
      </c>
      <c r="H24" s="94">
        <v>-0.11347209329340566</v>
      </c>
      <c r="I24" s="4"/>
      <c r="J24" s="4"/>
    </row>
    <row r="25" spans="1:10">
      <c r="A25" s="46">
        <v>87149200304</v>
      </c>
      <c r="B25" s="22" t="s">
        <v>167</v>
      </c>
      <c r="C25" s="23">
        <v>24709</v>
      </c>
      <c r="D25" s="23">
        <v>15953</v>
      </c>
      <c r="E25" s="90">
        <v>0.54886228295618378</v>
      </c>
      <c r="F25" s="76">
        <v>2719377</v>
      </c>
      <c r="G25" s="76">
        <v>1514803</v>
      </c>
      <c r="H25" s="94">
        <v>0.79520175230706569</v>
      </c>
      <c r="I25" s="4"/>
      <c r="J25" s="4"/>
    </row>
    <row r="26" spans="1:10">
      <c r="A26" s="46">
        <v>87149310007</v>
      </c>
      <c r="B26" s="22" t="s">
        <v>168</v>
      </c>
      <c r="C26" s="23">
        <v>23980</v>
      </c>
      <c r="D26" s="23">
        <v>68352</v>
      </c>
      <c r="E26" s="90">
        <v>-0.64916900749063666</v>
      </c>
      <c r="F26" s="76">
        <v>2130952</v>
      </c>
      <c r="G26" s="76">
        <v>6887505</v>
      </c>
      <c r="H26" s="94">
        <v>-0.69060610482315443</v>
      </c>
      <c r="I26" s="4"/>
      <c r="J26" s="4"/>
    </row>
    <row r="27" spans="1:10">
      <c r="A27" s="46">
        <v>87149320103</v>
      </c>
      <c r="B27" s="22" t="s">
        <v>169</v>
      </c>
      <c r="C27" s="23">
        <v>4493</v>
      </c>
      <c r="D27" s="23">
        <v>9421</v>
      </c>
      <c r="E27" s="90">
        <v>-0.52308672115486676</v>
      </c>
      <c r="F27" s="76">
        <v>237234</v>
      </c>
      <c r="G27" s="76">
        <v>372328</v>
      </c>
      <c r="H27" s="94">
        <v>-0.36283599406974498</v>
      </c>
      <c r="I27" s="4"/>
      <c r="J27" s="4"/>
    </row>
    <row r="28" spans="1:10">
      <c r="A28" s="46">
        <v>87149410006</v>
      </c>
      <c r="B28" s="22" t="s">
        <v>170</v>
      </c>
      <c r="C28" s="23">
        <v>1127</v>
      </c>
      <c r="D28" s="23">
        <v>1420</v>
      </c>
      <c r="E28" s="90">
        <v>-0.20633802816901409</v>
      </c>
      <c r="F28" s="76">
        <v>25392</v>
      </c>
      <c r="G28" s="76">
        <v>52271</v>
      </c>
      <c r="H28" s="94">
        <v>-0.51422394826959494</v>
      </c>
      <c r="I28" s="4"/>
      <c r="J28" s="4"/>
    </row>
    <row r="29" spans="1:10">
      <c r="A29" s="46">
        <v>87149490009</v>
      </c>
      <c r="B29" s="22" t="s">
        <v>171</v>
      </c>
      <c r="C29" s="23">
        <v>384690</v>
      </c>
      <c r="D29" s="23">
        <v>1397377</v>
      </c>
      <c r="E29" s="90">
        <v>-0.72470564493332867</v>
      </c>
      <c r="F29" s="76">
        <v>18301103</v>
      </c>
      <c r="G29" s="76">
        <v>46028964</v>
      </c>
      <c r="H29" s="94">
        <v>-0.60240028430794146</v>
      </c>
      <c r="I29" s="4"/>
      <c r="J29" s="4"/>
    </row>
    <row r="30" spans="1:10">
      <c r="A30" s="46">
        <v>87149500007</v>
      </c>
      <c r="B30" s="22" t="s">
        <v>172</v>
      </c>
      <c r="C30" s="23">
        <v>21881</v>
      </c>
      <c r="D30" s="23">
        <v>29537</v>
      </c>
      <c r="E30" s="90">
        <v>-0.25920032501608153</v>
      </c>
      <c r="F30" s="76">
        <v>989940</v>
      </c>
      <c r="G30" s="76">
        <v>1076405</v>
      </c>
      <c r="H30" s="94">
        <v>-8.0327571871182321E-2</v>
      </c>
      <c r="I30" s="4"/>
      <c r="J30" s="4"/>
    </row>
    <row r="31" spans="1:10">
      <c r="A31" s="46">
        <v>87149610004</v>
      </c>
      <c r="B31" s="22" t="s">
        <v>173</v>
      </c>
      <c r="C31" s="23">
        <v>66049</v>
      </c>
      <c r="D31" s="23">
        <v>141206</v>
      </c>
      <c r="E31" s="90">
        <v>-0.53225075421724288</v>
      </c>
      <c r="F31" s="76">
        <v>1269315</v>
      </c>
      <c r="G31" s="76">
        <v>2282864</v>
      </c>
      <c r="H31" s="94">
        <v>-0.44398133222127995</v>
      </c>
      <c r="I31" s="4"/>
      <c r="J31" s="4"/>
    </row>
    <row r="32" spans="1:10">
      <c r="A32" s="46">
        <v>87149620002</v>
      </c>
      <c r="B32" s="22" t="s">
        <v>174</v>
      </c>
      <c r="C32" s="23">
        <v>157274</v>
      </c>
      <c r="D32" s="23">
        <v>245342</v>
      </c>
      <c r="E32" s="90">
        <v>-0.35896014542964516</v>
      </c>
      <c r="F32" s="76">
        <v>7320314</v>
      </c>
      <c r="G32" s="76">
        <v>9472776</v>
      </c>
      <c r="H32" s="94">
        <v>-0.22722610563154877</v>
      </c>
      <c r="I32" s="4"/>
      <c r="J32" s="4"/>
    </row>
    <row r="33" spans="1:10">
      <c r="A33" s="46" t="s">
        <v>210</v>
      </c>
      <c r="B33" s="22" t="s">
        <v>175</v>
      </c>
      <c r="C33" s="23">
        <v>57441</v>
      </c>
      <c r="D33" s="23">
        <v>87467</v>
      </c>
      <c r="E33" s="90">
        <v>-0.34328375272960088</v>
      </c>
      <c r="F33" s="76">
        <v>1484791</v>
      </c>
      <c r="G33" s="76">
        <v>2313824</v>
      </c>
      <c r="H33" s="94">
        <v>-0.35829561798995946</v>
      </c>
      <c r="I33" s="4"/>
      <c r="J33" s="4"/>
    </row>
    <row r="34" spans="1:10">
      <c r="A34" s="46">
        <v>87149990111</v>
      </c>
      <c r="B34" s="22" t="s">
        <v>176</v>
      </c>
      <c r="C34" s="23">
        <v>113532</v>
      </c>
      <c r="D34" s="23">
        <v>139857</v>
      </c>
      <c r="E34" s="90">
        <v>-0.18822797571805486</v>
      </c>
      <c r="F34" s="76">
        <v>11508348</v>
      </c>
      <c r="G34" s="76">
        <v>12450799</v>
      </c>
      <c r="H34" s="94">
        <v>-7.5694017709224931E-2</v>
      </c>
      <c r="I34" s="4"/>
      <c r="J34" s="4"/>
    </row>
    <row r="35" spans="1:10">
      <c r="A35" s="46">
        <v>87149320906</v>
      </c>
      <c r="B35" s="22" t="s">
        <v>177</v>
      </c>
      <c r="C35" s="23">
        <v>189044</v>
      </c>
      <c r="D35" s="23">
        <v>181299</v>
      </c>
      <c r="E35" s="90">
        <v>4.2719485490819033E-2</v>
      </c>
      <c r="F35" s="76">
        <v>6516360</v>
      </c>
      <c r="G35" s="76">
        <v>5606655</v>
      </c>
      <c r="H35" s="94">
        <v>0.16225449934051586</v>
      </c>
      <c r="I35" s="4"/>
      <c r="J35" s="4"/>
    </row>
    <row r="36" spans="1:10">
      <c r="A36" s="46">
        <v>87149990139</v>
      </c>
      <c r="B36" s="22" t="s">
        <v>178</v>
      </c>
      <c r="C36" s="23">
        <v>8922</v>
      </c>
      <c r="D36" s="23">
        <v>20262</v>
      </c>
      <c r="E36" s="90">
        <v>-0.55966834468463134</v>
      </c>
      <c r="F36" s="76">
        <v>239991</v>
      </c>
      <c r="G36" s="76">
        <v>439917</v>
      </c>
      <c r="H36" s="94">
        <v>-0.45446300097518394</v>
      </c>
      <c r="I36" s="4"/>
      <c r="J36" s="4"/>
    </row>
    <row r="37" spans="1:10">
      <c r="A37" s="46">
        <v>87149990148</v>
      </c>
      <c r="B37" s="22" t="s">
        <v>179</v>
      </c>
      <c r="C37" s="23">
        <v>16847</v>
      </c>
      <c r="D37" s="23">
        <v>47926</v>
      </c>
      <c r="E37" s="90">
        <v>-0.64847890497850857</v>
      </c>
      <c r="F37" s="76">
        <v>749480</v>
      </c>
      <c r="G37" s="76">
        <v>1409662</v>
      </c>
      <c r="H37" s="94">
        <v>-0.46832644988656857</v>
      </c>
      <c r="I37" s="4"/>
      <c r="J37" s="4"/>
    </row>
    <row r="38" spans="1:10">
      <c r="A38" s="46">
        <v>87149990157</v>
      </c>
      <c r="B38" s="22" t="s">
        <v>180</v>
      </c>
      <c r="C38" s="23">
        <v>34109</v>
      </c>
      <c r="D38" s="23">
        <v>57788</v>
      </c>
      <c r="E38" s="90">
        <v>-0.40975635079947392</v>
      </c>
      <c r="F38" s="76">
        <v>1382387</v>
      </c>
      <c r="G38" s="76">
        <v>2837186</v>
      </c>
      <c r="H38" s="94">
        <v>-0.51276123595703627</v>
      </c>
      <c r="I38" s="4"/>
      <c r="J38" s="4"/>
    </row>
    <row r="39" spans="1:10">
      <c r="A39" s="46" t="s">
        <v>259</v>
      </c>
      <c r="B39" s="22" t="s">
        <v>181</v>
      </c>
      <c r="C39" s="23">
        <v>67269</v>
      </c>
      <c r="D39" s="23">
        <v>74999</v>
      </c>
      <c r="E39" s="90">
        <v>-0.1030680409072121</v>
      </c>
      <c r="F39" s="76">
        <v>2480120</v>
      </c>
      <c r="G39" s="76">
        <v>1670996</v>
      </c>
      <c r="H39" s="94">
        <v>0.48421659896253494</v>
      </c>
      <c r="I39" s="4"/>
      <c r="J39" s="4"/>
    </row>
    <row r="40" spans="1:10">
      <c r="A40" s="46" t="s">
        <v>211</v>
      </c>
      <c r="B40" s="22" t="s">
        <v>182</v>
      </c>
      <c r="C40" s="23">
        <v>316193</v>
      </c>
      <c r="D40" s="23">
        <v>566971</v>
      </c>
      <c r="E40" s="90">
        <v>-0.4423118642752451</v>
      </c>
      <c r="F40" s="76">
        <v>6038862</v>
      </c>
      <c r="G40" s="76">
        <v>9666799</v>
      </c>
      <c r="H40" s="94">
        <v>-0.37529868987655585</v>
      </c>
      <c r="I40" s="4"/>
      <c r="J40" s="4"/>
    </row>
    <row r="41" spans="1:10">
      <c r="A41" s="46" t="s">
        <v>212</v>
      </c>
      <c r="B41" s="22" t="s">
        <v>183</v>
      </c>
      <c r="C41" s="23">
        <v>8771</v>
      </c>
      <c r="D41" s="23">
        <v>29362</v>
      </c>
      <c r="E41" s="90">
        <v>-0.70128056671888839</v>
      </c>
      <c r="F41" s="76">
        <v>101171</v>
      </c>
      <c r="G41" s="76">
        <v>404010</v>
      </c>
      <c r="H41" s="94">
        <v>-0.7495829311155664</v>
      </c>
      <c r="I41" s="4"/>
      <c r="J41" s="4"/>
    </row>
    <row r="42" spans="1:10" ht="18.75" customHeight="1" thickBot="1">
      <c r="A42" s="132" t="s">
        <v>160</v>
      </c>
      <c r="B42" s="133"/>
      <c r="C42" s="63">
        <v>2274839</v>
      </c>
      <c r="D42" s="63">
        <v>4944344</v>
      </c>
      <c r="E42" s="91">
        <v>-0.5399108557171588</v>
      </c>
      <c r="F42" s="77">
        <v>97572474</v>
      </c>
      <c r="G42" s="77">
        <v>168756184</v>
      </c>
      <c r="H42" s="91">
        <v>-0.42181393483038226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245" priority="9" operator="greaterThanOrEqual">
      <formula>0</formula>
    </cfRule>
    <cfRule type="cellIs" dxfId="244" priority="10" operator="lessThan">
      <formula>0</formula>
    </cfRule>
  </conditionalFormatting>
  <conditionalFormatting sqref="E13">
    <cfRule type="cellIs" dxfId="243" priority="5" operator="greaterThanOrEqual">
      <formula>0</formula>
    </cfRule>
    <cfRule type="cellIs" dxfId="242" priority="6" operator="lessThan">
      <formula>0</formula>
    </cfRule>
  </conditionalFormatting>
  <conditionalFormatting sqref="E20:E41">
    <cfRule type="cellIs" dxfId="241" priority="13" operator="greaterThanOrEqual">
      <formula>0</formula>
    </cfRule>
    <cfRule type="cellIs" dxfId="240" priority="14" operator="lessThan">
      <formula>0</formula>
    </cfRule>
  </conditionalFormatting>
  <conditionalFormatting sqref="H5:H10">
    <cfRule type="cellIs" dxfId="239" priority="11" operator="greaterThanOrEqual">
      <formula>0</formula>
    </cfRule>
    <cfRule type="cellIs" dxfId="238" priority="12" operator="lessThan">
      <formula>0</formula>
    </cfRule>
  </conditionalFormatting>
  <conditionalFormatting sqref="H13">
    <cfRule type="cellIs" dxfId="237" priority="3" operator="greaterThanOrEqual">
      <formula>0</formula>
    </cfRule>
    <cfRule type="cellIs" dxfId="236" priority="4" operator="lessThan">
      <formula>0</formula>
    </cfRule>
  </conditionalFormatting>
  <conditionalFormatting sqref="K5:K10">
    <cfRule type="cellIs" dxfId="235" priority="7" operator="greaterThanOrEqual">
      <formula>0</formula>
    </cfRule>
    <cfRule type="cellIs" dxfId="234" priority="8" operator="lessThan">
      <formula>0</formula>
    </cfRule>
  </conditionalFormatting>
  <conditionalFormatting sqref="K13">
    <cfRule type="cellIs" dxfId="233" priority="1" operator="greaterThanOrEqual">
      <formula>0</formula>
    </cfRule>
    <cfRule type="cellIs" dxfId="232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249977111117893"/>
  </sheetPr>
  <dimension ref="A1:K46"/>
  <sheetViews>
    <sheetView zoomScaleNormal="100" workbookViewId="0">
      <selection activeCell="E40" sqref="E40"/>
    </sheetView>
  </sheetViews>
  <sheetFormatPr defaultRowHeight="15.75"/>
  <cols>
    <col min="1" max="1" width="14.5" style="2" customWidth="1"/>
    <col min="2" max="2" width="26.375" style="3" customWidth="1"/>
    <col min="3" max="3" width="15.5" style="4" customWidth="1"/>
    <col min="4" max="4" width="16.2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8.875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8.875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8.875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8.875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8.875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8.875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8.875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8.875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8.875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8.875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8.875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8.875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8.875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8.875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8.875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8.875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8.875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8.875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8.875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8.875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8.875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8.875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8.875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8.875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8.875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8.875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8.875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8.875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8.875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8.875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8.875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8.875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8.875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8.875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8.875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8.875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8.875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8.875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8.875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8.875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8.875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8.875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8.875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8.875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8.875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8.875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8.875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8.875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8.875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8.875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8.875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8.875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8.875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8.875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8.875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8.875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8.875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8.875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8.875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8.875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8.875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8.875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8.875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8.875" style="3"/>
  </cols>
  <sheetData>
    <row r="1" spans="1:11" s="42" customFormat="1" ht="19.5">
      <c r="A1" s="131" t="s">
        <v>271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137</v>
      </c>
      <c r="B3" s="6" t="s">
        <v>138</v>
      </c>
      <c r="C3" s="7" t="s">
        <v>267</v>
      </c>
      <c r="D3" s="7" t="s">
        <v>268</v>
      </c>
      <c r="E3" s="9" t="s">
        <v>197</v>
      </c>
      <c r="F3" s="74" t="s">
        <v>269</v>
      </c>
      <c r="G3" s="74" t="s">
        <v>270</v>
      </c>
      <c r="H3" s="9" t="s">
        <v>197</v>
      </c>
      <c r="I3" s="56" t="s">
        <v>187</v>
      </c>
      <c r="J3" s="56" t="s">
        <v>227</v>
      </c>
      <c r="K3" s="64" t="s">
        <v>226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65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28158</v>
      </c>
      <c r="D5" s="23">
        <v>20646</v>
      </c>
      <c r="E5" s="89">
        <v>0.36384771868642835</v>
      </c>
      <c r="F5" s="76">
        <v>1787323</v>
      </c>
      <c r="G5" s="76">
        <v>1571780</v>
      </c>
      <c r="H5" s="90">
        <v>0.13713305933400349</v>
      </c>
      <c r="I5" s="25">
        <v>63.474785140990129</v>
      </c>
      <c r="J5" s="25">
        <v>76.130000968710647</v>
      </c>
      <c r="K5" s="89">
        <v>-0.16623165199908244</v>
      </c>
    </row>
    <row r="6" spans="1:11" ht="16.5">
      <c r="A6" s="26" t="s">
        <v>205</v>
      </c>
      <c r="B6" s="27" t="s">
        <v>148</v>
      </c>
      <c r="C6" s="23">
        <v>16885</v>
      </c>
      <c r="D6" s="23">
        <v>23917</v>
      </c>
      <c r="E6" s="89">
        <v>-0.29401680812810971</v>
      </c>
      <c r="F6" s="76">
        <v>1696964</v>
      </c>
      <c r="G6" s="76">
        <v>2624307</v>
      </c>
      <c r="H6" s="90">
        <v>-0.35336681264806291</v>
      </c>
      <c r="I6" s="25">
        <v>100.50127331951437</v>
      </c>
      <c r="J6" s="25">
        <v>109.72559267466656</v>
      </c>
      <c r="K6" s="89">
        <v>-8.4067163642506354E-2</v>
      </c>
    </row>
    <row r="7" spans="1:11" ht="16.5">
      <c r="A7" s="21" t="s">
        <v>149</v>
      </c>
      <c r="B7" s="28" t="s">
        <v>150</v>
      </c>
      <c r="C7" s="23">
        <v>23683</v>
      </c>
      <c r="D7" s="23">
        <v>24820</v>
      </c>
      <c r="E7" s="89">
        <v>-4.5809830781627717E-2</v>
      </c>
      <c r="F7" s="76">
        <v>1304745</v>
      </c>
      <c r="G7" s="76">
        <v>1543646</v>
      </c>
      <c r="H7" s="90">
        <v>-0.1547641104242812</v>
      </c>
      <c r="I7" s="25">
        <v>55.092049149178735</v>
      </c>
      <c r="J7" s="25">
        <v>62.193634165995164</v>
      </c>
      <c r="K7" s="89">
        <v>-0.11418507877932102</v>
      </c>
    </row>
    <row r="8" spans="1:11" ht="16.5">
      <c r="A8" s="21" t="s">
        <v>151</v>
      </c>
      <c r="B8" s="28" t="s">
        <v>152</v>
      </c>
      <c r="C8" s="23">
        <v>34705</v>
      </c>
      <c r="D8" s="23">
        <v>45035</v>
      </c>
      <c r="E8" s="89">
        <v>-0.22937715110469634</v>
      </c>
      <c r="F8" s="76">
        <v>4011255</v>
      </c>
      <c r="G8" s="76">
        <v>5947521</v>
      </c>
      <c r="H8" s="90">
        <v>-0.3255584973974871</v>
      </c>
      <c r="I8" s="25">
        <v>115.58147241031551</v>
      </c>
      <c r="J8" s="25">
        <v>132.06441656489397</v>
      </c>
      <c r="K8" s="89">
        <v>-0.12480988129364168</v>
      </c>
    </row>
    <row r="9" spans="1:11" ht="16.5">
      <c r="A9" s="21" t="s">
        <v>153</v>
      </c>
      <c r="B9" s="28" t="s">
        <v>154</v>
      </c>
      <c r="C9" s="23">
        <v>10700</v>
      </c>
      <c r="D9" s="23">
        <v>14498</v>
      </c>
      <c r="E9" s="89">
        <v>-0.26196716788522556</v>
      </c>
      <c r="F9" s="76">
        <v>1157506</v>
      </c>
      <c r="G9" s="76">
        <v>1694463</v>
      </c>
      <c r="H9" s="90">
        <v>-0.31688918554137802</v>
      </c>
      <c r="I9" s="25">
        <v>108.1781308411215</v>
      </c>
      <c r="J9" s="25">
        <v>116.87563801903711</v>
      </c>
      <c r="K9" s="89">
        <v>-7.4416767474663373E-2</v>
      </c>
    </row>
    <row r="10" spans="1:11" ht="16.5">
      <c r="A10" s="21" t="s">
        <v>155</v>
      </c>
      <c r="B10" s="28" t="s">
        <v>156</v>
      </c>
      <c r="C10" s="23">
        <v>11513</v>
      </c>
      <c r="D10" s="23">
        <v>11729</v>
      </c>
      <c r="E10" s="89">
        <v>-1.8415892232926934E-2</v>
      </c>
      <c r="F10" s="76">
        <v>2142850</v>
      </c>
      <c r="G10" s="76">
        <v>2356404</v>
      </c>
      <c r="H10" s="90">
        <v>-9.0627074134995531E-2</v>
      </c>
      <c r="I10" s="25">
        <v>186.12438113436986</v>
      </c>
      <c r="J10" s="25">
        <v>200.90408389462019</v>
      </c>
      <c r="K10" s="89">
        <v>-7.3565964781495921E-2</v>
      </c>
    </row>
    <row r="11" spans="1:11" ht="17.25" thickBot="1">
      <c r="A11" s="48" t="s">
        <v>157</v>
      </c>
      <c r="B11" s="70" t="s">
        <v>158</v>
      </c>
      <c r="C11" s="63">
        <v>125644</v>
      </c>
      <c r="D11" s="63">
        <v>140645</v>
      </c>
      <c r="E11" s="91">
        <v>-0.10665860855345018</v>
      </c>
      <c r="F11" s="77">
        <v>12100643</v>
      </c>
      <c r="G11" s="77">
        <v>15738121</v>
      </c>
      <c r="H11" s="91">
        <v>-0.23112530396735417</v>
      </c>
      <c r="I11" s="102">
        <v>96.308960236859704</v>
      </c>
      <c r="J11" s="72">
        <v>111.89961249955562</v>
      </c>
      <c r="K11" s="91">
        <v>-0.13932713361950047</v>
      </c>
    </row>
    <row r="12" spans="1:11" ht="5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207</v>
      </c>
      <c r="B13" s="22" t="s">
        <v>159</v>
      </c>
      <c r="C13" s="23">
        <v>1214</v>
      </c>
      <c r="D13" s="23">
        <v>473</v>
      </c>
      <c r="E13" s="89">
        <v>1.5665961945031712</v>
      </c>
      <c r="F13" s="76">
        <v>57350</v>
      </c>
      <c r="G13" s="76">
        <v>100405</v>
      </c>
      <c r="H13" s="92">
        <v>-0.42881330611025348</v>
      </c>
      <c r="I13" s="25">
        <v>47.240527182866558</v>
      </c>
      <c r="J13" s="25">
        <v>212.27272727272728</v>
      </c>
      <c r="K13" s="89">
        <v>-0.77745361926700984</v>
      </c>
    </row>
    <row r="14" spans="1:11" ht="17.25" thickBot="1">
      <c r="A14" s="48" t="s">
        <v>160</v>
      </c>
      <c r="B14" s="73" t="s">
        <v>80</v>
      </c>
      <c r="C14" s="109">
        <v>126858</v>
      </c>
      <c r="D14" s="31">
        <v>141118</v>
      </c>
      <c r="E14" s="91">
        <v>-0.10105018495160079</v>
      </c>
      <c r="F14" s="77">
        <v>12157993</v>
      </c>
      <c r="G14" s="108">
        <v>15838526</v>
      </c>
      <c r="H14" s="93">
        <v>-0.23237850542405272</v>
      </c>
      <c r="I14" s="102">
        <v>95.839387346481899</v>
      </c>
      <c r="J14" s="72">
        <v>112.23604359472215</v>
      </c>
      <c r="K14" s="91">
        <v>-0.14609082539872506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272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267</v>
      </c>
      <c r="D18" s="7" t="s">
        <v>268</v>
      </c>
      <c r="E18" s="9" t="s">
        <v>197</v>
      </c>
      <c r="F18" s="74" t="s">
        <v>269</v>
      </c>
      <c r="G18" s="74" t="s">
        <v>270</v>
      </c>
      <c r="H18" s="9" t="s">
        <v>197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193</v>
      </c>
      <c r="I19" s="4"/>
      <c r="J19" s="4"/>
    </row>
    <row r="20" spans="1:10">
      <c r="A20" s="46" t="s">
        <v>208</v>
      </c>
      <c r="B20" s="22" t="s">
        <v>162</v>
      </c>
      <c r="C20" s="23">
        <v>17739</v>
      </c>
      <c r="D20" s="23">
        <v>37732</v>
      </c>
      <c r="E20" s="90">
        <v>-0.52986854659175231</v>
      </c>
      <c r="F20" s="76">
        <v>994101</v>
      </c>
      <c r="G20" s="76">
        <v>1941588</v>
      </c>
      <c r="H20" s="94">
        <v>-0.48799590850376084</v>
      </c>
      <c r="I20" s="4"/>
      <c r="J20" s="4"/>
    </row>
    <row r="21" spans="1:10">
      <c r="A21" s="46" t="s">
        <v>209</v>
      </c>
      <c r="B21" s="22" t="s">
        <v>163</v>
      </c>
      <c r="C21" s="23">
        <v>13132</v>
      </c>
      <c r="D21" s="23">
        <v>24953</v>
      </c>
      <c r="E21" s="90">
        <v>-0.47373061355348056</v>
      </c>
      <c r="F21" s="76">
        <v>865646</v>
      </c>
      <c r="G21" s="76">
        <v>1371245</v>
      </c>
      <c r="H21" s="94">
        <v>-0.36871529157809146</v>
      </c>
      <c r="I21" s="4"/>
      <c r="J21" s="4"/>
    </row>
    <row r="22" spans="1:10">
      <c r="A22" s="46" t="s">
        <v>258</v>
      </c>
      <c r="B22" s="22" t="s">
        <v>164</v>
      </c>
      <c r="C22" s="23">
        <v>3707697</v>
      </c>
      <c r="D22" s="23">
        <v>7680677</v>
      </c>
      <c r="E22" s="90">
        <v>-0.5172695063208621</v>
      </c>
      <c r="F22" s="76">
        <v>220203200</v>
      </c>
      <c r="G22" s="76">
        <v>298586871</v>
      </c>
      <c r="H22" s="94">
        <v>-0.26251546405066151</v>
      </c>
      <c r="I22" s="4"/>
      <c r="J22" s="4"/>
    </row>
    <row r="23" spans="1:10">
      <c r="A23" s="46">
        <v>87149200108</v>
      </c>
      <c r="B23" s="22" t="s">
        <v>165</v>
      </c>
      <c r="C23" s="23">
        <v>578446</v>
      </c>
      <c r="D23" s="23">
        <v>1073321</v>
      </c>
      <c r="E23" s="90">
        <v>-0.46106896259366953</v>
      </c>
      <c r="F23" s="76">
        <v>39949419</v>
      </c>
      <c r="G23" s="76">
        <v>56863983</v>
      </c>
      <c r="H23" s="94">
        <v>-0.29745654643994951</v>
      </c>
      <c r="I23" s="4"/>
      <c r="J23" s="4"/>
    </row>
    <row r="24" spans="1:10">
      <c r="A24" s="46">
        <v>87149200206</v>
      </c>
      <c r="B24" s="22" t="s">
        <v>166</v>
      </c>
      <c r="C24" s="23">
        <v>36819</v>
      </c>
      <c r="D24" s="23">
        <v>60531</v>
      </c>
      <c r="E24" s="90">
        <v>-0.39173316152054322</v>
      </c>
      <c r="F24" s="76">
        <v>816424</v>
      </c>
      <c r="G24" s="76">
        <v>930622</v>
      </c>
      <c r="H24" s="94">
        <v>-0.12271147684022084</v>
      </c>
      <c r="I24" s="4"/>
      <c r="J24" s="4"/>
    </row>
    <row r="25" spans="1:10">
      <c r="A25" s="46">
        <v>87149200304</v>
      </c>
      <c r="B25" s="22" t="s">
        <v>167</v>
      </c>
      <c r="C25" s="23">
        <v>101922</v>
      </c>
      <c r="D25" s="23">
        <v>199807</v>
      </c>
      <c r="E25" s="90">
        <v>-0.48989775133003349</v>
      </c>
      <c r="F25" s="76">
        <v>1874095</v>
      </c>
      <c r="G25" s="76">
        <v>2628496</v>
      </c>
      <c r="H25" s="94">
        <v>-0.28700861633420788</v>
      </c>
      <c r="I25" s="4"/>
      <c r="J25" s="4"/>
    </row>
    <row r="26" spans="1:10">
      <c r="A26" s="46">
        <v>87149310007</v>
      </c>
      <c r="B26" s="22" t="s">
        <v>168</v>
      </c>
      <c r="C26" s="23">
        <v>584768</v>
      </c>
      <c r="D26" s="23">
        <v>1273782</v>
      </c>
      <c r="E26" s="90">
        <v>-0.54091987482944492</v>
      </c>
      <c r="F26" s="76">
        <v>19268932</v>
      </c>
      <c r="G26" s="76">
        <v>27484818</v>
      </c>
      <c r="H26" s="94">
        <v>-0.29892451898353484</v>
      </c>
      <c r="I26" s="4"/>
      <c r="J26" s="4"/>
    </row>
    <row r="27" spans="1:10">
      <c r="A27" s="46">
        <v>87149320103</v>
      </c>
      <c r="B27" s="22" t="s">
        <v>169</v>
      </c>
      <c r="C27" s="23">
        <v>2808</v>
      </c>
      <c r="D27" s="23">
        <v>3022</v>
      </c>
      <c r="E27" s="90">
        <v>-7.0814030443414958E-2</v>
      </c>
      <c r="F27" s="76">
        <v>34730</v>
      </c>
      <c r="G27" s="76">
        <v>39178</v>
      </c>
      <c r="H27" s="94">
        <v>-0.11353310531420695</v>
      </c>
      <c r="I27" s="4"/>
      <c r="J27" s="4"/>
    </row>
    <row r="28" spans="1:10">
      <c r="A28" s="46" t="s">
        <v>243</v>
      </c>
      <c r="B28" s="22" t="s">
        <v>170</v>
      </c>
      <c r="C28" s="23">
        <v>33180</v>
      </c>
      <c r="D28" s="23">
        <v>37998</v>
      </c>
      <c r="E28" s="90">
        <v>-0.1267961471656403</v>
      </c>
      <c r="F28" s="76">
        <v>263977</v>
      </c>
      <c r="G28" s="76">
        <v>765026</v>
      </c>
      <c r="H28" s="94">
        <v>-0.65494375354563117</v>
      </c>
      <c r="I28" s="4"/>
      <c r="J28" s="4"/>
    </row>
    <row r="29" spans="1:10">
      <c r="A29" s="46">
        <v>87149490009</v>
      </c>
      <c r="B29" s="22" t="s">
        <v>171</v>
      </c>
      <c r="C29" s="23">
        <v>464854</v>
      </c>
      <c r="D29" s="23">
        <v>2126943</v>
      </c>
      <c r="E29" s="90">
        <v>-0.78144501286588308</v>
      </c>
      <c r="F29" s="76">
        <v>8133290</v>
      </c>
      <c r="G29" s="76">
        <v>32666813</v>
      </c>
      <c r="H29" s="94">
        <v>-0.75102285000988622</v>
      </c>
      <c r="I29" s="4"/>
      <c r="J29" s="4"/>
    </row>
    <row r="30" spans="1:10">
      <c r="A30" s="46">
        <v>87149500007</v>
      </c>
      <c r="B30" s="22" t="s">
        <v>172</v>
      </c>
      <c r="C30" s="23">
        <v>421303</v>
      </c>
      <c r="D30" s="23">
        <v>1299064</v>
      </c>
      <c r="E30" s="90">
        <v>-0.67568726406089308</v>
      </c>
      <c r="F30" s="76">
        <v>4482014</v>
      </c>
      <c r="G30" s="76">
        <v>19308157</v>
      </c>
      <c r="H30" s="94">
        <v>-0.76786940358937417</v>
      </c>
      <c r="I30" s="4"/>
      <c r="J30" s="4"/>
    </row>
    <row r="31" spans="1:10">
      <c r="A31" s="46">
        <v>87149610004</v>
      </c>
      <c r="B31" s="22" t="s">
        <v>173</v>
      </c>
      <c r="C31" s="23">
        <v>145027</v>
      </c>
      <c r="D31" s="23">
        <v>655134</v>
      </c>
      <c r="E31" s="90">
        <v>-0.77863002072858378</v>
      </c>
      <c r="F31" s="76">
        <v>870014</v>
      </c>
      <c r="G31" s="76">
        <v>5445215</v>
      </c>
      <c r="H31" s="94">
        <v>-0.84022412338172137</v>
      </c>
      <c r="I31" s="4"/>
      <c r="J31" s="4"/>
    </row>
    <row r="32" spans="1:10">
      <c r="A32" s="46">
        <v>87149620002</v>
      </c>
      <c r="B32" s="22" t="s">
        <v>174</v>
      </c>
      <c r="C32" s="23">
        <v>556637</v>
      </c>
      <c r="D32" s="23">
        <v>1411363</v>
      </c>
      <c r="E32" s="90">
        <v>-0.6056032360207827</v>
      </c>
      <c r="F32" s="76">
        <v>6279655</v>
      </c>
      <c r="G32" s="76">
        <v>14566069</v>
      </c>
      <c r="H32" s="94">
        <v>-0.5688847141943375</v>
      </c>
      <c r="I32" s="4"/>
      <c r="J32" s="4"/>
    </row>
    <row r="33" spans="1:10">
      <c r="A33" s="46" t="s">
        <v>210</v>
      </c>
      <c r="B33" s="22" t="s">
        <v>175</v>
      </c>
      <c r="C33" s="23">
        <v>264647</v>
      </c>
      <c r="D33" s="23">
        <v>791681</v>
      </c>
      <c r="E33" s="90">
        <v>-0.66571510494757358</v>
      </c>
      <c r="F33" s="76">
        <v>1137842</v>
      </c>
      <c r="G33" s="76">
        <v>3346767</v>
      </c>
      <c r="H33" s="94">
        <v>-0.66001756321847327</v>
      </c>
      <c r="I33" s="4"/>
      <c r="J33" s="4"/>
    </row>
    <row r="34" spans="1:10">
      <c r="A34" s="46">
        <v>87149990111</v>
      </c>
      <c r="B34" s="22" t="s">
        <v>176</v>
      </c>
      <c r="C34" s="23">
        <v>96098</v>
      </c>
      <c r="D34" s="23">
        <v>560682</v>
      </c>
      <c r="E34" s="90">
        <v>-0.82860516299792042</v>
      </c>
      <c r="F34" s="76">
        <v>2718156</v>
      </c>
      <c r="G34" s="76">
        <v>12845763</v>
      </c>
      <c r="H34" s="94">
        <v>-0.78840058002004243</v>
      </c>
      <c r="I34" s="4"/>
      <c r="J34" s="4"/>
    </row>
    <row r="35" spans="1:10">
      <c r="A35" s="46">
        <v>87149320906</v>
      </c>
      <c r="B35" s="22" t="s">
        <v>177</v>
      </c>
      <c r="C35" s="23">
        <v>160802</v>
      </c>
      <c r="D35" s="23">
        <v>243303</v>
      </c>
      <c r="E35" s="90">
        <v>-0.33908747528801536</v>
      </c>
      <c r="F35" s="76">
        <v>2194100</v>
      </c>
      <c r="G35" s="76">
        <v>2713304</v>
      </c>
      <c r="H35" s="94">
        <v>-0.19135489425438507</v>
      </c>
      <c r="I35" s="4"/>
      <c r="J35" s="4"/>
    </row>
    <row r="36" spans="1:10">
      <c r="A36" s="46">
        <v>87149990139</v>
      </c>
      <c r="B36" s="22" t="s">
        <v>178</v>
      </c>
      <c r="C36" s="23">
        <v>25262</v>
      </c>
      <c r="D36" s="23">
        <v>90313</v>
      </c>
      <c r="E36" s="90">
        <v>-0.72028390154241362</v>
      </c>
      <c r="F36" s="76">
        <v>85693</v>
      </c>
      <c r="G36" s="76">
        <v>449179</v>
      </c>
      <c r="H36" s="94">
        <v>-0.80922304916302856</v>
      </c>
      <c r="I36" s="4"/>
      <c r="J36" s="4"/>
    </row>
    <row r="37" spans="1:10">
      <c r="A37" s="46">
        <v>87149990148</v>
      </c>
      <c r="B37" s="22" t="s">
        <v>179</v>
      </c>
      <c r="C37" s="23">
        <v>104749</v>
      </c>
      <c r="D37" s="23">
        <v>356897</v>
      </c>
      <c r="E37" s="90">
        <v>-0.70650075511982446</v>
      </c>
      <c r="F37" s="76">
        <v>2629229</v>
      </c>
      <c r="G37" s="76">
        <v>5958752</v>
      </c>
      <c r="H37" s="94">
        <v>-0.55876180112882701</v>
      </c>
      <c r="I37" s="4"/>
      <c r="J37" s="4"/>
    </row>
    <row r="38" spans="1:10">
      <c r="A38" s="46">
        <v>87149990157</v>
      </c>
      <c r="B38" s="22" t="s">
        <v>180</v>
      </c>
      <c r="C38" s="23">
        <v>251092</v>
      </c>
      <c r="D38" s="23">
        <v>604190</v>
      </c>
      <c r="E38" s="90">
        <v>-0.58441549843592244</v>
      </c>
      <c r="F38" s="76">
        <v>8581417</v>
      </c>
      <c r="G38" s="76">
        <v>11778203</v>
      </c>
      <c r="H38" s="94">
        <v>-0.27141542729395984</v>
      </c>
      <c r="I38" s="4"/>
      <c r="J38" s="4"/>
    </row>
    <row r="39" spans="1:10">
      <c r="A39" s="46" t="s">
        <v>259</v>
      </c>
      <c r="B39" s="22" t="s">
        <v>181</v>
      </c>
      <c r="C39" s="23">
        <v>267062</v>
      </c>
      <c r="D39" s="23">
        <v>619952</v>
      </c>
      <c r="E39" s="90">
        <v>-0.5692214881152089</v>
      </c>
      <c r="F39" s="76">
        <v>11530345</v>
      </c>
      <c r="G39" s="76">
        <v>19068440</v>
      </c>
      <c r="H39" s="94">
        <v>-0.39531786554117693</v>
      </c>
      <c r="I39" s="4"/>
      <c r="J39" s="4"/>
    </row>
    <row r="40" spans="1:10">
      <c r="A40" s="46" t="s">
        <v>211</v>
      </c>
      <c r="B40" s="22" t="s">
        <v>182</v>
      </c>
      <c r="C40" s="23">
        <v>549291</v>
      </c>
      <c r="D40" s="23">
        <v>943056</v>
      </c>
      <c r="E40" s="90">
        <v>-0.41754148216012621</v>
      </c>
      <c r="F40" s="76">
        <v>3460964</v>
      </c>
      <c r="G40" s="76">
        <v>6591255</v>
      </c>
      <c r="H40" s="94">
        <v>-0.47491577855810463</v>
      </c>
      <c r="I40" s="4"/>
      <c r="J40" s="4"/>
    </row>
    <row r="41" spans="1:10">
      <c r="A41" s="46" t="s">
        <v>212</v>
      </c>
      <c r="B41" s="22" t="s">
        <v>183</v>
      </c>
      <c r="C41" s="23">
        <v>171844</v>
      </c>
      <c r="D41" s="23">
        <v>313569</v>
      </c>
      <c r="E41" s="90">
        <v>-0.45197388772487074</v>
      </c>
      <c r="F41" s="76">
        <v>1009331</v>
      </c>
      <c r="G41" s="76">
        <v>1741359</v>
      </c>
      <c r="H41" s="94">
        <v>-0.42037741786730937</v>
      </c>
      <c r="I41" s="4"/>
      <c r="J41" s="4"/>
    </row>
    <row r="42" spans="1:10" ht="18.75" customHeight="1" thickBot="1">
      <c r="A42" s="132" t="s">
        <v>160</v>
      </c>
      <c r="B42" s="133"/>
      <c r="C42" s="63">
        <v>8555179</v>
      </c>
      <c r="D42" s="63">
        <v>20407970</v>
      </c>
      <c r="E42" s="91">
        <v>-0.58079225910269372</v>
      </c>
      <c r="F42" s="77">
        <v>337382574</v>
      </c>
      <c r="G42" s="77">
        <v>527091103</v>
      </c>
      <c r="H42" s="91">
        <v>-0.35991601436687504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231" priority="13" operator="greaterThanOrEqual">
      <formula>0</formula>
    </cfRule>
    <cfRule type="cellIs" dxfId="230" priority="14" operator="lessThan">
      <formula>0</formula>
    </cfRule>
  </conditionalFormatting>
  <conditionalFormatting sqref="E13">
    <cfRule type="cellIs" dxfId="229" priority="3" operator="greaterThanOrEqual">
      <formula>0</formula>
    </cfRule>
    <cfRule type="cellIs" dxfId="228" priority="4" operator="lessThan">
      <formula>0</formula>
    </cfRule>
  </conditionalFormatting>
  <conditionalFormatting sqref="E20:E41">
    <cfRule type="cellIs" dxfId="227" priority="1" operator="greaterThanOrEqual">
      <formula>0</formula>
    </cfRule>
    <cfRule type="cellIs" dxfId="226" priority="2" operator="lessThan">
      <formula>0</formula>
    </cfRule>
  </conditionalFormatting>
  <conditionalFormatting sqref="H5:H10">
    <cfRule type="cellIs" dxfId="225" priority="11" operator="greaterThanOrEqual">
      <formula>0</formula>
    </cfRule>
    <cfRule type="cellIs" dxfId="224" priority="12" operator="lessThan">
      <formula>0</formula>
    </cfRule>
  </conditionalFormatting>
  <conditionalFormatting sqref="H13">
    <cfRule type="cellIs" dxfId="223" priority="7" operator="greaterThanOrEqual">
      <formula>0</formula>
    </cfRule>
    <cfRule type="cellIs" dxfId="222" priority="8" operator="lessThan">
      <formula>0</formula>
    </cfRule>
  </conditionalFormatting>
  <conditionalFormatting sqref="K5:K10">
    <cfRule type="cellIs" dxfId="221" priority="9" operator="greaterThanOrEqual">
      <formula>0</formula>
    </cfRule>
    <cfRule type="cellIs" dxfId="220" priority="10" operator="lessThan">
      <formula>0</formula>
    </cfRule>
  </conditionalFormatting>
  <conditionalFormatting sqref="K13">
    <cfRule type="cellIs" dxfId="219" priority="5" operator="greaterThanOrEqual">
      <formula>0</formula>
    </cfRule>
    <cfRule type="cellIs" dxfId="218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J89"/>
  <sheetViews>
    <sheetView zoomScaleNormal="100" workbookViewId="0">
      <selection activeCell="A36" sqref="A36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7.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3.25" customHeight="1">
      <c r="A1" s="130" t="s">
        <v>244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137</v>
      </c>
      <c r="B3" s="6" t="s">
        <v>138</v>
      </c>
      <c r="C3" s="98" t="s">
        <v>245</v>
      </c>
      <c r="D3" s="8" t="s">
        <v>246</v>
      </c>
      <c r="E3" s="9" t="s">
        <v>141</v>
      </c>
      <c r="F3" s="10" t="s">
        <v>247</v>
      </c>
      <c r="G3" s="99" t="s">
        <v>248</v>
      </c>
      <c r="H3" s="9" t="s">
        <v>144</v>
      </c>
      <c r="I3" s="56" t="s">
        <v>145</v>
      </c>
      <c r="J3" s="56" t="s">
        <v>146</v>
      </c>
    </row>
    <row r="4" spans="1:10" ht="15" customHeight="1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206</v>
      </c>
      <c r="B5" s="22" t="s">
        <v>147</v>
      </c>
      <c r="C5" s="23">
        <v>747</v>
      </c>
      <c r="D5" s="23">
        <v>4530</v>
      </c>
      <c r="E5" s="101">
        <v>-3783</v>
      </c>
      <c r="F5" s="23">
        <v>1794705</v>
      </c>
      <c r="G5" s="23">
        <v>254578</v>
      </c>
      <c r="H5" s="84">
        <v>1540127</v>
      </c>
      <c r="I5" s="25">
        <v>2402.5502008032126</v>
      </c>
      <c r="J5" s="25">
        <v>56.198233995584992</v>
      </c>
    </row>
    <row r="6" spans="1:10" ht="16.5">
      <c r="A6" s="26" t="s">
        <v>205</v>
      </c>
      <c r="B6" s="27" t="s">
        <v>148</v>
      </c>
      <c r="C6" s="23">
        <v>168</v>
      </c>
      <c r="D6" s="23">
        <v>2900</v>
      </c>
      <c r="E6" s="101">
        <v>-2732</v>
      </c>
      <c r="F6" s="23">
        <v>162653</v>
      </c>
      <c r="G6" s="23">
        <v>305585</v>
      </c>
      <c r="H6" s="84">
        <v>-142932</v>
      </c>
      <c r="I6" s="25">
        <v>968.17261904761904</v>
      </c>
      <c r="J6" s="25">
        <v>105.37413793103448</v>
      </c>
    </row>
    <row r="7" spans="1:10" ht="16.5">
      <c r="A7" s="21" t="s">
        <v>149</v>
      </c>
      <c r="B7" s="28" t="s">
        <v>150</v>
      </c>
      <c r="C7" s="29">
        <v>0</v>
      </c>
      <c r="D7" s="23">
        <v>2444</v>
      </c>
      <c r="E7" s="101">
        <v>-2444</v>
      </c>
      <c r="F7" s="23">
        <v>0</v>
      </c>
      <c r="G7" s="23">
        <v>117387</v>
      </c>
      <c r="H7" s="84">
        <v>-117387</v>
      </c>
      <c r="I7" s="25">
        <v>0</v>
      </c>
      <c r="J7" s="25">
        <v>48.030687397708675</v>
      </c>
    </row>
    <row r="8" spans="1:10" ht="16.5">
      <c r="A8" s="21" t="s">
        <v>151</v>
      </c>
      <c r="B8" s="28" t="s">
        <v>152</v>
      </c>
      <c r="C8" s="23">
        <v>75</v>
      </c>
      <c r="D8" s="23">
        <v>4310</v>
      </c>
      <c r="E8" s="101">
        <v>-4235</v>
      </c>
      <c r="F8" s="23">
        <v>54810</v>
      </c>
      <c r="G8" s="23">
        <v>417560</v>
      </c>
      <c r="H8" s="84">
        <v>-362750</v>
      </c>
      <c r="I8" s="25">
        <v>730.8</v>
      </c>
      <c r="J8" s="25">
        <v>96.881670533642691</v>
      </c>
    </row>
    <row r="9" spans="1:10" ht="16.5">
      <c r="A9" s="21" t="s">
        <v>153</v>
      </c>
      <c r="B9" s="28" t="s">
        <v>154</v>
      </c>
      <c r="C9" s="23">
        <v>716</v>
      </c>
      <c r="D9" s="23">
        <v>1420</v>
      </c>
      <c r="E9" s="101">
        <v>-704</v>
      </c>
      <c r="F9" s="23">
        <v>1233475</v>
      </c>
      <c r="G9" s="23">
        <v>155261</v>
      </c>
      <c r="H9" s="84">
        <v>1078214</v>
      </c>
      <c r="I9" s="25">
        <v>1722.7304469273743</v>
      </c>
      <c r="J9" s="25">
        <v>109.3387323943662</v>
      </c>
    </row>
    <row r="10" spans="1:10" ht="16.5">
      <c r="A10" s="21" t="s">
        <v>155</v>
      </c>
      <c r="B10" s="28" t="s">
        <v>156</v>
      </c>
      <c r="C10" s="23">
        <v>6232</v>
      </c>
      <c r="D10" s="23">
        <v>1006</v>
      </c>
      <c r="E10" s="101">
        <v>5226</v>
      </c>
      <c r="F10" s="23">
        <v>8985735</v>
      </c>
      <c r="G10" s="23">
        <v>237346</v>
      </c>
      <c r="H10" s="84">
        <v>8748389</v>
      </c>
      <c r="I10" s="25">
        <v>1441.8701861360719</v>
      </c>
      <c r="J10" s="25">
        <v>235.93041749502981</v>
      </c>
    </row>
    <row r="11" spans="1:10" ht="17.25" thickBot="1">
      <c r="A11" s="48" t="s">
        <v>157</v>
      </c>
      <c r="B11" s="70" t="s">
        <v>158</v>
      </c>
      <c r="C11" s="63">
        <v>7938</v>
      </c>
      <c r="D11" s="63">
        <v>16610</v>
      </c>
      <c r="E11" s="100">
        <v>-8672</v>
      </c>
      <c r="F11" s="63">
        <v>12231378</v>
      </c>
      <c r="G11" s="63">
        <v>1487717</v>
      </c>
      <c r="H11" s="82">
        <v>10743661</v>
      </c>
      <c r="I11" s="102">
        <v>1540.8639455782313</v>
      </c>
      <c r="J11" s="72">
        <v>89.567549668874179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207</v>
      </c>
      <c r="B13" s="22" t="s">
        <v>159</v>
      </c>
      <c r="C13" s="23">
        <v>0</v>
      </c>
      <c r="D13" s="23">
        <v>21</v>
      </c>
      <c r="E13" s="101">
        <v>-21</v>
      </c>
      <c r="F13" s="23">
        <v>0</v>
      </c>
      <c r="G13" s="23">
        <v>2259</v>
      </c>
      <c r="H13" s="103">
        <v>-2259</v>
      </c>
      <c r="I13" s="25">
        <v>0</v>
      </c>
      <c r="J13" s="25">
        <v>107.57142857142857</v>
      </c>
    </row>
    <row r="14" spans="1:10" ht="17.25" thickBot="1">
      <c r="A14" s="106" t="s">
        <v>160</v>
      </c>
      <c r="B14" s="105" t="s">
        <v>80</v>
      </c>
      <c r="C14" s="63">
        <v>7938</v>
      </c>
      <c r="D14" s="63">
        <v>16631</v>
      </c>
      <c r="E14" s="80">
        <v>-8693</v>
      </c>
      <c r="F14" s="63">
        <v>12231378</v>
      </c>
      <c r="G14" s="63">
        <v>1489976</v>
      </c>
      <c r="H14" s="107">
        <v>10741402</v>
      </c>
      <c r="I14" s="72">
        <v>1540.8639455782313</v>
      </c>
      <c r="J14" s="104">
        <v>89.590283206060974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249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98" t="s">
        <v>245</v>
      </c>
      <c r="D18" s="8" t="s">
        <v>246</v>
      </c>
      <c r="E18" s="9" t="s">
        <v>141</v>
      </c>
      <c r="F18" s="10" t="s">
        <v>247</v>
      </c>
      <c r="G18" s="99" t="s">
        <v>248</v>
      </c>
      <c r="H18" s="9" t="s">
        <v>144</v>
      </c>
      <c r="I18" s="44"/>
      <c r="J18" s="44"/>
    </row>
    <row r="19" spans="1:10">
      <c r="A19" s="13"/>
      <c r="B19" s="14"/>
      <c r="C19" s="15" t="s">
        <v>161</v>
      </c>
      <c r="D19" s="15" t="s">
        <v>161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208</v>
      </c>
      <c r="B20" s="22" t="s">
        <v>162</v>
      </c>
      <c r="C20" s="23">
        <v>275</v>
      </c>
      <c r="D20" s="23">
        <v>2267</v>
      </c>
      <c r="E20" s="24">
        <v>-1992</v>
      </c>
      <c r="F20" s="23">
        <v>30569</v>
      </c>
      <c r="G20" s="23">
        <v>128923</v>
      </c>
      <c r="H20" s="24">
        <v>-98354</v>
      </c>
      <c r="I20" s="4"/>
      <c r="J20" s="4"/>
    </row>
    <row r="21" spans="1:10">
      <c r="A21" s="46" t="s">
        <v>209</v>
      </c>
      <c r="B21" s="22" t="s">
        <v>163</v>
      </c>
      <c r="C21" s="23">
        <v>0</v>
      </c>
      <c r="D21" s="23">
        <v>807</v>
      </c>
      <c r="E21" s="24">
        <v>-807</v>
      </c>
      <c r="F21" s="23">
        <v>0</v>
      </c>
      <c r="G21" s="23">
        <v>38396</v>
      </c>
      <c r="H21" s="24">
        <v>-38396</v>
      </c>
      <c r="I21" s="4"/>
      <c r="J21" s="4"/>
    </row>
    <row r="22" spans="1:10">
      <c r="A22" s="46" t="s">
        <v>258</v>
      </c>
      <c r="B22" s="22" t="s">
        <v>164</v>
      </c>
      <c r="C22" s="23">
        <v>82399</v>
      </c>
      <c r="D22" s="23">
        <v>373165</v>
      </c>
      <c r="E22" s="24">
        <v>-290766</v>
      </c>
      <c r="F22" s="23">
        <v>3574893</v>
      </c>
      <c r="G22" s="23">
        <v>26141002</v>
      </c>
      <c r="H22" s="24">
        <v>-22566109</v>
      </c>
      <c r="I22" s="4"/>
      <c r="J22" s="4"/>
    </row>
    <row r="23" spans="1:10">
      <c r="A23" s="46">
        <v>87149200108</v>
      </c>
      <c r="B23" s="22" t="s">
        <v>165</v>
      </c>
      <c r="C23" s="23">
        <v>4284</v>
      </c>
      <c r="D23" s="23">
        <v>73717</v>
      </c>
      <c r="E23" s="24">
        <v>-69433</v>
      </c>
      <c r="F23" s="23">
        <v>124692</v>
      </c>
      <c r="G23" s="23">
        <v>4482112</v>
      </c>
      <c r="H23" s="24">
        <v>-4357420</v>
      </c>
      <c r="I23" s="4"/>
      <c r="J23" s="4"/>
    </row>
    <row r="24" spans="1:10">
      <c r="A24" s="46">
        <v>87149200206</v>
      </c>
      <c r="B24" s="22" t="s">
        <v>166</v>
      </c>
      <c r="C24" s="23">
        <v>8975</v>
      </c>
      <c r="D24" s="23">
        <v>3837</v>
      </c>
      <c r="E24" s="24">
        <v>5138</v>
      </c>
      <c r="F24" s="23">
        <v>270335</v>
      </c>
      <c r="G24" s="23">
        <v>33958</v>
      </c>
      <c r="H24" s="24">
        <v>236377</v>
      </c>
      <c r="I24" s="4"/>
      <c r="J24" s="4"/>
    </row>
    <row r="25" spans="1:10">
      <c r="A25" s="46">
        <v>87149200304</v>
      </c>
      <c r="B25" s="22" t="s">
        <v>167</v>
      </c>
      <c r="C25" s="23">
        <v>4337</v>
      </c>
      <c r="D25" s="23">
        <v>9138</v>
      </c>
      <c r="E25" s="24">
        <v>-4801</v>
      </c>
      <c r="F25" s="23">
        <v>538961</v>
      </c>
      <c r="G25" s="23">
        <v>369527</v>
      </c>
      <c r="H25" s="24">
        <v>169434</v>
      </c>
      <c r="I25" s="4"/>
      <c r="J25" s="4"/>
    </row>
    <row r="26" spans="1:10">
      <c r="A26" s="46">
        <v>87149310007</v>
      </c>
      <c r="B26" s="22" t="s">
        <v>168</v>
      </c>
      <c r="C26" s="23">
        <v>2366</v>
      </c>
      <c r="D26" s="23">
        <v>45193</v>
      </c>
      <c r="E26" s="24">
        <v>-42827</v>
      </c>
      <c r="F26" s="23">
        <v>249355</v>
      </c>
      <c r="G26" s="23">
        <v>1861677</v>
      </c>
      <c r="H26" s="24">
        <v>-1612322</v>
      </c>
      <c r="I26" s="4"/>
      <c r="J26" s="4"/>
    </row>
    <row r="27" spans="1:10">
      <c r="A27" s="46">
        <v>87149320103</v>
      </c>
      <c r="B27" s="22" t="s">
        <v>169</v>
      </c>
      <c r="C27" s="23">
        <v>29</v>
      </c>
      <c r="D27" s="23">
        <v>149</v>
      </c>
      <c r="E27" s="24">
        <v>-120</v>
      </c>
      <c r="F27" s="23">
        <v>2034</v>
      </c>
      <c r="G27" s="23">
        <v>5520</v>
      </c>
      <c r="H27" s="24">
        <v>-3486</v>
      </c>
      <c r="I27" s="4"/>
      <c r="J27" s="4"/>
    </row>
    <row r="28" spans="1:10">
      <c r="A28" s="46">
        <v>87149410006</v>
      </c>
      <c r="B28" s="22" t="s">
        <v>170</v>
      </c>
      <c r="C28" s="23">
        <v>0</v>
      </c>
      <c r="D28" s="23">
        <v>1162</v>
      </c>
      <c r="E28" s="24">
        <v>-1162</v>
      </c>
      <c r="F28" s="23">
        <v>0</v>
      </c>
      <c r="G28" s="23">
        <v>7457</v>
      </c>
      <c r="H28" s="24">
        <v>-7457</v>
      </c>
      <c r="I28" s="4"/>
      <c r="J28" s="4"/>
    </row>
    <row r="29" spans="1:10">
      <c r="A29" s="46">
        <v>87149490009</v>
      </c>
      <c r="B29" s="22" t="s">
        <v>171</v>
      </c>
      <c r="C29" s="23">
        <v>46707</v>
      </c>
      <c r="D29" s="23">
        <v>56552</v>
      </c>
      <c r="E29" s="24">
        <v>-9845</v>
      </c>
      <c r="F29" s="23">
        <v>2435085</v>
      </c>
      <c r="G29" s="23">
        <v>1134609</v>
      </c>
      <c r="H29" s="24">
        <v>1300476</v>
      </c>
      <c r="I29" s="4"/>
      <c r="J29" s="4"/>
    </row>
    <row r="30" spans="1:10">
      <c r="A30" s="46">
        <v>87149500007</v>
      </c>
      <c r="B30" s="22" t="s">
        <v>172</v>
      </c>
      <c r="C30" s="23">
        <v>6110</v>
      </c>
      <c r="D30" s="23">
        <v>47666</v>
      </c>
      <c r="E30" s="24">
        <v>-41556</v>
      </c>
      <c r="F30" s="23">
        <v>236961</v>
      </c>
      <c r="G30" s="23">
        <v>552087</v>
      </c>
      <c r="H30" s="24">
        <v>-315126</v>
      </c>
      <c r="I30" s="4"/>
      <c r="J30" s="4"/>
    </row>
    <row r="31" spans="1:10">
      <c r="A31" s="46">
        <v>87149610004</v>
      </c>
      <c r="B31" s="22" t="s">
        <v>173</v>
      </c>
      <c r="C31" s="23">
        <v>11548</v>
      </c>
      <c r="D31" s="23">
        <v>15303</v>
      </c>
      <c r="E31" s="24">
        <v>-3755</v>
      </c>
      <c r="F31" s="23">
        <v>242544</v>
      </c>
      <c r="G31" s="23">
        <v>87050</v>
      </c>
      <c r="H31" s="24">
        <v>155494</v>
      </c>
      <c r="I31" s="4"/>
      <c r="J31" s="4"/>
    </row>
    <row r="32" spans="1:10">
      <c r="A32" s="46">
        <v>87149620002</v>
      </c>
      <c r="B32" s="22" t="s">
        <v>174</v>
      </c>
      <c r="C32" s="23">
        <v>18559</v>
      </c>
      <c r="D32" s="23">
        <v>50698</v>
      </c>
      <c r="E32" s="24">
        <v>-32139</v>
      </c>
      <c r="F32" s="23">
        <v>895870</v>
      </c>
      <c r="G32" s="23">
        <v>817270</v>
      </c>
      <c r="H32" s="24">
        <v>78600</v>
      </c>
      <c r="I32" s="4"/>
      <c r="J32" s="4"/>
    </row>
    <row r="33" spans="1:10">
      <c r="A33" s="46" t="s">
        <v>210</v>
      </c>
      <c r="B33" s="22" t="s">
        <v>175</v>
      </c>
      <c r="C33" s="23">
        <v>10463</v>
      </c>
      <c r="D33" s="23">
        <v>21507</v>
      </c>
      <c r="E33" s="24">
        <v>-11044</v>
      </c>
      <c r="F33" s="23">
        <v>250096</v>
      </c>
      <c r="G33" s="23">
        <v>79692</v>
      </c>
      <c r="H33" s="24">
        <v>170404</v>
      </c>
      <c r="I33" s="4"/>
      <c r="J33" s="4"/>
    </row>
    <row r="34" spans="1:10">
      <c r="A34" s="46">
        <v>87149990111</v>
      </c>
      <c r="B34" s="22" t="s">
        <v>176</v>
      </c>
      <c r="C34" s="23">
        <v>23971</v>
      </c>
      <c r="D34" s="23">
        <v>5461</v>
      </c>
      <c r="E34" s="24">
        <v>18510</v>
      </c>
      <c r="F34" s="23">
        <v>1627759</v>
      </c>
      <c r="G34" s="23">
        <v>263816</v>
      </c>
      <c r="H34" s="24">
        <v>1363943</v>
      </c>
      <c r="I34" s="4"/>
      <c r="J34" s="4"/>
    </row>
    <row r="35" spans="1:10">
      <c r="A35" s="46">
        <v>87149320906</v>
      </c>
      <c r="B35" s="22" t="s">
        <v>177</v>
      </c>
      <c r="C35" s="23">
        <v>22785</v>
      </c>
      <c r="D35" s="23">
        <v>7589</v>
      </c>
      <c r="E35" s="24">
        <v>15196</v>
      </c>
      <c r="F35" s="23">
        <v>888508</v>
      </c>
      <c r="G35" s="23">
        <v>119337</v>
      </c>
      <c r="H35" s="24">
        <v>769171</v>
      </c>
      <c r="I35" s="4"/>
      <c r="J35" s="4"/>
    </row>
    <row r="36" spans="1:10">
      <c r="A36" s="46">
        <v>87149990139</v>
      </c>
      <c r="B36" s="22" t="s">
        <v>178</v>
      </c>
      <c r="C36" s="23">
        <v>431</v>
      </c>
      <c r="D36" s="23">
        <v>790</v>
      </c>
      <c r="E36" s="24">
        <v>-359</v>
      </c>
      <c r="F36" s="23">
        <v>33248</v>
      </c>
      <c r="G36" s="23">
        <v>3067</v>
      </c>
      <c r="H36" s="24">
        <v>30181</v>
      </c>
      <c r="I36" s="4"/>
      <c r="J36" s="4"/>
    </row>
    <row r="37" spans="1:10">
      <c r="A37" s="46">
        <v>87149990148</v>
      </c>
      <c r="B37" s="22" t="s">
        <v>179</v>
      </c>
      <c r="C37" s="23">
        <v>1916</v>
      </c>
      <c r="D37" s="23">
        <v>4289</v>
      </c>
      <c r="E37" s="24">
        <v>-2373</v>
      </c>
      <c r="F37" s="23">
        <v>73789</v>
      </c>
      <c r="G37" s="23">
        <v>139634</v>
      </c>
      <c r="H37" s="24">
        <v>-65845</v>
      </c>
      <c r="I37" s="4"/>
      <c r="J37" s="4"/>
    </row>
    <row r="38" spans="1:10">
      <c r="A38" s="46">
        <v>87149990157</v>
      </c>
      <c r="B38" s="22" t="s">
        <v>180</v>
      </c>
      <c r="C38" s="23">
        <v>4288</v>
      </c>
      <c r="D38" s="23">
        <v>19636</v>
      </c>
      <c r="E38" s="24">
        <v>-15348</v>
      </c>
      <c r="F38" s="23">
        <v>205261</v>
      </c>
      <c r="G38" s="23">
        <v>1103382</v>
      </c>
      <c r="H38" s="24">
        <v>-898121</v>
      </c>
      <c r="I38" s="4"/>
      <c r="J38" s="4"/>
    </row>
    <row r="39" spans="1:10">
      <c r="A39" s="46" t="s">
        <v>259</v>
      </c>
      <c r="B39" s="22" t="s">
        <v>181</v>
      </c>
      <c r="C39" s="23">
        <v>11429</v>
      </c>
      <c r="D39" s="23">
        <v>25377</v>
      </c>
      <c r="E39" s="24">
        <v>-13948</v>
      </c>
      <c r="F39" s="23">
        <v>391832</v>
      </c>
      <c r="G39" s="23">
        <v>1509511</v>
      </c>
      <c r="H39" s="24">
        <v>-1117679</v>
      </c>
      <c r="I39" s="4"/>
      <c r="J39" s="4"/>
    </row>
    <row r="40" spans="1:10">
      <c r="A40" s="46" t="s">
        <v>211</v>
      </c>
      <c r="B40" s="22" t="s">
        <v>182</v>
      </c>
      <c r="C40" s="23">
        <v>54127</v>
      </c>
      <c r="D40" s="23">
        <v>53069</v>
      </c>
      <c r="E40" s="24">
        <v>1058</v>
      </c>
      <c r="F40" s="23">
        <v>1155392</v>
      </c>
      <c r="G40" s="23">
        <v>328923</v>
      </c>
      <c r="H40" s="24">
        <v>826469</v>
      </c>
      <c r="I40" s="4"/>
      <c r="J40" s="4"/>
    </row>
    <row r="41" spans="1:10">
      <c r="A41" s="46" t="s">
        <v>212</v>
      </c>
      <c r="B41" s="22" t="s">
        <v>183</v>
      </c>
      <c r="C41" s="23">
        <v>1474</v>
      </c>
      <c r="D41" s="23">
        <v>7228</v>
      </c>
      <c r="E41" s="24">
        <v>-5754</v>
      </c>
      <c r="F41" s="23">
        <v>14042</v>
      </c>
      <c r="G41" s="23">
        <v>41315</v>
      </c>
      <c r="H41" s="24">
        <v>-27273</v>
      </c>
      <c r="I41" s="4"/>
      <c r="J41" s="4"/>
    </row>
    <row r="42" spans="1:10" ht="18.75" customHeight="1" thickBot="1">
      <c r="A42" s="132" t="s">
        <v>160</v>
      </c>
      <c r="B42" s="133"/>
      <c r="C42" s="50">
        <v>316473</v>
      </c>
      <c r="D42" s="50">
        <v>824600</v>
      </c>
      <c r="E42" s="51">
        <v>-508127</v>
      </c>
      <c r="F42" s="50">
        <v>12991130</v>
      </c>
      <c r="G42" s="50">
        <v>39248265</v>
      </c>
      <c r="H42" s="51">
        <v>-26257135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3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21" customHeight="1">
      <c r="A1" s="134" t="s">
        <v>250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137</v>
      </c>
      <c r="B3" s="6" t="s">
        <v>138</v>
      </c>
      <c r="C3" s="7" t="s">
        <v>251</v>
      </c>
      <c r="D3" s="7" t="s">
        <v>252</v>
      </c>
      <c r="E3" s="9" t="s">
        <v>186</v>
      </c>
      <c r="F3" s="74" t="s">
        <v>253</v>
      </c>
      <c r="G3" s="74" t="s">
        <v>254</v>
      </c>
      <c r="H3" s="9" t="s">
        <v>186</v>
      </c>
      <c r="I3" s="56" t="s">
        <v>187</v>
      </c>
      <c r="J3" s="56" t="s">
        <v>188</v>
      </c>
      <c r="K3" s="64" t="s">
        <v>189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14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17881</v>
      </c>
      <c r="D5" s="23">
        <v>1306</v>
      </c>
      <c r="E5" s="89">
        <v>12.691424196018376</v>
      </c>
      <c r="F5" s="76">
        <v>5923103</v>
      </c>
      <c r="G5" s="76">
        <v>711846</v>
      </c>
      <c r="H5" s="90">
        <v>7.3207646035799874</v>
      </c>
      <c r="I5" s="25">
        <v>331.2512163749231</v>
      </c>
      <c r="J5" s="25">
        <v>545.05819295558956</v>
      </c>
      <c r="K5" s="89">
        <v>-0.39226449458780466</v>
      </c>
    </row>
    <row r="6" spans="1:11" ht="16.5">
      <c r="A6" s="26" t="s">
        <v>205</v>
      </c>
      <c r="B6" s="27" t="s">
        <v>148</v>
      </c>
      <c r="C6" s="23">
        <v>2600</v>
      </c>
      <c r="D6" s="23">
        <v>1171</v>
      </c>
      <c r="E6" s="89">
        <v>1.2203245089666952</v>
      </c>
      <c r="F6" s="76">
        <v>1623279</v>
      </c>
      <c r="G6" s="76">
        <v>1067408</v>
      </c>
      <c r="H6" s="90">
        <v>0.52076712934510516</v>
      </c>
      <c r="I6" s="25">
        <v>624.33807692307687</v>
      </c>
      <c r="J6" s="25">
        <v>911.53543979504695</v>
      </c>
      <c r="K6" s="89">
        <v>-0.31506988136033925</v>
      </c>
    </row>
    <row r="7" spans="1:11" ht="16.5">
      <c r="A7" s="21" t="s">
        <v>149</v>
      </c>
      <c r="B7" s="28" t="s">
        <v>150</v>
      </c>
      <c r="C7" s="23">
        <v>31</v>
      </c>
      <c r="D7" s="23">
        <v>40</v>
      </c>
      <c r="E7" s="89">
        <v>-0.22500000000000001</v>
      </c>
      <c r="F7" s="76">
        <v>3126</v>
      </c>
      <c r="G7" s="76">
        <v>5881</v>
      </c>
      <c r="H7" s="90">
        <v>-0.46845774528141471</v>
      </c>
      <c r="I7" s="25">
        <v>100.83870967741936</v>
      </c>
      <c r="J7" s="25">
        <v>147.02500000000001</v>
      </c>
      <c r="K7" s="89">
        <v>-0.3141390261695674</v>
      </c>
    </row>
    <row r="8" spans="1:11" ht="16.5">
      <c r="A8" s="21" t="s">
        <v>151</v>
      </c>
      <c r="B8" s="28" t="s">
        <v>152</v>
      </c>
      <c r="C8" s="23">
        <v>512</v>
      </c>
      <c r="D8" s="23">
        <v>2</v>
      </c>
      <c r="E8" s="89">
        <v>255</v>
      </c>
      <c r="F8" s="76">
        <v>322426</v>
      </c>
      <c r="G8" s="76">
        <v>1354</v>
      </c>
      <c r="H8" s="90">
        <v>237.1285081240768</v>
      </c>
      <c r="I8" s="25">
        <v>629.73828125</v>
      </c>
      <c r="J8" s="25">
        <v>677</v>
      </c>
      <c r="K8" s="89">
        <v>-6.9810515140324964E-2</v>
      </c>
    </row>
    <row r="9" spans="1:11" ht="16.5">
      <c r="A9" s="21" t="s">
        <v>153</v>
      </c>
      <c r="B9" s="28" t="s">
        <v>154</v>
      </c>
      <c r="C9" s="23">
        <v>17865</v>
      </c>
      <c r="D9" s="23">
        <v>2799</v>
      </c>
      <c r="E9" s="89">
        <v>5.382636655948553</v>
      </c>
      <c r="F9" s="76">
        <v>9747888</v>
      </c>
      <c r="G9" s="76">
        <v>3539347</v>
      </c>
      <c r="H9" s="90">
        <v>1.7541487172633823</v>
      </c>
      <c r="I9" s="25">
        <v>545.64164567590262</v>
      </c>
      <c r="J9" s="25">
        <v>1264.5041086102178</v>
      </c>
      <c r="K9" s="89">
        <v>-0.56849357628770181</v>
      </c>
    </row>
    <row r="10" spans="1:11" ht="16.5">
      <c r="A10" s="21" t="s">
        <v>155</v>
      </c>
      <c r="B10" s="28" t="s">
        <v>156</v>
      </c>
      <c r="C10" s="23">
        <v>36857</v>
      </c>
      <c r="D10" s="23">
        <v>11630</v>
      </c>
      <c r="E10" s="89">
        <v>2.1691315563198623</v>
      </c>
      <c r="F10" s="76">
        <v>53783493</v>
      </c>
      <c r="G10" s="76">
        <v>15815096</v>
      </c>
      <c r="H10" s="90">
        <v>2.4007693029495365</v>
      </c>
      <c r="I10" s="25">
        <v>1459.247714138427</v>
      </c>
      <c r="J10" s="25">
        <v>1359.8534823731729</v>
      </c>
      <c r="K10" s="89">
        <v>7.3091868391434653E-2</v>
      </c>
    </row>
    <row r="11" spans="1:11" ht="17.25" thickBot="1">
      <c r="A11" s="30" t="s">
        <v>157</v>
      </c>
      <c r="B11" s="70" t="s">
        <v>158</v>
      </c>
      <c r="C11" s="63">
        <v>75746</v>
      </c>
      <c r="D11" s="63">
        <v>16948</v>
      </c>
      <c r="E11" s="91">
        <v>3.4693179136181262</v>
      </c>
      <c r="F11" s="77">
        <v>71403315</v>
      </c>
      <c r="G11" s="77">
        <v>21140932</v>
      </c>
      <c r="H11" s="91">
        <v>2.3774913518476857</v>
      </c>
      <c r="I11" s="71">
        <v>942.66779763947932</v>
      </c>
      <c r="J11" s="72">
        <v>1247.3998111871608</v>
      </c>
      <c r="K11" s="91">
        <v>-0.24429377879868805</v>
      </c>
    </row>
    <row r="12" spans="1:11" ht="11.25" customHeight="1" thickTop="1">
      <c r="A12" s="33"/>
      <c r="B12" s="34"/>
      <c r="E12" s="68"/>
      <c r="F12" s="78"/>
      <c r="G12" s="78"/>
      <c r="H12" s="68"/>
      <c r="I12" s="35"/>
      <c r="J12" s="69"/>
      <c r="K12" s="61"/>
    </row>
    <row r="13" spans="1:11" ht="16.5">
      <c r="A13" s="21" t="s">
        <v>207</v>
      </c>
      <c r="B13" s="22" t="s">
        <v>159</v>
      </c>
      <c r="C13" s="23">
        <v>23</v>
      </c>
      <c r="D13" s="23">
        <v>57</v>
      </c>
      <c r="E13" s="89">
        <v>-0.59649122807017541</v>
      </c>
      <c r="F13" s="76">
        <v>18910</v>
      </c>
      <c r="G13" s="76">
        <v>90852</v>
      </c>
      <c r="H13" s="92">
        <v>-0.79185928763263325</v>
      </c>
      <c r="I13" s="25">
        <v>822.17391304347825</v>
      </c>
      <c r="J13" s="25">
        <v>1593.8947368421052</v>
      </c>
      <c r="K13" s="89">
        <v>-0.484173017176526</v>
      </c>
    </row>
    <row r="14" spans="1:11" ht="17.25" thickBot="1">
      <c r="A14" s="106" t="s">
        <v>160</v>
      </c>
      <c r="B14" s="105" t="s">
        <v>80</v>
      </c>
      <c r="C14" s="109">
        <v>75769</v>
      </c>
      <c r="D14" s="31">
        <v>17005</v>
      </c>
      <c r="E14" s="91">
        <v>3.4556895030873274</v>
      </c>
      <c r="F14" s="77">
        <v>71422225</v>
      </c>
      <c r="G14" s="108">
        <v>21231784</v>
      </c>
      <c r="H14" s="93">
        <v>2.3639295218903884</v>
      </c>
      <c r="I14" s="102">
        <v>942.63122121184131</v>
      </c>
      <c r="J14" s="72">
        <v>1248.5612466921493</v>
      </c>
      <c r="K14" s="91">
        <v>-0.24502604601161343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255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251</v>
      </c>
      <c r="D18" s="7" t="s">
        <v>252</v>
      </c>
      <c r="E18" s="9" t="s">
        <v>186</v>
      </c>
      <c r="F18" s="74" t="s">
        <v>253</v>
      </c>
      <c r="G18" s="74" t="s">
        <v>254</v>
      </c>
      <c r="H18" s="9" t="s">
        <v>186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196</v>
      </c>
      <c r="I19" s="45"/>
      <c r="J19" s="44"/>
    </row>
    <row r="20" spans="1:10">
      <c r="A20" s="46" t="s">
        <v>208</v>
      </c>
      <c r="B20" s="22" t="s">
        <v>162</v>
      </c>
      <c r="C20" s="23">
        <v>2900</v>
      </c>
      <c r="D20" s="23">
        <v>3875</v>
      </c>
      <c r="E20" s="90">
        <v>-0.25161290322580643</v>
      </c>
      <c r="F20" s="76">
        <v>323757</v>
      </c>
      <c r="G20" s="76">
        <v>422631</v>
      </c>
      <c r="H20" s="94">
        <v>-0.23394876381524307</v>
      </c>
      <c r="I20" s="4"/>
      <c r="J20" s="4"/>
    </row>
    <row r="21" spans="1:10">
      <c r="A21" s="46" t="s">
        <v>209</v>
      </c>
      <c r="B21" s="22" t="s">
        <v>163</v>
      </c>
      <c r="C21" s="23">
        <v>911</v>
      </c>
      <c r="D21" s="23">
        <v>878</v>
      </c>
      <c r="E21" s="90">
        <v>3.7585421412300681E-2</v>
      </c>
      <c r="F21" s="76">
        <v>134659</v>
      </c>
      <c r="G21" s="76">
        <v>92457</v>
      </c>
      <c r="H21" s="94">
        <v>0.45645002541722096</v>
      </c>
      <c r="I21" s="4"/>
      <c r="J21" s="4"/>
    </row>
    <row r="22" spans="1:10">
      <c r="A22" s="46" t="s">
        <v>258</v>
      </c>
      <c r="B22" s="22" t="s">
        <v>164</v>
      </c>
      <c r="C22" s="23">
        <v>593297</v>
      </c>
      <c r="D22" s="23">
        <v>1422019</v>
      </c>
      <c r="E22" s="90">
        <v>-0.58277842982407413</v>
      </c>
      <c r="F22" s="76">
        <v>27007835</v>
      </c>
      <c r="G22" s="76">
        <v>53529086</v>
      </c>
      <c r="H22" s="94">
        <v>-0.49545495695555125</v>
      </c>
      <c r="I22" s="4"/>
      <c r="J22" s="4"/>
    </row>
    <row r="23" spans="1:10">
      <c r="A23" s="46">
        <v>87149200108</v>
      </c>
      <c r="B23" s="22" t="s">
        <v>165</v>
      </c>
      <c r="C23" s="23">
        <v>50478</v>
      </c>
      <c r="D23" s="23">
        <v>132935</v>
      </c>
      <c r="E23" s="90">
        <v>-0.62028058825741905</v>
      </c>
      <c r="F23" s="76">
        <v>897643</v>
      </c>
      <c r="G23" s="76">
        <v>1432516</v>
      </c>
      <c r="H23" s="94">
        <v>-0.37338012280491106</v>
      </c>
      <c r="I23" s="4"/>
      <c r="J23" s="4"/>
    </row>
    <row r="24" spans="1:10">
      <c r="A24" s="46">
        <v>87149200206</v>
      </c>
      <c r="B24" s="22" t="s">
        <v>166</v>
      </c>
      <c r="C24" s="23">
        <v>48427</v>
      </c>
      <c r="D24" s="23">
        <v>72985</v>
      </c>
      <c r="E24" s="90">
        <v>-0.33648009865040762</v>
      </c>
      <c r="F24" s="76">
        <v>1420490</v>
      </c>
      <c r="G24" s="76">
        <v>1718975</v>
      </c>
      <c r="H24" s="94">
        <v>-0.17364126877935979</v>
      </c>
      <c r="I24" s="4"/>
      <c r="J24" s="4"/>
    </row>
    <row r="25" spans="1:10">
      <c r="A25" s="46">
        <v>87149200304</v>
      </c>
      <c r="B25" s="22" t="s">
        <v>167</v>
      </c>
      <c r="C25" s="23">
        <v>20824</v>
      </c>
      <c r="D25" s="23">
        <v>13808</v>
      </c>
      <c r="E25" s="90">
        <v>0.50811123986095019</v>
      </c>
      <c r="F25" s="76">
        <v>2299623</v>
      </c>
      <c r="G25" s="76">
        <v>1264521</v>
      </c>
      <c r="H25" s="94">
        <v>0.81857240805016285</v>
      </c>
      <c r="I25" s="4"/>
      <c r="J25" s="4"/>
    </row>
    <row r="26" spans="1:10">
      <c r="A26" s="46">
        <v>87149310007</v>
      </c>
      <c r="B26" s="22" t="s">
        <v>168</v>
      </c>
      <c r="C26" s="23">
        <v>22331</v>
      </c>
      <c r="D26" s="23">
        <v>60328</v>
      </c>
      <c r="E26" s="90">
        <v>-0.62984020686911546</v>
      </c>
      <c r="F26" s="76">
        <v>1757470</v>
      </c>
      <c r="G26" s="76">
        <v>5683766</v>
      </c>
      <c r="H26" s="94">
        <v>-0.69079128169597415</v>
      </c>
      <c r="I26" s="4"/>
      <c r="J26" s="4"/>
    </row>
    <row r="27" spans="1:10">
      <c r="A27" s="46">
        <v>87149320103</v>
      </c>
      <c r="B27" s="22" t="s">
        <v>169</v>
      </c>
      <c r="C27" s="23">
        <v>3989</v>
      </c>
      <c r="D27" s="23">
        <v>6655</v>
      </c>
      <c r="E27" s="90">
        <v>-0.40060105184072126</v>
      </c>
      <c r="F27" s="76">
        <v>201677</v>
      </c>
      <c r="G27" s="76">
        <v>308288</v>
      </c>
      <c r="H27" s="94">
        <v>-0.3458162497405024</v>
      </c>
      <c r="I27" s="4"/>
      <c r="J27" s="4"/>
    </row>
    <row r="28" spans="1:10">
      <c r="A28" s="46">
        <v>87149410006</v>
      </c>
      <c r="B28" s="22" t="s">
        <v>170</v>
      </c>
      <c r="C28" s="23">
        <v>1127</v>
      </c>
      <c r="D28" s="23">
        <v>1092</v>
      </c>
      <c r="E28" s="90">
        <v>3.2051282051282048E-2</v>
      </c>
      <c r="F28" s="76">
        <v>25392</v>
      </c>
      <c r="G28" s="76">
        <v>23323</v>
      </c>
      <c r="H28" s="94">
        <v>8.8710714745101407E-2</v>
      </c>
      <c r="I28" s="4"/>
      <c r="J28" s="4"/>
    </row>
    <row r="29" spans="1:10">
      <c r="A29" s="46">
        <v>87149490009</v>
      </c>
      <c r="B29" s="22" t="s">
        <v>171</v>
      </c>
      <c r="C29" s="23">
        <v>347627</v>
      </c>
      <c r="D29" s="23">
        <v>1260973</v>
      </c>
      <c r="E29" s="90">
        <v>-0.72431844298014314</v>
      </c>
      <c r="F29" s="76">
        <v>16662259</v>
      </c>
      <c r="G29" s="76">
        <v>41269632</v>
      </c>
      <c r="H29" s="94">
        <v>-0.59625860002822417</v>
      </c>
      <c r="I29" s="4"/>
      <c r="J29" s="4"/>
    </row>
    <row r="30" spans="1:10">
      <c r="A30" s="46">
        <v>87149500007</v>
      </c>
      <c r="B30" s="22" t="s">
        <v>172</v>
      </c>
      <c r="C30" s="23">
        <v>19514</v>
      </c>
      <c r="D30" s="23">
        <v>20419</v>
      </c>
      <c r="E30" s="90">
        <v>-4.4321465301924677E-2</v>
      </c>
      <c r="F30" s="76">
        <v>822936</v>
      </c>
      <c r="G30" s="76">
        <v>800014</v>
      </c>
      <c r="H30" s="94">
        <v>2.8651998590024673E-2</v>
      </c>
      <c r="I30" s="4"/>
      <c r="J30" s="4"/>
    </row>
    <row r="31" spans="1:10">
      <c r="A31" s="46">
        <v>87149610004</v>
      </c>
      <c r="B31" s="22" t="s">
        <v>173</v>
      </c>
      <c r="C31" s="23">
        <v>55262</v>
      </c>
      <c r="D31" s="23">
        <v>123989</v>
      </c>
      <c r="E31" s="90">
        <v>-0.55429917170071541</v>
      </c>
      <c r="F31" s="76">
        <v>1024685</v>
      </c>
      <c r="G31" s="76">
        <v>2134151</v>
      </c>
      <c r="H31" s="94">
        <v>-0.51986293378491022</v>
      </c>
      <c r="I31" s="4"/>
      <c r="J31" s="4"/>
    </row>
    <row r="32" spans="1:10">
      <c r="A32" s="46">
        <v>87149620002</v>
      </c>
      <c r="B32" s="22" t="s">
        <v>174</v>
      </c>
      <c r="C32" s="23">
        <v>138693</v>
      </c>
      <c r="D32" s="23">
        <v>207229</v>
      </c>
      <c r="E32" s="90">
        <v>-0.33072591191387307</v>
      </c>
      <c r="F32" s="76">
        <v>6711654</v>
      </c>
      <c r="G32" s="76">
        <v>8335478</v>
      </c>
      <c r="H32" s="94">
        <v>-0.19480874402163859</v>
      </c>
      <c r="I32" s="4"/>
      <c r="J32" s="4"/>
    </row>
    <row r="33" spans="1:10">
      <c r="A33" s="46" t="s">
        <v>210</v>
      </c>
      <c r="B33" s="22" t="s">
        <v>175</v>
      </c>
      <c r="C33" s="23">
        <v>51254</v>
      </c>
      <c r="D33" s="23">
        <v>78775</v>
      </c>
      <c r="E33" s="90">
        <v>-0.34936210726753414</v>
      </c>
      <c r="F33" s="76">
        <v>1398605</v>
      </c>
      <c r="G33" s="76">
        <v>2084609</v>
      </c>
      <c r="H33" s="94">
        <v>-0.32908041747876943</v>
      </c>
      <c r="I33" s="4"/>
      <c r="J33" s="4"/>
    </row>
    <row r="34" spans="1:10">
      <c r="A34" s="46">
        <v>87149990111</v>
      </c>
      <c r="B34" s="22" t="s">
        <v>176</v>
      </c>
      <c r="C34" s="23">
        <v>108655</v>
      </c>
      <c r="D34" s="23">
        <v>122913</v>
      </c>
      <c r="E34" s="90">
        <v>-0.11600074849690431</v>
      </c>
      <c r="F34" s="76">
        <v>10584770</v>
      </c>
      <c r="G34" s="76">
        <v>10856309</v>
      </c>
      <c r="H34" s="94">
        <v>-2.5012092047122094E-2</v>
      </c>
      <c r="I34" s="4"/>
      <c r="J34" s="4"/>
    </row>
    <row r="35" spans="1:10">
      <c r="A35" s="46">
        <v>87149320906</v>
      </c>
      <c r="B35" s="22" t="s">
        <v>177</v>
      </c>
      <c r="C35" s="23">
        <v>178176</v>
      </c>
      <c r="D35" s="23">
        <v>149516</v>
      </c>
      <c r="E35" s="90">
        <v>0.1916851708178389</v>
      </c>
      <c r="F35" s="76">
        <v>6180455</v>
      </c>
      <c r="G35" s="76">
        <v>4704449</v>
      </c>
      <c r="H35" s="94">
        <v>0.31374683836513056</v>
      </c>
      <c r="I35" s="4"/>
      <c r="J35" s="4"/>
    </row>
    <row r="36" spans="1:10">
      <c r="A36" s="46">
        <v>87149990139</v>
      </c>
      <c r="B36" s="22" t="s">
        <v>178</v>
      </c>
      <c r="C36" s="23">
        <v>6448</v>
      </c>
      <c r="D36" s="23">
        <v>15907</v>
      </c>
      <c r="E36" s="90">
        <v>-0.59464386747972586</v>
      </c>
      <c r="F36" s="76">
        <v>170427</v>
      </c>
      <c r="G36" s="76">
        <v>355109</v>
      </c>
      <c r="H36" s="94">
        <v>-0.52007130205091956</v>
      </c>
      <c r="I36" s="4"/>
      <c r="J36" s="4"/>
    </row>
    <row r="37" spans="1:10">
      <c r="A37" s="46">
        <v>87149990148</v>
      </c>
      <c r="B37" s="22" t="s">
        <v>179</v>
      </c>
      <c r="C37" s="23">
        <v>15002</v>
      </c>
      <c r="D37" s="23">
        <v>43189</v>
      </c>
      <c r="E37" s="90">
        <v>-0.65264303410590663</v>
      </c>
      <c r="F37" s="76">
        <v>657825</v>
      </c>
      <c r="G37" s="76">
        <v>1253968</v>
      </c>
      <c r="H37" s="94">
        <v>-0.47540527349980222</v>
      </c>
      <c r="I37" s="4"/>
      <c r="J37" s="4"/>
    </row>
    <row r="38" spans="1:10">
      <c r="A38" s="46">
        <v>87149990157</v>
      </c>
      <c r="B38" s="22" t="s">
        <v>180</v>
      </c>
      <c r="C38" s="23">
        <v>26583</v>
      </c>
      <c r="D38" s="23">
        <v>51721</v>
      </c>
      <c r="E38" s="90">
        <v>-0.48603081920303165</v>
      </c>
      <c r="F38" s="76">
        <v>1134505</v>
      </c>
      <c r="G38" s="76">
        <v>2383997</v>
      </c>
      <c r="H38" s="94">
        <v>-0.52411643135456965</v>
      </c>
      <c r="I38" s="4"/>
      <c r="J38" s="4"/>
    </row>
    <row r="39" spans="1:10">
      <c r="A39" s="46" t="s">
        <v>259</v>
      </c>
      <c r="B39" s="22" t="s">
        <v>181</v>
      </c>
      <c r="C39" s="23">
        <v>59662</v>
      </c>
      <c r="D39" s="23">
        <v>66416</v>
      </c>
      <c r="E39" s="90">
        <v>-0.1016923632859552</v>
      </c>
      <c r="F39" s="76">
        <v>2188309</v>
      </c>
      <c r="G39" s="76">
        <v>1489694</v>
      </c>
      <c r="H39" s="94">
        <v>0.46896543853972694</v>
      </c>
      <c r="I39" s="4"/>
      <c r="J39" s="4"/>
    </row>
    <row r="40" spans="1:10">
      <c r="A40" s="46" t="s">
        <v>211</v>
      </c>
      <c r="B40" s="22" t="s">
        <v>182</v>
      </c>
      <c r="C40" s="23">
        <v>278558</v>
      </c>
      <c r="D40" s="23">
        <v>453794</v>
      </c>
      <c r="E40" s="90">
        <v>-0.38615759573727287</v>
      </c>
      <c r="F40" s="76">
        <v>5444330</v>
      </c>
      <c r="G40" s="76">
        <v>7928537</v>
      </c>
      <c r="H40" s="94">
        <v>-0.3133247659688036</v>
      </c>
      <c r="I40" s="4"/>
      <c r="J40" s="4"/>
    </row>
    <row r="41" spans="1:10">
      <c r="A41" s="46" t="s">
        <v>212</v>
      </c>
      <c r="B41" s="22" t="s">
        <v>183</v>
      </c>
      <c r="C41" s="23">
        <v>8065</v>
      </c>
      <c r="D41" s="23">
        <v>22195</v>
      </c>
      <c r="E41" s="90">
        <v>-0.63662987159270101</v>
      </c>
      <c r="F41" s="76">
        <v>89508</v>
      </c>
      <c r="G41" s="76">
        <v>331690</v>
      </c>
      <c r="H41" s="94">
        <v>-0.73014561789622845</v>
      </c>
      <c r="I41" s="4"/>
      <c r="J41" s="4"/>
    </row>
    <row r="42" spans="1:10" ht="18.75" customHeight="1" thickBot="1">
      <c r="A42" s="132" t="s">
        <v>160</v>
      </c>
      <c r="B42" s="133"/>
      <c r="C42" s="63">
        <v>2037783</v>
      </c>
      <c r="D42" s="63">
        <v>4331611</v>
      </c>
      <c r="E42" s="91">
        <v>-0.52955540098129772</v>
      </c>
      <c r="F42" s="77">
        <v>87138814</v>
      </c>
      <c r="G42" s="77">
        <v>148403200</v>
      </c>
      <c r="H42" s="91">
        <v>-0.41282388789460067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217" priority="9" operator="greaterThanOrEqual">
      <formula>0</formula>
    </cfRule>
    <cfRule type="cellIs" dxfId="216" priority="10" operator="lessThan">
      <formula>0</formula>
    </cfRule>
  </conditionalFormatting>
  <conditionalFormatting sqref="E13">
    <cfRule type="cellIs" dxfId="215" priority="5" operator="greaterThanOrEqual">
      <formula>0</formula>
    </cfRule>
    <cfRule type="cellIs" dxfId="214" priority="6" operator="lessThan">
      <formula>0</formula>
    </cfRule>
  </conditionalFormatting>
  <conditionalFormatting sqref="E20:E41">
    <cfRule type="cellIs" dxfId="213" priority="13" operator="greaterThanOrEqual">
      <formula>0</formula>
    </cfRule>
    <cfRule type="cellIs" dxfId="212" priority="14" operator="lessThan">
      <formula>0</formula>
    </cfRule>
  </conditionalFormatting>
  <conditionalFormatting sqref="H5:H10">
    <cfRule type="cellIs" dxfId="211" priority="11" operator="greaterThanOrEqual">
      <formula>0</formula>
    </cfRule>
    <cfRule type="cellIs" dxfId="210" priority="12" operator="lessThan">
      <formula>0</formula>
    </cfRule>
  </conditionalFormatting>
  <conditionalFormatting sqref="H13">
    <cfRule type="cellIs" dxfId="209" priority="3" operator="greaterThanOrEqual">
      <formula>0</formula>
    </cfRule>
    <cfRule type="cellIs" dxfId="208" priority="4" operator="lessThan">
      <formula>0</formula>
    </cfRule>
  </conditionalFormatting>
  <conditionalFormatting sqref="K5:K10">
    <cfRule type="cellIs" dxfId="207" priority="7" operator="greaterThanOrEqual">
      <formula>0</formula>
    </cfRule>
    <cfRule type="cellIs" dxfId="206" priority="8" operator="lessThan">
      <formula>0</formula>
    </cfRule>
  </conditionalFormatting>
  <conditionalFormatting sqref="K13">
    <cfRule type="cellIs" dxfId="205" priority="1" operator="greaterThanOrEqual">
      <formula>0</formula>
    </cfRule>
    <cfRule type="cellIs" dxfId="204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K46"/>
  <sheetViews>
    <sheetView zoomScale="80" zoomScaleNormal="80" workbookViewId="0">
      <selection activeCell="A27" sqref="A27"/>
    </sheetView>
  </sheetViews>
  <sheetFormatPr defaultRowHeight="15.75"/>
  <cols>
    <col min="1" max="1" width="14.5" style="2" customWidth="1"/>
    <col min="2" max="2" width="26.375" style="3" customWidth="1"/>
    <col min="3" max="3" width="15.5" style="4" customWidth="1"/>
    <col min="4" max="4" width="16.2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131" t="s">
        <v>256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137</v>
      </c>
      <c r="B3" s="6" t="s">
        <v>138</v>
      </c>
      <c r="C3" s="7" t="s">
        <v>251</v>
      </c>
      <c r="D3" s="7" t="s">
        <v>252</v>
      </c>
      <c r="E3" s="9" t="s">
        <v>197</v>
      </c>
      <c r="F3" s="74" t="s">
        <v>253</v>
      </c>
      <c r="G3" s="74" t="s">
        <v>254</v>
      </c>
      <c r="H3" s="9" t="s">
        <v>197</v>
      </c>
      <c r="I3" s="56" t="s">
        <v>187</v>
      </c>
      <c r="J3" s="56" t="s">
        <v>227</v>
      </c>
      <c r="K3" s="64" t="s">
        <v>226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65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24406</v>
      </c>
      <c r="D5" s="23">
        <v>16642</v>
      </c>
      <c r="E5" s="89">
        <v>0.46653046508833074</v>
      </c>
      <c r="F5" s="76">
        <v>1568562</v>
      </c>
      <c r="G5" s="76">
        <v>1219836</v>
      </c>
      <c r="H5" s="90">
        <v>0.28587941329818106</v>
      </c>
      <c r="I5" s="25">
        <v>64.269523887568624</v>
      </c>
      <c r="J5" s="25">
        <v>73.298641990145413</v>
      </c>
      <c r="K5" s="89">
        <v>-0.12318261099285717</v>
      </c>
    </row>
    <row r="6" spans="1:11" ht="16.5">
      <c r="A6" s="26" t="s">
        <v>205</v>
      </c>
      <c r="B6" s="27" t="s">
        <v>148</v>
      </c>
      <c r="C6" s="23">
        <v>14916</v>
      </c>
      <c r="D6" s="23">
        <v>20754</v>
      </c>
      <c r="E6" s="89">
        <v>-0.28129517201503323</v>
      </c>
      <c r="F6" s="76">
        <v>1502654</v>
      </c>
      <c r="G6" s="76">
        <v>2314090</v>
      </c>
      <c r="H6" s="90">
        <v>-0.35065014757420843</v>
      </c>
      <c r="I6" s="25">
        <v>100.74108340037543</v>
      </c>
      <c r="J6" s="25">
        <v>111.50091548617134</v>
      </c>
      <c r="K6" s="89">
        <v>-9.649994386934313E-2</v>
      </c>
    </row>
    <row r="7" spans="1:11" ht="16.5">
      <c r="A7" s="21" t="s">
        <v>149</v>
      </c>
      <c r="B7" s="28" t="s">
        <v>150</v>
      </c>
      <c r="C7" s="23">
        <v>20304</v>
      </c>
      <c r="D7" s="23">
        <v>20833</v>
      </c>
      <c r="E7" s="89">
        <v>-2.5392406278500455E-2</v>
      </c>
      <c r="F7" s="76">
        <v>1162264</v>
      </c>
      <c r="G7" s="76">
        <v>1328587</v>
      </c>
      <c r="H7" s="90">
        <v>-0.12518788758282295</v>
      </c>
      <c r="I7" s="25">
        <v>57.243104806934596</v>
      </c>
      <c r="J7" s="25">
        <v>63.773196371141935</v>
      </c>
      <c r="K7" s="89">
        <v>-0.10239555072955817</v>
      </c>
    </row>
    <row r="8" spans="1:11" ht="16.5">
      <c r="A8" s="21" t="s">
        <v>151</v>
      </c>
      <c r="B8" s="28" t="s">
        <v>152</v>
      </c>
      <c r="C8" s="23">
        <v>31488</v>
      </c>
      <c r="D8" s="23">
        <v>39419</v>
      </c>
      <c r="E8" s="89">
        <v>-0.20119739212055102</v>
      </c>
      <c r="F8" s="76">
        <v>3584613</v>
      </c>
      <c r="G8" s="76">
        <v>5303015</v>
      </c>
      <c r="H8" s="90">
        <v>-0.32404245509394186</v>
      </c>
      <c r="I8" s="25">
        <v>113.84060594512195</v>
      </c>
      <c r="J8" s="25">
        <v>134.52941474923261</v>
      </c>
      <c r="K8" s="89">
        <v>-0.15378650715663414</v>
      </c>
    </row>
    <row r="9" spans="1:11" ht="16.5">
      <c r="A9" s="21" t="s">
        <v>153</v>
      </c>
      <c r="B9" s="28" t="s">
        <v>154</v>
      </c>
      <c r="C9" s="23">
        <v>8710</v>
      </c>
      <c r="D9" s="23">
        <v>11814</v>
      </c>
      <c r="E9" s="89">
        <v>-0.26273912307431863</v>
      </c>
      <c r="F9" s="76">
        <v>993440</v>
      </c>
      <c r="G9" s="76">
        <v>1399975</v>
      </c>
      <c r="H9" s="90">
        <v>-0.29038732834514902</v>
      </c>
      <c r="I9" s="25">
        <v>114.05740528128588</v>
      </c>
      <c r="J9" s="25">
        <v>118.50135432537667</v>
      </c>
      <c r="K9" s="89">
        <v>-3.7501251098690014E-2</v>
      </c>
    </row>
    <row r="10" spans="1:11" ht="16.5">
      <c r="A10" s="21" t="s">
        <v>155</v>
      </c>
      <c r="B10" s="28" t="s">
        <v>156</v>
      </c>
      <c r="C10" s="23">
        <v>9895</v>
      </c>
      <c r="D10" s="23">
        <v>9289</v>
      </c>
      <c r="E10" s="89">
        <v>6.5238454085477446E-2</v>
      </c>
      <c r="F10" s="76">
        <v>1904958</v>
      </c>
      <c r="G10" s="76">
        <v>1858439</v>
      </c>
      <c r="H10" s="90">
        <v>2.5031222439907901E-2</v>
      </c>
      <c r="I10" s="25">
        <v>192.51723092470945</v>
      </c>
      <c r="J10" s="25">
        <v>200.06879104316934</v>
      </c>
      <c r="K10" s="89">
        <v>-3.7744818065254718E-2</v>
      </c>
    </row>
    <row r="11" spans="1:11" ht="17.25" thickBot="1">
      <c r="A11" s="48" t="s">
        <v>157</v>
      </c>
      <c r="B11" s="70" t="s">
        <v>158</v>
      </c>
      <c r="C11" s="63">
        <v>109719</v>
      </c>
      <c r="D11" s="63">
        <v>118751</v>
      </c>
      <c r="E11" s="91">
        <v>-7.6058306877415771E-2</v>
      </c>
      <c r="F11" s="77">
        <v>10716491</v>
      </c>
      <c r="G11" s="77">
        <v>13423942</v>
      </c>
      <c r="H11" s="91">
        <v>-0.20168822243123519</v>
      </c>
      <c r="I11" s="102">
        <v>97.672153410074827</v>
      </c>
      <c r="J11" s="72">
        <v>113.04277016614597</v>
      </c>
      <c r="K11" s="91">
        <v>-0.13597169224957947</v>
      </c>
    </row>
    <row r="12" spans="1:11" ht="5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207</v>
      </c>
      <c r="B13" s="22" t="s">
        <v>159</v>
      </c>
      <c r="C13" s="23">
        <v>674</v>
      </c>
      <c r="D13" s="23">
        <v>473</v>
      </c>
      <c r="E13" s="89">
        <v>0.42494714587737842</v>
      </c>
      <c r="F13" s="76">
        <v>36395</v>
      </c>
      <c r="G13" s="76">
        <v>100405</v>
      </c>
      <c r="H13" s="92">
        <v>-0.63751805188984612</v>
      </c>
      <c r="I13" s="25">
        <v>53.998516320474778</v>
      </c>
      <c r="J13" s="25">
        <v>212.27272727272728</v>
      </c>
      <c r="K13" s="89">
        <v>-0.74561726786928373</v>
      </c>
    </row>
    <row r="14" spans="1:11" ht="17.25" thickBot="1">
      <c r="A14" s="48" t="s">
        <v>160</v>
      </c>
      <c r="B14" s="73" t="s">
        <v>80</v>
      </c>
      <c r="C14" s="109">
        <v>110393</v>
      </c>
      <c r="D14" s="31">
        <v>119224</v>
      </c>
      <c r="E14" s="91">
        <v>-7.4070656914715163E-2</v>
      </c>
      <c r="F14" s="77">
        <v>10752886</v>
      </c>
      <c r="G14" s="108">
        <v>13524347</v>
      </c>
      <c r="H14" s="93">
        <v>-0.20492383107295309</v>
      </c>
      <c r="I14" s="102">
        <v>97.405505783881225</v>
      </c>
      <c r="J14" s="72">
        <v>113.43644735959202</v>
      </c>
      <c r="K14" s="91">
        <v>-0.14132090654155385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257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251</v>
      </c>
      <c r="D18" s="7" t="s">
        <v>252</v>
      </c>
      <c r="E18" s="9" t="s">
        <v>197</v>
      </c>
      <c r="F18" s="74" t="s">
        <v>253</v>
      </c>
      <c r="G18" s="74" t="s">
        <v>254</v>
      </c>
      <c r="H18" s="9" t="s">
        <v>197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193</v>
      </c>
      <c r="I19" s="4"/>
      <c r="J19" s="4"/>
    </row>
    <row r="20" spans="1:10">
      <c r="A20" s="46" t="s">
        <v>208</v>
      </c>
      <c r="B20" s="22" t="s">
        <v>162</v>
      </c>
      <c r="C20" s="23">
        <v>15930</v>
      </c>
      <c r="D20" s="23">
        <v>32540</v>
      </c>
      <c r="E20" s="90">
        <v>-0.51044867854947762</v>
      </c>
      <c r="F20" s="76">
        <v>926228</v>
      </c>
      <c r="G20" s="76">
        <v>1721024</v>
      </c>
      <c r="H20" s="94">
        <v>-0.46255368896656873</v>
      </c>
      <c r="I20" s="4"/>
      <c r="J20" s="4"/>
    </row>
    <row r="21" spans="1:10">
      <c r="A21" s="46" t="s">
        <v>209</v>
      </c>
      <c r="B21" s="22" t="s">
        <v>163</v>
      </c>
      <c r="C21" s="23">
        <v>11968</v>
      </c>
      <c r="D21" s="23">
        <v>17432</v>
      </c>
      <c r="E21" s="90">
        <v>-0.31344653510784765</v>
      </c>
      <c r="F21" s="76">
        <v>793569</v>
      </c>
      <c r="G21" s="76">
        <v>1102531</v>
      </c>
      <c r="H21" s="94">
        <v>-0.28022976224704793</v>
      </c>
      <c r="I21" s="4"/>
      <c r="J21" s="4"/>
    </row>
    <row r="22" spans="1:10">
      <c r="A22" s="46" t="s">
        <v>258</v>
      </c>
      <c r="B22" s="22" t="s">
        <v>164</v>
      </c>
      <c r="C22" s="23">
        <v>3363995</v>
      </c>
      <c r="D22" s="23">
        <v>6758157</v>
      </c>
      <c r="E22" s="90">
        <v>-0.50223189547091018</v>
      </c>
      <c r="F22" s="76">
        <v>192830102</v>
      </c>
      <c r="G22" s="76">
        <v>254681634</v>
      </c>
      <c r="H22" s="94">
        <v>-0.24285823452821101</v>
      </c>
      <c r="I22" s="4"/>
      <c r="J22" s="4"/>
    </row>
    <row r="23" spans="1:10">
      <c r="A23" s="46">
        <v>87149200108</v>
      </c>
      <c r="B23" s="22" t="s">
        <v>165</v>
      </c>
      <c r="C23" s="23">
        <v>527936</v>
      </c>
      <c r="D23" s="23">
        <v>949240</v>
      </c>
      <c r="E23" s="90">
        <v>-0.44383296110572668</v>
      </c>
      <c r="F23" s="76">
        <v>35982169</v>
      </c>
      <c r="G23" s="76">
        <v>47480045</v>
      </c>
      <c r="H23" s="94">
        <v>-0.24216228101721471</v>
      </c>
      <c r="I23" s="4"/>
      <c r="J23" s="4"/>
    </row>
    <row r="24" spans="1:10">
      <c r="A24" s="46">
        <v>87149200206</v>
      </c>
      <c r="B24" s="22" t="s">
        <v>166</v>
      </c>
      <c r="C24" s="23">
        <v>32533</v>
      </c>
      <c r="D24" s="23">
        <v>57815</v>
      </c>
      <c r="E24" s="90">
        <v>-0.43729136037360544</v>
      </c>
      <c r="F24" s="76">
        <v>507228</v>
      </c>
      <c r="G24" s="76">
        <v>849889</v>
      </c>
      <c r="H24" s="94">
        <v>-0.40318323922300442</v>
      </c>
      <c r="I24" s="4"/>
      <c r="J24" s="4"/>
    </row>
    <row r="25" spans="1:10">
      <c r="A25" s="46">
        <v>87149200304</v>
      </c>
      <c r="B25" s="22" t="s">
        <v>167</v>
      </c>
      <c r="C25" s="23">
        <v>83460</v>
      </c>
      <c r="D25" s="23">
        <v>168167</v>
      </c>
      <c r="E25" s="90">
        <v>-0.50370762396903079</v>
      </c>
      <c r="F25" s="76">
        <v>1600708</v>
      </c>
      <c r="G25" s="76">
        <v>2086959</v>
      </c>
      <c r="H25" s="94">
        <v>-0.23299499415177777</v>
      </c>
      <c r="I25" s="4"/>
      <c r="J25" s="4"/>
    </row>
    <row r="26" spans="1:10">
      <c r="A26" s="46">
        <v>87149310007</v>
      </c>
      <c r="B26" s="22" t="s">
        <v>168</v>
      </c>
      <c r="C26" s="23">
        <v>535700</v>
      </c>
      <c r="D26" s="23">
        <v>1151310</v>
      </c>
      <c r="E26" s="90">
        <v>-0.5347039459398425</v>
      </c>
      <c r="F26" s="76">
        <v>17110786</v>
      </c>
      <c r="G26" s="76">
        <v>24740456</v>
      </c>
      <c r="H26" s="94">
        <v>-0.30838841450618371</v>
      </c>
      <c r="I26" s="4"/>
      <c r="J26" s="4"/>
    </row>
    <row r="27" spans="1:10">
      <c r="A27" s="46">
        <v>87149320103</v>
      </c>
      <c r="B27" s="22" t="s">
        <v>169</v>
      </c>
      <c r="C27" s="23">
        <v>2808</v>
      </c>
      <c r="D27" s="23">
        <v>2943</v>
      </c>
      <c r="E27" s="90">
        <v>-4.5871559633027525E-2</v>
      </c>
      <c r="F27" s="76">
        <v>34730</v>
      </c>
      <c r="G27" s="76">
        <v>36707</v>
      </c>
      <c r="H27" s="94">
        <v>-5.3858936987495575E-2</v>
      </c>
      <c r="I27" s="4"/>
      <c r="J27" s="4"/>
    </row>
    <row r="28" spans="1:10">
      <c r="A28" s="46" t="s">
        <v>243</v>
      </c>
      <c r="B28" s="22" t="s">
        <v>170</v>
      </c>
      <c r="C28" s="23">
        <v>31132</v>
      </c>
      <c r="D28" s="23">
        <v>33508</v>
      </c>
      <c r="E28" s="90">
        <v>-7.0908439775575982E-2</v>
      </c>
      <c r="F28" s="76">
        <v>239831</v>
      </c>
      <c r="G28" s="76">
        <v>618516</v>
      </c>
      <c r="H28" s="94">
        <v>-0.61224770256549543</v>
      </c>
      <c r="I28" s="4"/>
      <c r="J28" s="4"/>
    </row>
    <row r="29" spans="1:10">
      <c r="A29" s="46">
        <v>87149490009</v>
      </c>
      <c r="B29" s="22" t="s">
        <v>171</v>
      </c>
      <c r="C29" s="23">
        <v>425826</v>
      </c>
      <c r="D29" s="23">
        <v>1902102</v>
      </c>
      <c r="E29" s="90">
        <v>-0.7759105452809576</v>
      </c>
      <c r="F29" s="76">
        <v>7503163</v>
      </c>
      <c r="G29" s="76">
        <v>28476718</v>
      </c>
      <c r="H29" s="94">
        <v>-0.73580965334558568</v>
      </c>
      <c r="I29" s="4"/>
      <c r="J29" s="4"/>
    </row>
    <row r="30" spans="1:10">
      <c r="A30" s="46">
        <v>87149500007</v>
      </c>
      <c r="B30" s="22" t="s">
        <v>172</v>
      </c>
      <c r="C30" s="23">
        <v>389589</v>
      </c>
      <c r="D30" s="23">
        <v>1159097</v>
      </c>
      <c r="E30" s="90">
        <v>-0.66388576624734597</v>
      </c>
      <c r="F30" s="76">
        <v>4144407</v>
      </c>
      <c r="G30" s="76">
        <v>17362976</v>
      </c>
      <c r="H30" s="94">
        <v>-0.76130779654363401</v>
      </c>
      <c r="I30" s="4"/>
      <c r="J30" s="4"/>
    </row>
    <row r="31" spans="1:10">
      <c r="A31" s="46">
        <v>87149610004</v>
      </c>
      <c r="B31" s="22" t="s">
        <v>173</v>
      </c>
      <c r="C31" s="23">
        <v>129371</v>
      </c>
      <c r="D31" s="23">
        <v>615520</v>
      </c>
      <c r="E31" s="90">
        <v>-0.78981836495970892</v>
      </c>
      <c r="F31" s="76">
        <v>821549</v>
      </c>
      <c r="G31" s="76">
        <v>5227636</v>
      </c>
      <c r="H31" s="94">
        <v>-0.84284502593524113</v>
      </c>
      <c r="I31" s="4"/>
      <c r="J31" s="4"/>
    </row>
    <row r="32" spans="1:10">
      <c r="A32" s="46">
        <v>87149620002</v>
      </c>
      <c r="B32" s="22" t="s">
        <v>174</v>
      </c>
      <c r="C32" s="23">
        <v>503121</v>
      </c>
      <c r="D32" s="23">
        <v>1280493</v>
      </c>
      <c r="E32" s="90">
        <v>-0.60708805124276355</v>
      </c>
      <c r="F32" s="76">
        <v>5629002</v>
      </c>
      <c r="G32" s="76">
        <v>12719591</v>
      </c>
      <c r="H32" s="94">
        <v>-0.5574541665687206</v>
      </c>
      <c r="I32" s="4"/>
      <c r="J32" s="4"/>
    </row>
    <row r="33" spans="1:10">
      <c r="A33" s="46" t="s">
        <v>210</v>
      </c>
      <c r="B33" s="22" t="s">
        <v>175</v>
      </c>
      <c r="C33" s="23">
        <v>242947</v>
      </c>
      <c r="D33" s="23">
        <v>732051</v>
      </c>
      <c r="E33" s="90">
        <v>-0.66812831346449908</v>
      </c>
      <c r="F33" s="76">
        <v>1050044</v>
      </c>
      <c r="G33" s="76">
        <v>3038485</v>
      </c>
      <c r="H33" s="94">
        <v>-0.65441856714777269</v>
      </c>
      <c r="I33" s="4"/>
      <c r="J33" s="4"/>
    </row>
    <row r="34" spans="1:10">
      <c r="A34" s="46">
        <v>87149990111</v>
      </c>
      <c r="B34" s="22" t="s">
        <v>176</v>
      </c>
      <c r="C34" s="23">
        <v>75266</v>
      </c>
      <c r="D34" s="23">
        <v>486334</v>
      </c>
      <c r="E34" s="90">
        <v>-0.84523804628095101</v>
      </c>
      <c r="F34" s="76">
        <v>2041828</v>
      </c>
      <c r="G34" s="76">
        <v>10429506</v>
      </c>
      <c r="H34" s="94">
        <v>-0.80422581855746567</v>
      </c>
      <c r="I34" s="4"/>
      <c r="J34" s="4"/>
    </row>
    <row r="35" spans="1:10">
      <c r="A35" s="46">
        <v>87149320906</v>
      </c>
      <c r="B35" s="22" t="s">
        <v>177</v>
      </c>
      <c r="C35" s="23">
        <v>147570</v>
      </c>
      <c r="D35" s="23">
        <v>210391</v>
      </c>
      <c r="E35" s="90">
        <v>-0.29859166979576124</v>
      </c>
      <c r="F35" s="76">
        <v>2050897</v>
      </c>
      <c r="G35" s="76">
        <v>2300326</v>
      </c>
      <c r="H35" s="94">
        <v>-0.1084320222438037</v>
      </c>
      <c r="I35" s="4"/>
      <c r="J35" s="4"/>
    </row>
    <row r="36" spans="1:10">
      <c r="A36" s="46">
        <v>87149990139</v>
      </c>
      <c r="B36" s="22" t="s">
        <v>178</v>
      </c>
      <c r="C36" s="23">
        <v>16700</v>
      </c>
      <c r="D36" s="23">
        <v>87995</v>
      </c>
      <c r="E36" s="90">
        <v>-0.81021648957327119</v>
      </c>
      <c r="F36" s="76">
        <v>66256</v>
      </c>
      <c r="G36" s="76">
        <v>434654</v>
      </c>
      <c r="H36" s="94">
        <v>-0.84756611005535443</v>
      </c>
      <c r="I36" s="4"/>
      <c r="J36" s="4"/>
    </row>
    <row r="37" spans="1:10">
      <c r="A37" s="46">
        <v>87149990148</v>
      </c>
      <c r="B37" s="22" t="s">
        <v>179</v>
      </c>
      <c r="C37" s="23">
        <v>97387</v>
      </c>
      <c r="D37" s="23">
        <v>317000</v>
      </c>
      <c r="E37" s="90">
        <v>-0.6927854889589905</v>
      </c>
      <c r="F37" s="76">
        <v>2271737</v>
      </c>
      <c r="G37" s="76">
        <v>5404040</v>
      </c>
      <c r="H37" s="94">
        <v>-0.57962246763532466</v>
      </c>
      <c r="I37" s="4"/>
      <c r="J37" s="4"/>
    </row>
    <row r="38" spans="1:10">
      <c r="A38" s="46">
        <v>87149990157</v>
      </c>
      <c r="B38" s="22" t="s">
        <v>180</v>
      </c>
      <c r="C38" s="23">
        <v>221628</v>
      </c>
      <c r="D38" s="23">
        <v>534105</v>
      </c>
      <c r="E38" s="90">
        <v>-0.58504788384306461</v>
      </c>
      <c r="F38" s="76">
        <v>7139063</v>
      </c>
      <c r="G38" s="76">
        <v>10403493</v>
      </c>
      <c r="H38" s="94">
        <v>-0.31378211145045226</v>
      </c>
      <c r="I38" s="4"/>
      <c r="J38" s="4"/>
    </row>
    <row r="39" spans="1:10">
      <c r="A39" s="46" t="s">
        <v>259</v>
      </c>
      <c r="B39" s="22" t="s">
        <v>181</v>
      </c>
      <c r="C39" s="23">
        <v>244701</v>
      </c>
      <c r="D39" s="23">
        <v>554095</v>
      </c>
      <c r="E39" s="90">
        <v>-0.55837717358936645</v>
      </c>
      <c r="F39" s="76">
        <v>10193614</v>
      </c>
      <c r="G39" s="76">
        <v>16804595</v>
      </c>
      <c r="H39" s="94">
        <v>-0.39340317335823921</v>
      </c>
      <c r="I39" s="4"/>
      <c r="J39" s="4"/>
    </row>
    <row r="40" spans="1:10">
      <c r="A40" s="46" t="s">
        <v>211</v>
      </c>
      <c r="B40" s="22" t="s">
        <v>182</v>
      </c>
      <c r="C40" s="23">
        <v>494204</v>
      </c>
      <c r="D40" s="23">
        <v>830506</v>
      </c>
      <c r="E40" s="90">
        <v>-0.40493626776928765</v>
      </c>
      <c r="F40" s="76">
        <v>3154583</v>
      </c>
      <c r="G40" s="76">
        <v>5703576</v>
      </c>
      <c r="H40" s="94">
        <v>-0.44691137630146421</v>
      </c>
      <c r="I40" s="4"/>
      <c r="J40" s="4"/>
    </row>
    <row r="41" spans="1:10">
      <c r="A41" s="46" t="s">
        <v>212</v>
      </c>
      <c r="B41" s="22" t="s">
        <v>183</v>
      </c>
      <c r="C41" s="23">
        <v>141802</v>
      </c>
      <c r="D41" s="23">
        <v>278679</v>
      </c>
      <c r="E41" s="90">
        <v>-0.49116366859361488</v>
      </c>
      <c r="F41" s="76">
        <v>864800</v>
      </c>
      <c r="G41" s="76">
        <v>1519236</v>
      </c>
      <c r="H41" s="94">
        <v>-0.43076651685452427</v>
      </c>
      <c r="I41" s="4"/>
      <c r="J41" s="4"/>
    </row>
    <row r="42" spans="1:10" ht="18.75" customHeight="1" thickBot="1">
      <c r="A42" s="132" t="s">
        <v>160</v>
      </c>
      <c r="B42" s="133"/>
      <c r="C42" s="63">
        <v>7735989</v>
      </c>
      <c r="D42" s="63">
        <v>18159480</v>
      </c>
      <c r="E42" s="91">
        <v>-0.57399721798201275</v>
      </c>
      <c r="F42" s="77">
        <v>296975135</v>
      </c>
      <c r="G42" s="77">
        <v>453142593</v>
      </c>
      <c r="H42" s="91">
        <v>-0.34463204389175572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203" priority="13" operator="greaterThanOrEqual">
      <formula>0</formula>
    </cfRule>
    <cfRule type="cellIs" dxfId="202" priority="14" operator="lessThan">
      <formula>0</formula>
    </cfRule>
  </conditionalFormatting>
  <conditionalFormatting sqref="E13">
    <cfRule type="cellIs" dxfId="201" priority="3" operator="greaterThanOrEqual">
      <formula>0</formula>
    </cfRule>
    <cfRule type="cellIs" dxfId="200" priority="4" operator="lessThan">
      <formula>0</formula>
    </cfRule>
  </conditionalFormatting>
  <conditionalFormatting sqref="E20:E41">
    <cfRule type="cellIs" dxfId="199" priority="1" operator="greaterThanOrEqual">
      <formula>0</formula>
    </cfRule>
    <cfRule type="cellIs" dxfId="198" priority="2" operator="lessThan">
      <formula>0</formula>
    </cfRule>
  </conditionalFormatting>
  <conditionalFormatting sqref="H5:H10">
    <cfRule type="cellIs" dxfId="197" priority="11" operator="greaterThanOrEqual">
      <formula>0</formula>
    </cfRule>
    <cfRule type="cellIs" dxfId="196" priority="12" operator="lessThan">
      <formula>0</formula>
    </cfRule>
  </conditionalFormatting>
  <conditionalFormatting sqref="H13">
    <cfRule type="cellIs" dxfId="195" priority="7" operator="greaterThanOrEqual">
      <formula>0</formula>
    </cfRule>
    <cfRule type="cellIs" dxfId="194" priority="8" operator="lessThan">
      <formula>0</formula>
    </cfRule>
  </conditionalFormatting>
  <conditionalFormatting sqref="K5:K10">
    <cfRule type="cellIs" dxfId="193" priority="9" operator="greaterThanOrEqual">
      <formula>0</formula>
    </cfRule>
    <cfRule type="cellIs" dxfId="192" priority="10" operator="lessThan">
      <formula>0</formula>
    </cfRule>
  </conditionalFormatting>
  <conditionalFormatting sqref="K13">
    <cfRule type="cellIs" dxfId="191" priority="5" operator="greaterThanOrEqual">
      <formula>0</formula>
    </cfRule>
    <cfRule type="cellIs" dxfId="190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-9.9978637043366805E-2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7.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3.25" customHeight="1">
      <c r="A1" s="130" t="s">
        <v>229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137</v>
      </c>
      <c r="B3" s="6" t="s">
        <v>138</v>
      </c>
      <c r="C3" s="98" t="s">
        <v>230</v>
      </c>
      <c r="D3" s="8" t="s">
        <v>231</v>
      </c>
      <c r="E3" s="9" t="s">
        <v>141</v>
      </c>
      <c r="F3" s="10" t="s">
        <v>232</v>
      </c>
      <c r="G3" s="99" t="s">
        <v>233</v>
      </c>
      <c r="H3" s="9" t="s">
        <v>144</v>
      </c>
      <c r="I3" s="56" t="s">
        <v>145</v>
      </c>
      <c r="J3" s="56" t="s">
        <v>146</v>
      </c>
    </row>
    <row r="4" spans="1:10" ht="15" customHeight="1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206</v>
      </c>
      <c r="B5" s="22" t="s">
        <v>147</v>
      </c>
      <c r="C5" s="23">
        <v>459</v>
      </c>
      <c r="D5" s="23">
        <v>3993</v>
      </c>
      <c r="E5" s="101">
        <f t="shared" ref="E5:E11" si="0">C5-D5</f>
        <v>-3534</v>
      </c>
      <c r="F5" s="23">
        <v>176180</v>
      </c>
      <c r="G5" s="23">
        <v>273349</v>
      </c>
      <c r="H5" s="84">
        <f t="shared" ref="H5:H11" si="1">F5-G5</f>
        <v>-97169</v>
      </c>
      <c r="I5" s="25">
        <f t="shared" ref="I5" si="2">F5/C5</f>
        <v>383.83442265795208</v>
      </c>
      <c r="J5" s="25">
        <f>G5/D5</f>
        <v>68.457049837215123</v>
      </c>
    </row>
    <row r="6" spans="1:10" ht="16.5">
      <c r="A6" s="26" t="s">
        <v>205</v>
      </c>
      <c r="B6" s="27" t="s">
        <v>148</v>
      </c>
      <c r="C6" s="23">
        <v>310</v>
      </c>
      <c r="D6" s="23">
        <v>2299</v>
      </c>
      <c r="E6" s="101">
        <f t="shared" si="0"/>
        <v>-1989</v>
      </c>
      <c r="F6" s="23">
        <v>288545</v>
      </c>
      <c r="G6" s="23">
        <v>164629</v>
      </c>
      <c r="H6" s="84">
        <f t="shared" si="1"/>
        <v>123916</v>
      </c>
      <c r="I6" s="25">
        <f>IF(C6,F6/C6,0)</f>
        <v>930.79032258064512</v>
      </c>
      <c r="J6" s="25">
        <f t="shared" ref="I6:J13" si="3">G6/D6</f>
        <v>71.60896041757286</v>
      </c>
    </row>
    <row r="7" spans="1:10" ht="16.5">
      <c r="A7" s="21" t="s">
        <v>149</v>
      </c>
      <c r="B7" s="28" t="s">
        <v>150</v>
      </c>
      <c r="C7" s="29">
        <v>0</v>
      </c>
      <c r="D7" s="23">
        <v>1859</v>
      </c>
      <c r="E7" s="101">
        <f t="shared" si="0"/>
        <v>-1859</v>
      </c>
      <c r="F7" s="23">
        <v>0</v>
      </c>
      <c r="G7" s="23">
        <v>105339</v>
      </c>
      <c r="H7" s="84">
        <f t="shared" si="1"/>
        <v>-105339</v>
      </c>
      <c r="I7" s="25">
        <f>IF(C7,F7/C7,0)</f>
        <v>0</v>
      </c>
      <c r="J7" s="25">
        <f t="shared" si="3"/>
        <v>56.664335664335667</v>
      </c>
    </row>
    <row r="8" spans="1:10" ht="16.5">
      <c r="A8" s="21" t="s">
        <v>151</v>
      </c>
      <c r="B8" s="28" t="s">
        <v>152</v>
      </c>
      <c r="C8" s="23">
        <v>120</v>
      </c>
      <c r="D8" s="23">
        <v>5380</v>
      </c>
      <c r="E8" s="101">
        <f t="shared" si="0"/>
        <v>-5260</v>
      </c>
      <c r="F8" s="23">
        <v>87276</v>
      </c>
      <c r="G8" s="23">
        <v>616336</v>
      </c>
      <c r="H8" s="84">
        <f t="shared" si="1"/>
        <v>-529060</v>
      </c>
      <c r="I8" s="25">
        <f t="shared" ref="I8:I10" si="4">IF(C8,F8/C8,0)</f>
        <v>727.3</v>
      </c>
      <c r="J8" s="25">
        <f t="shared" si="3"/>
        <v>114.56059479553903</v>
      </c>
    </row>
    <row r="9" spans="1:10" ht="16.5">
      <c r="A9" s="21" t="s">
        <v>153</v>
      </c>
      <c r="B9" s="28" t="s">
        <v>154</v>
      </c>
      <c r="C9" s="23">
        <v>1925</v>
      </c>
      <c r="D9" s="23">
        <v>1385</v>
      </c>
      <c r="E9" s="101">
        <f t="shared" si="0"/>
        <v>540</v>
      </c>
      <c r="F9" s="23">
        <v>1289424</v>
      </c>
      <c r="G9" s="23">
        <v>111713</v>
      </c>
      <c r="H9" s="84">
        <f t="shared" si="1"/>
        <v>1177711</v>
      </c>
      <c r="I9" s="25">
        <f t="shared" si="4"/>
        <v>669.83064935064931</v>
      </c>
      <c r="J9" s="25">
        <f t="shared" si="3"/>
        <v>80.65920577617328</v>
      </c>
    </row>
    <row r="10" spans="1:10" ht="16.5">
      <c r="A10" s="21" t="s">
        <v>155</v>
      </c>
      <c r="B10" s="28" t="s">
        <v>156</v>
      </c>
      <c r="C10" s="23">
        <v>5453</v>
      </c>
      <c r="D10" s="23">
        <v>1831</v>
      </c>
      <c r="E10" s="101">
        <f t="shared" si="0"/>
        <v>3622</v>
      </c>
      <c r="F10" s="23">
        <v>8764657</v>
      </c>
      <c r="G10" s="23">
        <v>282135</v>
      </c>
      <c r="H10" s="84">
        <f>F10-G10</f>
        <v>8482522</v>
      </c>
      <c r="I10" s="25">
        <f t="shared" si="4"/>
        <v>1607.3091876031542</v>
      </c>
      <c r="J10" s="25">
        <f t="shared" si="3"/>
        <v>154.08793009284543</v>
      </c>
    </row>
    <row r="11" spans="1:10" ht="17.25" thickBot="1">
      <c r="A11" s="48" t="s">
        <v>157</v>
      </c>
      <c r="B11" s="70" t="s">
        <v>158</v>
      </c>
      <c r="C11" s="63">
        <f>SUM(C5:C10)</f>
        <v>8267</v>
      </c>
      <c r="D11" s="63">
        <f>SUM(D5:D10)</f>
        <v>16747</v>
      </c>
      <c r="E11" s="100">
        <f t="shared" si="0"/>
        <v>-8480</v>
      </c>
      <c r="F11" s="63">
        <f>SUM(F5:F10)</f>
        <v>10606082</v>
      </c>
      <c r="G11" s="63">
        <f>SUM(G5:G10)</f>
        <v>1553501</v>
      </c>
      <c r="H11" s="82">
        <f t="shared" si="1"/>
        <v>9052581</v>
      </c>
      <c r="I11" s="102">
        <f t="shared" si="3"/>
        <v>1282.9420587879522</v>
      </c>
      <c r="J11" s="72">
        <f t="shared" si="3"/>
        <v>92.762942616588049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207</v>
      </c>
      <c r="B13" s="22" t="s">
        <v>159</v>
      </c>
      <c r="C13" s="23">
        <v>9</v>
      </c>
      <c r="D13" s="23">
        <v>31</v>
      </c>
      <c r="E13" s="101">
        <f>C13-D13</f>
        <v>-22</v>
      </c>
      <c r="F13" s="23">
        <v>4523</v>
      </c>
      <c r="G13" s="23">
        <v>1855</v>
      </c>
      <c r="H13" s="103">
        <f>F13-G13</f>
        <v>2668</v>
      </c>
      <c r="I13" s="25">
        <f t="shared" ref="I13" si="5">IF(C13,F13/C13,0)</f>
        <v>502.55555555555554</v>
      </c>
      <c r="J13" s="25">
        <f t="shared" si="3"/>
        <v>59.838709677419352</v>
      </c>
    </row>
    <row r="14" spans="1:10" ht="17.25" thickBot="1">
      <c r="A14" s="106" t="s">
        <v>160</v>
      </c>
      <c r="B14" s="105" t="s">
        <v>80</v>
      </c>
      <c r="C14" s="63">
        <f>C11+C13</f>
        <v>8276</v>
      </c>
      <c r="D14" s="63">
        <f>D11+D13</f>
        <v>16778</v>
      </c>
      <c r="E14" s="80">
        <f>C14-D14</f>
        <v>-8502</v>
      </c>
      <c r="F14" s="63">
        <f>F11+F13</f>
        <v>10610605</v>
      </c>
      <c r="G14" s="63">
        <f>G11+G13</f>
        <v>1555356</v>
      </c>
      <c r="H14" s="107">
        <f>F14-G14</f>
        <v>9055249</v>
      </c>
      <c r="I14" s="72">
        <f>F14/C14</f>
        <v>1282.0934026099565</v>
      </c>
      <c r="J14" s="104">
        <f>G14/D14</f>
        <v>92.702109905829062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234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98" t="s">
        <v>230</v>
      </c>
      <c r="D18" s="8" t="s">
        <v>231</v>
      </c>
      <c r="E18" s="9" t="s">
        <v>141</v>
      </c>
      <c r="F18" s="10" t="s">
        <v>232</v>
      </c>
      <c r="G18" s="99" t="s">
        <v>233</v>
      </c>
      <c r="H18" s="9" t="s">
        <v>144</v>
      </c>
      <c r="I18" s="44"/>
      <c r="J18" s="44"/>
    </row>
    <row r="19" spans="1:10">
      <c r="A19" s="13"/>
      <c r="B19" s="14"/>
      <c r="C19" s="15" t="s">
        <v>161</v>
      </c>
      <c r="D19" s="15" t="s">
        <v>161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208</v>
      </c>
      <c r="B20" s="22" t="s">
        <v>162</v>
      </c>
      <c r="C20" s="23">
        <v>361</v>
      </c>
      <c r="D20" s="23">
        <v>1586</v>
      </c>
      <c r="E20" s="24">
        <f t="shared" ref="E20:E42" si="6">C20-D20</f>
        <v>-1225</v>
      </c>
      <c r="F20" s="23">
        <v>48259</v>
      </c>
      <c r="G20" s="23">
        <v>111910</v>
      </c>
      <c r="H20" s="24">
        <f t="shared" ref="H20:H42" si="7">F20-G20</f>
        <v>-63651</v>
      </c>
      <c r="I20" s="4"/>
      <c r="J20" s="4"/>
    </row>
    <row r="21" spans="1:10">
      <c r="A21" s="46" t="s">
        <v>209</v>
      </c>
      <c r="B21" s="22" t="s">
        <v>163</v>
      </c>
      <c r="C21" s="23">
        <v>0</v>
      </c>
      <c r="D21" s="23">
        <v>1441</v>
      </c>
      <c r="E21" s="24">
        <f t="shared" si="6"/>
        <v>-1441</v>
      </c>
      <c r="F21" s="23">
        <v>0</v>
      </c>
      <c r="G21" s="23">
        <v>74161</v>
      </c>
      <c r="H21" s="24">
        <f t="shared" si="7"/>
        <v>-74161</v>
      </c>
      <c r="I21" s="4"/>
      <c r="J21" s="4"/>
    </row>
    <row r="22" spans="1:10">
      <c r="A22" s="46">
        <v>87149120007</v>
      </c>
      <c r="B22" s="22" t="s">
        <v>164</v>
      </c>
      <c r="C22" s="23">
        <v>84235</v>
      </c>
      <c r="D22" s="23">
        <v>280641</v>
      </c>
      <c r="E22" s="24">
        <f t="shared" si="6"/>
        <v>-196406</v>
      </c>
      <c r="F22" s="23">
        <v>3314804</v>
      </c>
      <c r="G22" s="23">
        <v>22992047</v>
      </c>
      <c r="H22" s="24">
        <f t="shared" si="7"/>
        <v>-19677243</v>
      </c>
      <c r="I22" s="4"/>
      <c r="J22" s="4"/>
    </row>
    <row r="23" spans="1:10">
      <c r="A23" s="46">
        <v>87149200108</v>
      </c>
      <c r="B23" s="22" t="s">
        <v>165</v>
      </c>
      <c r="C23" s="23">
        <v>2659</v>
      </c>
      <c r="D23" s="23">
        <v>54382</v>
      </c>
      <c r="E23" s="24">
        <f t="shared" si="6"/>
        <v>-51723</v>
      </c>
      <c r="F23" s="23">
        <v>94242</v>
      </c>
      <c r="G23" s="23">
        <v>4338597</v>
      </c>
      <c r="H23" s="24">
        <f t="shared" si="7"/>
        <v>-4244355</v>
      </c>
      <c r="I23" s="4"/>
      <c r="J23" s="4"/>
    </row>
    <row r="24" spans="1:10">
      <c r="A24" s="46">
        <v>87149200206</v>
      </c>
      <c r="B24" s="22" t="s">
        <v>166</v>
      </c>
      <c r="C24" s="23">
        <v>10380</v>
      </c>
      <c r="D24" s="23">
        <v>705</v>
      </c>
      <c r="E24" s="24">
        <f t="shared" si="6"/>
        <v>9675</v>
      </c>
      <c r="F24" s="23">
        <v>326066</v>
      </c>
      <c r="G24" s="23">
        <v>114808</v>
      </c>
      <c r="H24" s="24">
        <f t="shared" si="7"/>
        <v>211258</v>
      </c>
      <c r="I24" s="4"/>
      <c r="J24" s="4"/>
    </row>
    <row r="25" spans="1:10">
      <c r="A25" s="46">
        <v>87149200304</v>
      </c>
      <c r="B25" s="22" t="s">
        <v>167</v>
      </c>
      <c r="C25" s="23">
        <v>1046</v>
      </c>
      <c r="D25" s="23">
        <v>8961</v>
      </c>
      <c r="E25" s="24">
        <f t="shared" si="6"/>
        <v>-7915</v>
      </c>
      <c r="F25" s="23">
        <v>138561</v>
      </c>
      <c r="G25" s="23">
        <v>152224</v>
      </c>
      <c r="H25" s="24">
        <f t="shared" si="7"/>
        <v>-13663</v>
      </c>
      <c r="I25" s="4"/>
      <c r="J25" s="4"/>
    </row>
    <row r="26" spans="1:10">
      <c r="A26" s="46">
        <v>87149310007</v>
      </c>
      <c r="B26" s="22" t="s">
        <v>168</v>
      </c>
      <c r="C26" s="23">
        <v>1569</v>
      </c>
      <c r="D26" s="23">
        <v>50402</v>
      </c>
      <c r="E26" s="24">
        <f t="shared" si="6"/>
        <v>-48833</v>
      </c>
      <c r="F26" s="23">
        <v>105696</v>
      </c>
      <c r="G26" s="23">
        <v>2444351</v>
      </c>
      <c r="H26" s="24">
        <f t="shared" si="7"/>
        <v>-2338655</v>
      </c>
      <c r="I26" s="4"/>
      <c r="J26" s="4"/>
    </row>
    <row r="27" spans="1:10">
      <c r="A27" s="46">
        <v>87149320103</v>
      </c>
      <c r="B27" s="22" t="s">
        <v>169</v>
      </c>
      <c r="C27" s="23">
        <v>189</v>
      </c>
      <c r="D27" s="23">
        <v>171</v>
      </c>
      <c r="E27" s="24">
        <f t="shared" si="6"/>
        <v>18</v>
      </c>
      <c r="F27" s="23">
        <v>13440</v>
      </c>
      <c r="G27" s="23">
        <v>5565</v>
      </c>
      <c r="H27" s="24">
        <f t="shared" si="7"/>
        <v>7875</v>
      </c>
      <c r="I27" s="4"/>
      <c r="J27" s="4"/>
    </row>
    <row r="28" spans="1:10">
      <c r="A28" s="46">
        <v>87149410006</v>
      </c>
      <c r="B28" s="22" t="s">
        <v>170</v>
      </c>
      <c r="C28" s="23">
        <v>499</v>
      </c>
      <c r="D28" s="23">
        <v>3251</v>
      </c>
      <c r="E28" s="24">
        <f t="shared" si="6"/>
        <v>-2752</v>
      </c>
      <c r="F28" s="23">
        <v>11422</v>
      </c>
      <c r="G28" s="23">
        <v>35731</v>
      </c>
      <c r="H28" s="24">
        <f t="shared" si="7"/>
        <v>-24309</v>
      </c>
      <c r="I28" s="4"/>
      <c r="J28" s="4"/>
    </row>
    <row r="29" spans="1:10">
      <c r="A29" s="46">
        <v>87149490009</v>
      </c>
      <c r="B29" s="22" t="s">
        <v>171</v>
      </c>
      <c r="C29" s="23">
        <v>49971</v>
      </c>
      <c r="D29" s="23">
        <v>58554</v>
      </c>
      <c r="E29" s="24">
        <f t="shared" si="6"/>
        <v>-8583</v>
      </c>
      <c r="F29" s="23">
        <v>2586920</v>
      </c>
      <c r="G29" s="23">
        <v>963322</v>
      </c>
      <c r="H29" s="24">
        <f t="shared" si="7"/>
        <v>1623598</v>
      </c>
      <c r="I29" s="4"/>
      <c r="J29" s="4"/>
    </row>
    <row r="30" spans="1:10">
      <c r="A30" s="46">
        <v>87149500007</v>
      </c>
      <c r="B30" s="22" t="s">
        <v>172</v>
      </c>
      <c r="C30" s="23">
        <v>1773</v>
      </c>
      <c r="D30" s="23">
        <v>34469</v>
      </c>
      <c r="E30" s="24">
        <f t="shared" si="6"/>
        <v>-32696</v>
      </c>
      <c r="F30" s="23">
        <v>114350</v>
      </c>
      <c r="G30" s="23">
        <v>358998</v>
      </c>
      <c r="H30" s="24">
        <f t="shared" si="7"/>
        <v>-244648</v>
      </c>
      <c r="I30" s="4"/>
      <c r="J30" s="4"/>
    </row>
    <row r="31" spans="1:10">
      <c r="A31" s="46">
        <v>87149610004</v>
      </c>
      <c r="B31" s="22" t="s">
        <v>173</v>
      </c>
      <c r="C31" s="23">
        <v>8344</v>
      </c>
      <c r="D31" s="23">
        <v>15744</v>
      </c>
      <c r="E31" s="24">
        <f t="shared" si="6"/>
        <v>-7400</v>
      </c>
      <c r="F31" s="23">
        <v>205077</v>
      </c>
      <c r="G31" s="23">
        <v>114352</v>
      </c>
      <c r="H31" s="24">
        <f t="shared" si="7"/>
        <v>90725</v>
      </c>
      <c r="I31" s="4"/>
      <c r="J31" s="4"/>
    </row>
    <row r="32" spans="1:10">
      <c r="A32" s="46">
        <v>87149620002</v>
      </c>
      <c r="B32" s="22" t="s">
        <v>174</v>
      </c>
      <c r="C32" s="23">
        <v>23760</v>
      </c>
      <c r="D32" s="23">
        <v>65486</v>
      </c>
      <c r="E32" s="24">
        <f t="shared" si="6"/>
        <v>-41726</v>
      </c>
      <c r="F32" s="23">
        <v>1109600</v>
      </c>
      <c r="G32" s="23">
        <v>669623</v>
      </c>
      <c r="H32" s="24">
        <f t="shared" si="7"/>
        <v>439977</v>
      </c>
      <c r="I32" s="4"/>
      <c r="J32" s="4"/>
    </row>
    <row r="33" spans="1:10">
      <c r="A33" s="46" t="s">
        <v>210</v>
      </c>
      <c r="B33" s="22" t="s">
        <v>175</v>
      </c>
      <c r="C33" s="23">
        <v>5401</v>
      </c>
      <c r="D33" s="23">
        <v>26302</v>
      </c>
      <c r="E33" s="24">
        <f t="shared" si="6"/>
        <v>-20901</v>
      </c>
      <c r="F33" s="23">
        <v>165701</v>
      </c>
      <c r="G33" s="23">
        <v>98395</v>
      </c>
      <c r="H33" s="24">
        <f t="shared" si="7"/>
        <v>67306</v>
      </c>
      <c r="I33" s="4"/>
      <c r="J33" s="4"/>
    </row>
    <row r="34" spans="1:10">
      <c r="A34" s="46">
        <v>87149990111</v>
      </c>
      <c r="B34" s="22" t="s">
        <v>176</v>
      </c>
      <c r="C34" s="23">
        <v>9600</v>
      </c>
      <c r="D34" s="23">
        <v>7328</v>
      </c>
      <c r="E34" s="24">
        <f t="shared" si="6"/>
        <v>2272</v>
      </c>
      <c r="F34" s="23">
        <v>1334691</v>
      </c>
      <c r="G34" s="23">
        <v>243719</v>
      </c>
      <c r="H34" s="24">
        <f t="shared" si="7"/>
        <v>1090972</v>
      </c>
      <c r="I34" s="4"/>
      <c r="J34" s="4"/>
    </row>
    <row r="35" spans="1:10">
      <c r="A35" s="46">
        <v>87149320906</v>
      </c>
      <c r="B35" s="22" t="s">
        <v>177</v>
      </c>
      <c r="C35" s="23">
        <v>14192</v>
      </c>
      <c r="D35" s="23">
        <v>13978</v>
      </c>
      <c r="E35" s="24">
        <f t="shared" si="6"/>
        <v>214</v>
      </c>
      <c r="F35" s="23">
        <v>669249</v>
      </c>
      <c r="G35" s="23">
        <v>215782</v>
      </c>
      <c r="H35" s="24">
        <f t="shared" si="7"/>
        <v>453467</v>
      </c>
      <c r="I35" s="4"/>
      <c r="J35" s="4"/>
    </row>
    <row r="36" spans="1:10">
      <c r="A36" s="46">
        <v>87149990139</v>
      </c>
      <c r="B36" s="22" t="s">
        <v>178</v>
      </c>
      <c r="C36" s="23">
        <v>223</v>
      </c>
      <c r="D36" s="23">
        <v>936</v>
      </c>
      <c r="E36" s="24">
        <f t="shared" si="6"/>
        <v>-713</v>
      </c>
      <c r="F36" s="23">
        <v>19493</v>
      </c>
      <c r="G36" s="23">
        <v>2863</v>
      </c>
      <c r="H36" s="24">
        <f t="shared" si="7"/>
        <v>16630</v>
      </c>
      <c r="I36" s="4"/>
      <c r="J36" s="4"/>
    </row>
    <row r="37" spans="1:10">
      <c r="A37" s="46">
        <v>87149990148</v>
      </c>
      <c r="B37" s="22" t="s">
        <v>179</v>
      </c>
      <c r="C37" s="23">
        <v>2656</v>
      </c>
      <c r="D37" s="23">
        <v>11390</v>
      </c>
      <c r="E37" s="24">
        <f>C37-D37</f>
        <v>-8734</v>
      </c>
      <c r="F37" s="23">
        <v>136707</v>
      </c>
      <c r="G37" s="23">
        <v>248468</v>
      </c>
      <c r="H37" s="24">
        <f t="shared" si="7"/>
        <v>-111761</v>
      </c>
      <c r="I37" s="4"/>
      <c r="J37" s="4"/>
    </row>
    <row r="38" spans="1:10">
      <c r="A38" s="46">
        <v>87149990157</v>
      </c>
      <c r="B38" s="22" t="s">
        <v>180</v>
      </c>
      <c r="C38" s="23">
        <v>4854</v>
      </c>
      <c r="D38" s="23">
        <v>31374</v>
      </c>
      <c r="E38" s="24">
        <f t="shared" si="6"/>
        <v>-26520</v>
      </c>
      <c r="F38" s="23">
        <v>212008</v>
      </c>
      <c r="G38" s="23">
        <v>1013941</v>
      </c>
      <c r="H38" s="24">
        <f t="shared" si="7"/>
        <v>-801933</v>
      </c>
      <c r="I38" s="4"/>
      <c r="J38" s="4"/>
    </row>
    <row r="39" spans="1:10">
      <c r="A39" s="46">
        <v>87149990166</v>
      </c>
      <c r="B39" s="22" t="s">
        <v>181</v>
      </c>
      <c r="C39" s="23">
        <v>19632</v>
      </c>
      <c r="D39" s="23">
        <v>26447</v>
      </c>
      <c r="E39" s="24">
        <f t="shared" si="6"/>
        <v>-6815</v>
      </c>
      <c r="F39" s="23">
        <v>643834</v>
      </c>
      <c r="G39" s="23">
        <v>1356969</v>
      </c>
      <c r="H39" s="24">
        <f t="shared" si="7"/>
        <v>-713135</v>
      </c>
      <c r="I39" s="4"/>
      <c r="J39" s="4"/>
    </row>
    <row r="40" spans="1:10">
      <c r="A40" s="46" t="s">
        <v>211</v>
      </c>
      <c r="B40" s="22" t="s">
        <v>182</v>
      </c>
      <c r="C40" s="23">
        <v>41288</v>
      </c>
      <c r="D40" s="23">
        <v>58874</v>
      </c>
      <c r="E40" s="24">
        <f t="shared" si="6"/>
        <v>-17586</v>
      </c>
      <c r="F40" s="23">
        <v>765246</v>
      </c>
      <c r="G40" s="23">
        <v>381870</v>
      </c>
      <c r="H40" s="24">
        <f t="shared" si="7"/>
        <v>383376</v>
      </c>
      <c r="I40" s="4"/>
      <c r="J40" s="4"/>
    </row>
    <row r="41" spans="1:10">
      <c r="A41" s="46" t="s">
        <v>212</v>
      </c>
      <c r="B41" s="22" t="s">
        <v>183</v>
      </c>
      <c r="C41" s="23">
        <v>1295</v>
      </c>
      <c r="D41" s="23">
        <v>22828</v>
      </c>
      <c r="E41" s="24">
        <f t="shared" si="6"/>
        <v>-21533</v>
      </c>
      <c r="F41" s="23">
        <v>13440</v>
      </c>
      <c r="G41" s="23">
        <v>161028</v>
      </c>
      <c r="H41" s="24">
        <f t="shared" si="7"/>
        <v>-147588</v>
      </c>
      <c r="I41" s="4"/>
      <c r="J41" s="4"/>
    </row>
    <row r="42" spans="1:10" ht="18.75" customHeight="1" thickBot="1">
      <c r="A42" s="132" t="s">
        <v>160</v>
      </c>
      <c r="B42" s="133"/>
      <c r="C42" s="50">
        <f>SUM(C20:C41)</f>
        <v>283927</v>
      </c>
      <c r="D42" s="50">
        <f>SUM(D20:D41)</f>
        <v>775250</v>
      </c>
      <c r="E42" s="51">
        <f t="shared" si="6"/>
        <v>-491323</v>
      </c>
      <c r="F42" s="50">
        <f>SUM(F20:F41)</f>
        <v>12028806</v>
      </c>
      <c r="G42" s="50">
        <f>SUM(G20:G41)</f>
        <v>36098724</v>
      </c>
      <c r="H42" s="51">
        <f t="shared" si="7"/>
        <v>-24069918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65BC"/>
    <pageSetUpPr fitToPage="1"/>
  </sheetPr>
  <dimension ref="A1:K46"/>
  <sheetViews>
    <sheetView zoomScaleNormal="100" workbookViewId="0">
      <selection activeCell="A44" sqref="A44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6" width="17.625" style="4" customWidth="1"/>
    <col min="7" max="7" width="15.5" style="4" customWidth="1"/>
    <col min="8" max="8" width="12.125" style="4" customWidth="1"/>
    <col min="9" max="9" width="12.375" style="3" customWidth="1"/>
    <col min="10" max="10" width="13.875" style="3" customWidth="1"/>
    <col min="11" max="11" width="11.125" style="3" customWidth="1"/>
    <col min="12" max="256" width="8.875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8.875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8.875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8.875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8.875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8.875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8.875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8.875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8.875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8.875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8.875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8.875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8.875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8.875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8.875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8.875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8.875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8.875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8.875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8.875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8.875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8.875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8.875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8.875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8.875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8.875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8.875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8.875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8.875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8.875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8.875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8.875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8.875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8.875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8.875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8.875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8.875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8.875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8.875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8.875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8.875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8.875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8.875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8.875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8.875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8.875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8.875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8.875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8.875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8.875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8.875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8.875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8.875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8.875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8.875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8.875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8.875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8.875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8.875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8.875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8.875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8.875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8.875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8.875" style="3"/>
  </cols>
  <sheetData>
    <row r="1" spans="1:11" ht="21" customHeight="1">
      <c r="A1" s="134" t="s">
        <v>351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137</v>
      </c>
      <c r="B3" s="6" t="s">
        <v>138</v>
      </c>
      <c r="C3" s="7" t="s">
        <v>352</v>
      </c>
      <c r="D3" s="7" t="s">
        <v>353</v>
      </c>
      <c r="E3" s="9" t="s">
        <v>186</v>
      </c>
      <c r="F3" s="74" t="s">
        <v>354</v>
      </c>
      <c r="G3" s="74" t="s">
        <v>355</v>
      </c>
      <c r="H3" s="9" t="s">
        <v>186</v>
      </c>
      <c r="I3" s="56" t="s">
        <v>187</v>
      </c>
      <c r="J3" s="56" t="s">
        <v>188</v>
      </c>
      <c r="K3" s="64" t="s">
        <v>189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14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40575</v>
      </c>
      <c r="D5" s="23">
        <v>2589</v>
      </c>
      <c r="E5" s="135">
        <f>IF(D5,(C5-D5)/D5,0)</f>
        <v>14.6720741599073</v>
      </c>
      <c r="F5" s="76">
        <v>2518577</v>
      </c>
      <c r="G5" s="76">
        <v>1190716</v>
      </c>
      <c r="H5" s="138">
        <f>IF(G5,(F5-G5)/G5,0)</f>
        <v>1.1151785984231337</v>
      </c>
      <c r="I5" s="25">
        <f>IF(C5,F5/C5,0)</f>
        <v>62.072138016019714</v>
      </c>
      <c r="J5" s="25">
        <f>IF(D5,G5/D5,0)</f>
        <v>459.91348010814988</v>
      </c>
      <c r="K5" s="89">
        <f t="shared" ref="K5:K14" si="0">IF(J5,(I5-J5)/J5,0)</f>
        <v>-0.86503518444072725</v>
      </c>
    </row>
    <row r="6" spans="1:11" ht="16.5">
      <c r="A6" s="26" t="s">
        <v>205</v>
      </c>
      <c r="B6" s="27" t="s">
        <v>148</v>
      </c>
      <c r="C6" s="23">
        <v>24825</v>
      </c>
      <c r="D6" s="23">
        <v>2628</v>
      </c>
      <c r="E6" s="135">
        <f t="shared" ref="E6:E14" si="1">IF(D6,(C6-D6)/D6,0)</f>
        <v>8.4463470319634695</v>
      </c>
      <c r="F6" s="76">
        <v>2309399</v>
      </c>
      <c r="G6" s="76">
        <v>2540495</v>
      </c>
      <c r="H6" s="138">
        <f t="shared" ref="H6:H14" si="2">IF(G6,(F6-G6)/G6,0)</f>
        <v>-9.0964949744045939E-2</v>
      </c>
      <c r="I6" s="25">
        <f t="shared" ref="I6:J11" si="3">IF(C6,F6/C6,0)</f>
        <v>93.027150050352461</v>
      </c>
      <c r="J6" s="25">
        <f t="shared" si="3"/>
        <v>966.70281582952816</v>
      </c>
      <c r="K6" s="89">
        <f t="shared" si="0"/>
        <v>-0.90376861582788937</v>
      </c>
    </row>
    <row r="7" spans="1:11" ht="16.5">
      <c r="A7" s="21" t="s">
        <v>149</v>
      </c>
      <c r="B7" s="28" t="s">
        <v>150</v>
      </c>
      <c r="C7" s="23">
        <v>31656</v>
      </c>
      <c r="D7" s="23">
        <v>189</v>
      </c>
      <c r="E7" s="135">
        <f t="shared" si="1"/>
        <v>166.49206349206349</v>
      </c>
      <c r="F7" s="76">
        <v>1778454</v>
      </c>
      <c r="G7" s="76">
        <v>24624</v>
      </c>
      <c r="H7" s="138">
        <f t="shared" si="2"/>
        <v>71.224415204678365</v>
      </c>
      <c r="I7" s="25">
        <f t="shared" si="3"/>
        <v>56.180629264594387</v>
      </c>
      <c r="J7" s="25">
        <f t="shared" si="3"/>
        <v>130.28571428571428</v>
      </c>
      <c r="K7" s="89">
        <f t="shared" si="0"/>
        <v>-0.56878902976736767</v>
      </c>
    </row>
    <row r="8" spans="1:11" ht="16.5">
      <c r="A8" s="21" t="s">
        <v>151</v>
      </c>
      <c r="B8" s="28" t="s">
        <v>152</v>
      </c>
      <c r="C8" s="23">
        <v>62748</v>
      </c>
      <c r="D8" s="23">
        <v>4081</v>
      </c>
      <c r="E8" s="135">
        <f t="shared" si="1"/>
        <v>14.375643224699829</v>
      </c>
      <c r="F8" s="76">
        <v>6118220</v>
      </c>
      <c r="G8" s="76">
        <v>868566</v>
      </c>
      <c r="H8" s="138">
        <f t="shared" si="2"/>
        <v>6.0440473147694016</v>
      </c>
      <c r="I8" s="25">
        <f t="shared" si="3"/>
        <v>97.504621661248166</v>
      </c>
      <c r="J8" s="25">
        <f t="shared" si="3"/>
        <v>212.83165890713062</v>
      </c>
      <c r="K8" s="89">
        <f t="shared" si="0"/>
        <v>-0.54186974737722438</v>
      </c>
    </row>
    <row r="9" spans="1:11" ht="16.5">
      <c r="A9" s="21" t="s">
        <v>153</v>
      </c>
      <c r="B9" s="28" t="s">
        <v>154</v>
      </c>
      <c r="C9" s="23">
        <v>18075</v>
      </c>
      <c r="D9" s="23">
        <v>17502</v>
      </c>
      <c r="E9" s="135">
        <f t="shared" si="1"/>
        <v>3.2739115529653751E-2</v>
      </c>
      <c r="F9" s="76">
        <v>1843188</v>
      </c>
      <c r="G9" s="76">
        <v>10040746</v>
      </c>
      <c r="H9" s="138">
        <f t="shared" si="2"/>
        <v>-0.81642917767265499</v>
      </c>
      <c r="I9" s="25">
        <f t="shared" si="3"/>
        <v>101.97443983402489</v>
      </c>
      <c r="J9" s="25">
        <f t="shared" si="3"/>
        <v>573.6913495600503</v>
      </c>
      <c r="K9" s="89">
        <f t="shared" si="0"/>
        <v>-0.82224860125182886</v>
      </c>
    </row>
    <row r="10" spans="1:11" ht="16.5">
      <c r="A10" s="21" t="s">
        <v>155</v>
      </c>
      <c r="B10" s="28" t="s">
        <v>156</v>
      </c>
      <c r="C10" s="23">
        <v>16110</v>
      </c>
      <c r="D10" s="23">
        <v>28771</v>
      </c>
      <c r="E10" s="135">
        <f t="shared" si="1"/>
        <v>-0.44006117270863021</v>
      </c>
      <c r="F10" s="76">
        <v>3373168</v>
      </c>
      <c r="G10" s="76">
        <v>39593952</v>
      </c>
      <c r="H10" s="138">
        <f t="shared" si="2"/>
        <v>-0.91480597844842571</v>
      </c>
      <c r="I10" s="25">
        <f t="shared" si="3"/>
        <v>209.3834885164494</v>
      </c>
      <c r="J10" s="25">
        <f t="shared" si="3"/>
        <v>1376.1757325084286</v>
      </c>
      <c r="K10" s="89">
        <f t="shared" si="0"/>
        <v>-0.84785119838234968</v>
      </c>
    </row>
    <row r="11" spans="1:11" ht="17.25" thickBot="1">
      <c r="A11" s="30" t="s">
        <v>157</v>
      </c>
      <c r="B11" s="70" t="s">
        <v>158</v>
      </c>
      <c r="C11" s="63">
        <v>193989</v>
      </c>
      <c r="D11" s="63">
        <f>SUM(D5:D10)</f>
        <v>55760</v>
      </c>
      <c r="E11" s="136">
        <f t="shared" si="1"/>
        <v>2.4789992826398852</v>
      </c>
      <c r="F11" s="77">
        <v>17941006</v>
      </c>
      <c r="G11" s="77">
        <f>SUM(G5:G10)</f>
        <v>54259099</v>
      </c>
      <c r="H11" s="139">
        <f t="shared" si="2"/>
        <v>-0.66934567048376536</v>
      </c>
      <c r="I11" s="72">
        <f t="shared" si="3"/>
        <v>92.484656346493878</v>
      </c>
      <c r="J11" s="72">
        <f t="shared" si="3"/>
        <v>973.08283715925393</v>
      </c>
      <c r="K11" s="91">
        <f t="shared" si="0"/>
        <v>-0.90495705728765419</v>
      </c>
    </row>
    <row r="12" spans="1:11" ht="11.25" customHeight="1" thickTop="1">
      <c r="A12" s="33"/>
      <c r="B12" s="34"/>
      <c r="E12" s="137"/>
      <c r="F12" s="78"/>
      <c r="G12" s="78"/>
      <c r="H12" s="140"/>
      <c r="I12" s="69"/>
      <c r="J12" s="69"/>
      <c r="K12" s="61"/>
    </row>
    <row r="13" spans="1:11" ht="16.5">
      <c r="A13" s="21" t="s">
        <v>207</v>
      </c>
      <c r="B13" s="22" t="s">
        <v>159</v>
      </c>
      <c r="C13" s="23">
        <v>2620</v>
      </c>
      <c r="D13" s="23">
        <v>78</v>
      </c>
      <c r="E13" s="135">
        <f t="shared" si="1"/>
        <v>32.589743589743591</v>
      </c>
      <c r="F13" s="76">
        <v>116200</v>
      </c>
      <c r="G13" s="76">
        <v>106757</v>
      </c>
      <c r="H13" s="138">
        <f t="shared" si="2"/>
        <v>8.8453216182545411E-2</v>
      </c>
      <c r="I13" s="25">
        <f t="shared" ref="I13:J13" si="4">IF(C13,F13/C13,0)</f>
        <v>44.351145038167942</v>
      </c>
      <c r="J13" s="25">
        <f t="shared" si="4"/>
        <v>1368.6794871794871</v>
      </c>
      <c r="K13" s="89">
        <f t="shared" si="0"/>
        <v>-0.96759566760983262</v>
      </c>
    </row>
    <row r="14" spans="1:11" ht="17.25" thickBot="1">
      <c r="A14" s="106" t="s">
        <v>160</v>
      </c>
      <c r="B14" s="105" t="s">
        <v>80</v>
      </c>
      <c r="C14" s="109">
        <v>196609</v>
      </c>
      <c r="D14" s="63">
        <f>SUM(D11:D13)</f>
        <v>55838</v>
      </c>
      <c r="E14" s="136">
        <f t="shared" si="1"/>
        <v>2.5210609262509402</v>
      </c>
      <c r="F14" s="77">
        <v>18057206</v>
      </c>
      <c r="G14" s="77">
        <f>SUM(G11:G13)</f>
        <v>54365856</v>
      </c>
      <c r="H14" s="139">
        <f t="shared" si="2"/>
        <v>-0.66785759797472888</v>
      </c>
      <c r="I14" s="72">
        <f>F14/C14</f>
        <v>91.84323199853516</v>
      </c>
      <c r="J14" s="72">
        <f>G14/D14</f>
        <v>973.63544539560871</v>
      </c>
      <c r="K14" s="91">
        <f t="shared" si="0"/>
        <v>-0.90566979413817728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356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352</v>
      </c>
      <c r="D18" s="7" t="s">
        <v>353</v>
      </c>
      <c r="E18" s="9" t="s">
        <v>186</v>
      </c>
      <c r="F18" s="74" t="s">
        <v>354</v>
      </c>
      <c r="G18" s="74" t="s">
        <v>355</v>
      </c>
      <c r="H18" s="9" t="s">
        <v>186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196</v>
      </c>
      <c r="I19" s="45"/>
      <c r="J19" s="44"/>
    </row>
    <row r="20" spans="1:10">
      <c r="A20" s="46" t="s">
        <v>208</v>
      </c>
      <c r="B20" s="22" t="s">
        <v>162</v>
      </c>
      <c r="C20" s="23">
        <v>4249</v>
      </c>
      <c r="D20" s="23">
        <v>4851</v>
      </c>
      <c r="E20" s="135">
        <f t="shared" ref="E20:E42" si="5">IF(D20,(C20-D20)/D20,0)</f>
        <v>-0.1240981240981241</v>
      </c>
      <c r="F20" s="76">
        <v>488799</v>
      </c>
      <c r="G20" s="76">
        <v>548289</v>
      </c>
      <c r="H20" s="135">
        <f t="shared" ref="H20:H42" si="6">IF(G20,(F20-G20)/G20,0)</f>
        <v>-0.10850117365112194</v>
      </c>
      <c r="I20" s="4"/>
      <c r="J20" s="4"/>
    </row>
    <row r="21" spans="1:10">
      <c r="A21" s="46" t="s">
        <v>335</v>
      </c>
      <c r="B21" s="22" t="s">
        <v>163</v>
      </c>
      <c r="C21" s="23">
        <v>936</v>
      </c>
      <c r="D21" s="23">
        <v>2082</v>
      </c>
      <c r="E21" s="135">
        <f t="shared" si="5"/>
        <v>-0.55043227665706052</v>
      </c>
      <c r="F21" s="76">
        <v>138831</v>
      </c>
      <c r="G21" s="76">
        <v>229176</v>
      </c>
      <c r="H21" s="135">
        <f t="shared" si="6"/>
        <v>-0.39421667190281706</v>
      </c>
      <c r="I21" s="4"/>
      <c r="J21" s="4"/>
    </row>
    <row r="22" spans="1:10">
      <c r="A22" s="46" t="s">
        <v>258</v>
      </c>
      <c r="B22" s="22" t="s">
        <v>164</v>
      </c>
      <c r="C22" s="23">
        <v>941356</v>
      </c>
      <c r="D22" s="23">
        <v>2161766</v>
      </c>
      <c r="E22" s="135">
        <f t="shared" si="5"/>
        <v>-0.56454306340279192</v>
      </c>
      <c r="F22" s="76">
        <v>46208421</v>
      </c>
      <c r="G22" s="76">
        <v>82222931</v>
      </c>
      <c r="H22" s="135">
        <f t="shared" si="6"/>
        <v>-0.43801053504161752</v>
      </c>
      <c r="I22" s="4"/>
      <c r="J22" s="4"/>
    </row>
    <row r="23" spans="1:10">
      <c r="A23" s="46">
        <v>87149200108</v>
      </c>
      <c r="B23" s="22" t="s">
        <v>165</v>
      </c>
      <c r="C23" s="23">
        <v>106143</v>
      </c>
      <c r="D23" s="23">
        <v>205806</v>
      </c>
      <c r="E23" s="135">
        <f t="shared" si="5"/>
        <v>-0.48425701874580918</v>
      </c>
      <c r="F23" s="76">
        <v>1833238</v>
      </c>
      <c r="G23" s="76">
        <v>2902726</v>
      </c>
      <c r="H23" s="135">
        <f t="shared" si="6"/>
        <v>-0.36844262944556255</v>
      </c>
      <c r="I23" s="4"/>
      <c r="J23" s="4"/>
    </row>
    <row r="24" spans="1:10">
      <c r="A24" s="46">
        <v>87149200206</v>
      </c>
      <c r="B24" s="22" t="s">
        <v>166</v>
      </c>
      <c r="C24" s="23">
        <v>118105</v>
      </c>
      <c r="D24" s="23">
        <v>125343</v>
      </c>
      <c r="E24" s="135">
        <f t="shared" si="5"/>
        <v>-5.7745546221169113E-2</v>
      </c>
      <c r="F24" s="76">
        <v>3080966</v>
      </c>
      <c r="G24" s="76">
        <v>3361945</v>
      </c>
      <c r="H24" s="135">
        <f t="shared" si="6"/>
        <v>-8.3576322634665356E-2</v>
      </c>
      <c r="I24" s="4"/>
      <c r="J24" s="4"/>
    </row>
    <row r="25" spans="1:10">
      <c r="A25" s="46">
        <v>87149200304</v>
      </c>
      <c r="B25" s="22" t="s">
        <v>167</v>
      </c>
      <c r="C25" s="23">
        <v>47138</v>
      </c>
      <c r="D25" s="23">
        <v>34364</v>
      </c>
      <c r="E25" s="135">
        <f t="shared" si="5"/>
        <v>0.37172622511931092</v>
      </c>
      <c r="F25" s="76">
        <v>5628650</v>
      </c>
      <c r="G25" s="76">
        <v>2760586</v>
      </c>
      <c r="H25" s="135">
        <f t="shared" si="6"/>
        <v>1.0389330381303099</v>
      </c>
      <c r="I25" s="4"/>
      <c r="J25" s="4"/>
    </row>
    <row r="26" spans="1:10">
      <c r="A26" s="46">
        <v>87149310007</v>
      </c>
      <c r="B26" s="22" t="s">
        <v>168</v>
      </c>
      <c r="C26" s="23">
        <v>38600</v>
      </c>
      <c r="D26" s="23">
        <v>109592</v>
      </c>
      <c r="E26" s="135">
        <f t="shared" si="5"/>
        <v>-0.64778450981823488</v>
      </c>
      <c r="F26" s="76">
        <v>4043741</v>
      </c>
      <c r="G26" s="76">
        <v>9834514</v>
      </c>
      <c r="H26" s="135">
        <f t="shared" si="6"/>
        <v>-0.58882147099490634</v>
      </c>
      <c r="I26" s="4"/>
      <c r="J26" s="4"/>
    </row>
    <row r="27" spans="1:10">
      <c r="A27" s="46">
        <v>87149320103</v>
      </c>
      <c r="B27" s="22" t="s">
        <v>169</v>
      </c>
      <c r="C27" s="23">
        <v>4619</v>
      </c>
      <c r="D27" s="23">
        <v>17131</v>
      </c>
      <c r="E27" s="135">
        <f t="shared" si="5"/>
        <v>-0.73037184052302839</v>
      </c>
      <c r="F27" s="76">
        <v>246046</v>
      </c>
      <c r="G27" s="76">
        <v>779966</v>
      </c>
      <c r="H27" s="135">
        <f t="shared" si="6"/>
        <v>-0.68454265955182658</v>
      </c>
      <c r="I27" s="4"/>
      <c r="J27" s="4"/>
    </row>
    <row r="28" spans="1:10">
      <c r="A28" s="46">
        <v>87149410006</v>
      </c>
      <c r="B28" s="22" t="s">
        <v>170</v>
      </c>
      <c r="C28" s="23">
        <v>1127</v>
      </c>
      <c r="D28" s="23">
        <v>2668</v>
      </c>
      <c r="E28" s="135">
        <f t="shared" si="5"/>
        <v>-0.57758620689655171</v>
      </c>
      <c r="F28" s="76">
        <v>25392</v>
      </c>
      <c r="G28" s="76">
        <v>124936</v>
      </c>
      <c r="H28" s="135">
        <f t="shared" si="6"/>
        <v>-0.79675994108983794</v>
      </c>
      <c r="I28" s="4"/>
      <c r="J28" s="4"/>
    </row>
    <row r="29" spans="1:10">
      <c r="A29" s="46">
        <v>87149490009</v>
      </c>
      <c r="B29" s="22" t="s">
        <v>171</v>
      </c>
      <c r="C29" s="23">
        <v>643592</v>
      </c>
      <c r="D29" s="23">
        <v>1772576</v>
      </c>
      <c r="E29" s="135">
        <f t="shared" si="5"/>
        <v>-0.63691711949163254</v>
      </c>
      <c r="F29" s="76">
        <v>28028615</v>
      </c>
      <c r="G29" s="76">
        <v>59515569</v>
      </c>
      <c r="H29" s="135">
        <f t="shared" si="6"/>
        <v>-0.52905406986867587</v>
      </c>
      <c r="I29" s="4"/>
      <c r="J29" s="4"/>
    </row>
    <row r="30" spans="1:10">
      <c r="A30" s="46">
        <v>87149500007</v>
      </c>
      <c r="B30" s="22" t="s">
        <v>172</v>
      </c>
      <c r="C30" s="23">
        <v>33542</v>
      </c>
      <c r="D30" s="23">
        <v>41135</v>
      </c>
      <c r="E30" s="135">
        <f t="shared" si="5"/>
        <v>-0.18458733438677524</v>
      </c>
      <c r="F30" s="76">
        <v>1426694</v>
      </c>
      <c r="G30" s="76">
        <v>1546729</v>
      </c>
      <c r="H30" s="135">
        <f t="shared" si="6"/>
        <v>-7.7605708563038514E-2</v>
      </c>
      <c r="I30" s="4"/>
      <c r="J30" s="4"/>
    </row>
    <row r="31" spans="1:10">
      <c r="A31" s="46">
        <v>87149610004</v>
      </c>
      <c r="B31" s="22" t="s">
        <v>173</v>
      </c>
      <c r="C31" s="23">
        <v>94988</v>
      </c>
      <c r="D31" s="23">
        <v>186461</v>
      </c>
      <c r="E31" s="135">
        <f t="shared" si="5"/>
        <v>-0.49057443647733306</v>
      </c>
      <c r="F31" s="76">
        <v>1950284</v>
      </c>
      <c r="G31" s="76">
        <v>2974098</v>
      </c>
      <c r="H31" s="135">
        <f t="shared" si="6"/>
        <v>-0.34424353198852226</v>
      </c>
      <c r="I31" s="4"/>
      <c r="J31" s="4"/>
    </row>
    <row r="32" spans="1:10">
      <c r="A32" s="46">
        <v>87149620002</v>
      </c>
      <c r="B32" s="22" t="s">
        <v>174</v>
      </c>
      <c r="C32" s="23">
        <v>218838</v>
      </c>
      <c r="D32" s="23">
        <v>332018</v>
      </c>
      <c r="E32" s="135">
        <f t="shared" si="5"/>
        <v>-0.34088513273376747</v>
      </c>
      <c r="F32" s="76">
        <v>10388301</v>
      </c>
      <c r="G32" s="76">
        <v>13032943</v>
      </c>
      <c r="H32" s="135">
        <f t="shared" si="6"/>
        <v>-0.20291978565393864</v>
      </c>
      <c r="I32" s="4"/>
      <c r="J32" s="4"/>
    </row>
    <row r="33" spans="1:10">
      <c r="A33" s="46" t="s">
        <v>210</v>
      </c>
      <c r="B33" s="22" t="s">
        <v>175</v>
      </c>
      <c r="C33" s="23">
        <v>72695</v>
      </c>
      <c r="D33" s="23">
        <v>127095</v>
      </c>
      <c r="E33" s="135">
        <f t="shared" si="5"/>
        <v>-0.42802627955466382</v>
      </c>
      <c r="F33" s="76">
        <v>1989209</v>
      </c>
      <c r="G33" s="76">
        <v>3291772</v>
      </c>
      <c r="H33" s="135">
        <f t="shared" si="6"/>
        <v>-0.39570267928641473</v>
      </c>
      <c r="I33" s="4"/>
      <c r="J33" s="4"/>
    </row>
    <row r="34" spans="1:10">
      <c r="A34" s="46">
        <v>87149990111</v>
      </c>
      <c r="B34" s="22" t="s">
        <v>176</v>
      </c>
      <c r="C34" s="23">
        <v>149415</v>
      </c>
      <c r="D34" s="23">
        <v>192672</v>
      </c>
      <c r="E34" s="135">
        <f t="shared" si="5"/>
        <v>-0.22451108619830593</v>
      </c>
      <c r="F34" s="76">
        <v>15427671</v>
      </c>
      <c r="G34" s="76">
        <v>17714408</v>
      </c>
      <c r="H34" s="135">
        <f t="shared" si="6"/>
        <v>-0.12908910080427186</v>
      </c>
      <c r="I34" s="4"/>
      <c r="J34" s="4"/>
    </row>
    <row r="35" spans="1:10">
      <c r="A35" s="46">
        <v>87149320906</v>
      </c>
      <c r="B35" s="22" t="s">
        <v>177</v>
      </c>
      <c r="C35" s="23">
        <v>271585</v>
      </c>
      <c r="D35" s="23">
        <v>329827</v>
      </c>
      <c r="E35" s="135">
        <f t="shared" si="5"/>
        <v>-0.17658348164340701</v>
      </c>
      <c r="F35" s="76">
        <v>9055394</v>
      </c>
      <c r="G35" s="76">
        <v>10434267</v>
      </c>
      <c r="H35" s="135">
        <f t="shared" si="6"/>
        <v>-0.13214852562235566</v>
      </c>
      <c r="I35" s="4"/>
      <c r="J35" s="4"/>
    </row>
    <row r="36" spans="1:10">
      <c r="A36" s="46">
        <v>87149990139</v>
      </c>
      <c r="B36" s="22" t="s">
        <v>178</v>
      </c>
      <c r="C36" s="23">
        <v>15863</v>
      </c>
      <c r="D36" s="23">
        <v>32807</v>
      </c>
      <c r="E36" s="135">
        <f t="shared" si="5"/>
        <v>-0.5164751425000762</v>
      </c>
      <c r="F36" s="76">
        <v>435633</v>
      </c>
      <c r="G36" s="76">
        <v>684050</v>
      </c>
      <c r="H36" s="135">
        <f t="shared" si="6"/>
        <v>-0.36315620203201521</v>
      </c>
      <c r="I36" s="4"/>
      <c r="J36" s="4"/>
    </row>
    <row r="37" spans="1:10">
      <c r="A37" s="46">
        <v>87149990148</v>
      </c>
      <c r="B37" s="22" t="s">
        <v>179</v>
      </c>
      <c r="C37" s="23">
        <v>27312</v>
      </c>
      <c r="D37" s="23">
        <v>58568</v>
      </c>
      <c r="E37" s="135">
        <f t="shared" si="5"/>
        <v>-0.53367026362518777</v>
      </c>
      <c r="F37" s="76">
        <v>1237853</v>
      </c>
      <c r="G37" s="76">
        <v>1824609</v>
      </c>
      <c r="H37" s="135">
        <f t="shared" si="6"/>
        <v>-0.32157903419307915</v>
      </c>
      <c r="I37" s="4"/>
      <c r="J37" s="4"/>
    </row>
    <row r="38" spans="1:10">
      <c r="A38" s="46">
        <v>87149990157</v>
      </c>
      <c r="B38" s="22" t="s">
        <v>180</v>
      </c>
      <c r="C38" s="23">
        <v>57102</v>
      </c>
      <c r="D38" s="23">
        <v>83424</v>
      </c>
      <c r="E38" s="135">
        <f t="shared" si="5"/>
        <v>-0.31552071346375143</v>
      </c>
      <c r="F38" s="76">
        <v>1886531</v>
      </c>
      <c r="G38" s="76">
        <v>4134067</v>
      </c>
      <c r="H38" s="135">
        <f t="shared" si="6"/>
        <v>-0.54366220963520906</v>
      </c>
      <c r="I38" s="4"/>
      <c r="J38" s="4"/>
    </row>
    <row r="39" spans="1:10">
      <c r="A39" s="46" t="s">
        <v>336</v>
      </c>
      <c r="B39" s="22" t="s">
        <v>181</v>
      </c>
      <c r="C39" s="23">
        <v>97974</v>
      </c>
      <c r="D39" s="23">
        <v>104871</v>
      </c>
      <c r="E39" s="135">
        <f t="shared" si="5"/>
        <v>-6.5766513144720651E-2</v>
      </c>
      <c r="F39" s="76">
        <v>3950676</v>
      </c>
      <c r="G39" s="76">
        <v>2425845</v>
      </c>
      <c r="H39" s="135">
        <f t="shared" si="6"/>
        <v>0.62857725864595637</v>
      </c>
      <c r="I39" s="4"/>
      <c r="J39" s="4"/>
    </row>
    <row r="40" spans="1:10">
      <c r="A40" s="46" t="s">
        <v>211</v>
      </c>
      <c r="B40" s="22" t="s">
        <v>182</v>
      </c>
      <c r="C40" s="23">
        <v>507417</v>
      </c>
      <c r="D40" s="23">
        <v>886772</v>
      </c>
      <c r="E40" s="135">
        <f t="shared" si="5"/>
        <v>-0.42779316442106879</v>
      </c>
      <c r="F40" s="76">
        <v>9977266</v>
      </c>
      <c r="G40" s="76">
        <v>15010754</v>
      </c>
      <c r="H40" s="135">
        <f t="shared" si="6"/>
        <v>-0.33532546066639957</v>
      </c>
      <c r="I40" s="4"/>
      <c r="J40" s="4"/>
    </row>
    <row r="41" spans="1:10">
      <c r="A41" s="46" t="s">
        <v>337</v>
      </c>
      <c r="B41" s="22" t="s">
        <v>183</v>
      </c>
      <c r="C41" s="23">
        <v>14169</v>
      </c>
      <c r="D41" s="23">
        <v>44752</v>
      </c>
      <c r="E41" s="135">
        <f t="shared" si="5"/>
        <v>-0.68338845191276365</v>
      </c>
      <c r="F41" s="76">
        <v>171198</v>
      </c>
      <c r="G41" s="76">
        <v>573536</v>
      </c>
      <c r="H41" s="135">
        <f t="shared" si="6"/>
        <v>-0.70150435195000838</v>
      </c>
      <c r="I41" s="4"/>
      <c r="J41" s="4"/>
    </row>
    <row r="42" spans="1:10" ht="18.75" customHeight="1" thickBot="1">
      <c r="A42" s="132" t="s">
        <v>160</v>
      </c>
      <c r="B42" s="133"/>
      <c r="C42" s="63">
        <v>3466765</v>
      </c>
      <c r="D42" s="63">
        <v>6856581</v>
      </c>
      <c r="E42" s="136">
        <f t="shared" si="5"/>
        <v>-0.49438867563877681</v>
      </c>
      <c r="F42" s="77">
        <f>SUM(F20:F41)</f>
        <v>147619409</v>
      </c>
      <c r="G42" s="77">
        <v>235927716</v>
      </c>
      <c r="H42" s="136">
        <f t="shared" si="6"/>
        <v>-0.37430238590535075</v>
      </c>
    </row>
    <row r="43" spans="1:10" ht="9.75" customHeight="1" thickTop="1">
      <c r="A43" s="37"/>
      <c r="B43" s="52"/>
      <c r="C43" s="39"/>
      <c r="D43" s="39"/>
      <c r="E43" s="141"/>
      <c r="F43" s="39"/>
      <c r="G43" s="39"/>
      <c r="H43" s="40"/>
    </row>
    <row r="44" spans="1:10" ht="16.5">
      <c r="A44" s="53" t="s">
        <v>360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K5:K10">
    <cfRule type="cellIs" dxfId="339" priority="9" operator="greaterThanOrEqual">
      <formula>0</formula>
    </cfRule>
    <cfRule type="cellIs" dxfId="338" priority="10" operator="lessThan">
      <formula>0</formula>
    </cfRule>
  </conditionalFormatting>
  <conditionalFormatting sqref="K13">
    <cfRule type="cellIs" dxfId="337" priority="3" operator="greaterThanOrEqual">
      <formula>0</formula>
    </cfRule>
    <cfRule type="cellIs" dxfId="336" priority="4" operator="lessThan">
      <formula>0</formula>
    </cfRule>
  </conditionalFormatting>
  <conditionalFormatting sqref="H5:H14">
    <cfRule type="cellIs" dxfId="1" priority="1" operator="greaterThanOrEqual">
      <formula>0</formula>
    </cfRule>
    <cfRule type="cellIs" dxfId="0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 tint="-9.9978637043366805E-2"/>
    <pageSetUpPr fitToPage="1"/>
  </sheetPr>
  <dimension ref="A1:K46"/>
  <sheetViews>
    <sheetView topLeftCell="A25" zoomScaleNormal="100" workbookViewId="0">
      <selection activeCell="E42" sqref="E4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3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21" customHeight="1">
      <c r="A1" s="134" t="s">
        <v>235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137</v>
      </c>
      <c r="B3" s="6" t="s">
        <v>138</v>
      </c>
      <c r="C3" s="7" t="s">
        <v>236</v>
      </c>
      <c r="D3" s="7" t="s">
        <v>237</v>
      </c>
      <c r="E3" s="9" t="s">
        <v>186</v>
      </c>
      <c r="F3" s="74" t="s">
        <v>238</v>
      </c>
      <c r="G3" s="74" t="s">
        <v>239</v>
      </c>
      <c r="H3" s="9" t="s">
        <v>186</v>
      </c>
      <c r="I3" s="56" t="s">
        <v>187</v>
      </c>
      <c r="J3" s="56" t="s">
        <v>188</v>
      </c>
      <c r="K3" s="64" t="s">
        <v>189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14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17134</v>
      </c>
      <c r="D5" s="23">
        <v>1002</v>
      </c>
      <c r="E5" s="89">
        <f>IF(D5,(C5-D5)/D5,0)</f>
        <v>16.099800399201598</v>
      </c>
      <c r="F5" s="76">
        <v>4128398</v>
      </c>
      <c r="G5" s="76">
        <v>484247</v>
      </c>
      <c r="H5" s="90">
        <f>IF(G5,(F5-G5)/G5,0)</f>
        <v>7.525397163018047</v>
      </c>
      <c r="I5" s="25">
        <f>IF(C5,F5/C5,0)</f>
        <v>240.94770631492938</v>
      </c>
      <c r="J5" s="25">
        <f>IF(D5,G5/D5,0)</f>
        <v>483.2804391217565</v>
      </c>
      <c r="K5" s="89">
        <f t="shared" ref="K5:K14" si="0">IF(J5,(I5-J5)/J5,0)</f>
        <v>-0.50143294284206363</v>
      </c>
    </row>
    <row r="6" spans="1:11" ht="16.5">
      <c r="A6" s="26" t="s">
        <v>205</v>
      </c>
      <c r="B6" s="27" t="s">
        <v>148</v>
      </c>
      <c r="C6" s="23">
        <v>2432</v>
      </c>
      <c r="D6" s="23">
        <v>1009</v>
      </c>
      <c r="E6" s="89">
        <f t="shared" ref="E6:E14" si="1">IF(D6,(C6-D6)/D6,0)</f>
        <v>1.4103072348860257</v>
      </c>
      <c r="F6" s="76">
        <v>1460626</v>
      </c>
      <c r="G6" s="76">
        <v>885215</v>
      </c>
      <c r="H6" s="90">
        <f t="shared" ref="H6:H14" si="2">IF(G6,(F6-G6)/G6,0)</f>
        <v>0.65002400546759831</v>
      </c>
      <c r="I6" s="25">
        <f t="shared" ref="I6:J11" si="3">IF(C6,F6/C6,0)</f>
        <v>600.58634868421052</v>
      </c>
      <c r="J6" s="25">
        <f t="shared" si="3"/>
        <v>877.31912784935582</v>
      </c>
      <c r="K6" s="89">
        <f t="shared" si="0"/>
        <v>-0.31543000759999729</v>
      </c>
    </row>
    <row r="7" spans="1:11" ht="16.5">
      <c r="A7" s="21" t="s">
        <v>149</v>
      </c>
      <c r="B7" s="28" t="s">
        <v>150</v>
      </c>
      <c r="C7" s="23">
        <v>31</v>
      </c>
      <c r="D7" s="23">
        <v>39</v>
      </c>
      <c r="E7" s="89">
        <f t="shared" si="1"/>
        <v>-0.20512820512820512</v>
      </c>
      <c r="F7" s="76">
        <v>3126</v>
      </c>
      <c r="G7" s="76">
        <v>5780</v>
      </c>
      <c r="H7" s="90">
        <f t="shared" si="2"/>
        <v>-0.45916955017301037</v>
      </c>
      <c r="I7" s="25">
        <f t="shared" si="3"/>
        <v>100.83870967741936</v>
      </c>
      <c r="J7" s="25">
        <f t="shared" si="3"/>
        <v>148.2051282051282</v>
      </c>
      <c r="K7" s="89">
        <f t="shared" si="0"/>
        <v>-0.31960040183056143</v>
      </c>
    </row>
    <row r="8" spans="1:11" ht="16.5">
      <c r="A8" s="21" t="s">
        <v>151</v>
      </c>
      <c r="B8" s="28" t="s">
        <v>152</v>
      </c>
      <c r="C8" s="23">
        <v>437</v>
      </c>
      <c r="D8" s="23">
        <v>2</v>
      </c>
      <c r="E8" s="89">
        <f t="shared" si="1"/>
        <v>217.5</v>
      </c>
      <c r="F8" s="76">
        <v>267616</v>
      </c>
      <c r="G8" s="76">
        <v>1354</v>
      </c>
      <c r="H8" s="90">
        <f t="shared" si="2"/>
        <v>196.64844903988183</v>
      </c>
      <c r="I8" s="25">
        <f t="shared" si="3"/>
        <v>612.39359267734551</v>
      </c>
      <c r="J8" s="25">
        <f t="shared" si="3"/>
        <v>677</v>
      </c>
      <c r="K8" s="89">
        <f t="shared" si="0"/>
        <v>-9.5430439176742238E-2</v>
      </c>
    </row>
    <row r="9" spans="1:11" ht="16.5">
      <c r="A9" s="21" t="s">
        <v>153</v>
      </c>
      <c r="B9" s="28" t="s">
        <v>154</v>
      </c>
      <c r="C9" s="23">
        <v>17149</v>
      </c>
      <c r="D9" s="23">
        <v>2524</v>
      </c>
      <c r="E9" s="89">
        <f t="shared" si="1"/>
        <v>5.794374009508716</v>
      </c>
      <c r="F9" s="76">
        <v>8514413</v>
      </c>
      <c r="G9" s="76">
        <v>3203766</v>
      </c>
      <c r="H9" s="90">
        <f t="shared" si="2"/>
        <v>1.6576263684676096</v>
      </c>
      <c r="I9" s="25">
        <f t="shared" si="3"/>
        <v>496.49618053530816</v>
      </c>
      <c r="J9" s="25">
        <f t="shared" si="3"/>
        <v>1269.3209191759113</v>
      </c>
      <c r="K9" s="89">
        <f t="shared" si="0"/>
        <v>-0.60884897346712652</v>
      </c>
    </row>
    <row r="10" spans="1:11" ht="16.5">
      <c r="A10" s="21" t="s">
        <v>155</v>
      </c>
      <c r="B10" s="28" t="s">
        <v>156</v>
      </c>
      <c r="C10" s="23">
        <v>30625</v>
      </c>
      <c r="D10" s="23">
        <v>9279</v>
      </c>
      <c r="E10" s="89">
        <f t="shared" si="1"/>
        <v>2.300463412005604</v>
      </c>
      <c r="F10" s="76">
        <v>44797758</v>
      </c>
      <c r="G10" s="76">
        <v>12452755</v>
      </c>
      <c r="H10" s="90">
        <f t="shared" si="2"/>
        <v>2.597417438952264</v>
      </c>
      <c r="I10" s="25">
        <f t="shared" si="3"/>
        <v>1462.7839346938777</v>
      </c>
      <c r="J10" s="25">
        <f t="shared" si="3"/>
        <v>1342.0363185688113</v>
      </c>
      <c r="K10" s="89">
        <f t="shared" si="0"/>
        <v>8.9973433993079471E-2</v>
      </c>
    </row>
    <row r="11" spans="1:11" ht="17.25" thickBot="1">
      <c r="A11" s="30" t="s">
        <v>157</v>
      </c>
      <c r="B11" s="70" t="s">
        <v>158</v>
      </c>
      <c r="C11" s="63">
        <f>SUM(C5:C10)</f>
        <v>67808</v>
      </c>
      <c r="D11" s="63">
        <f>SUM(D5:D10)</f>
        <v>13855</v>
      </c>
      <c r="E11" s="91">
        <f t="shared" si="1"/>
        <v>3.8941176470588235</v>
      </c>
      <c r="F11" s="77">
        <f>SUM(F5:F10)</f>
        <v>59171937</v>
      </c>
      <c r="G11" s="77">
        <f>SUM(G5:G10)</f>
        <v>17033117</v>
      </c>
      <c r="H11" s="91">
        <f t="shared" si="2"/>
        <v>2.4739347472338737</v>
      </c>
      <c r="I11" s="71">
        <f t="shared" si="3"/>
        <v>872.63946731949034</v>
      </c>
      <c r="J11" s="72">
        <f t="shared" si="3"/>
        <v>1229.3841212558643</v>
      </c>
      <c r="K11" s="91">
        <f t="shared" si="0"/>
        <v>-0.29018160212769406</v>
      </c>
    </row>
    <row r="12" spans="1:11" ht="11.25" customHeight="1" thickTop="1">
      <c r="A12" s="33"/>
      <c r="B12" s="34"/>
      <c r="E12" s="68"/>
      <c r="F12" s="78"/>
      <c r="G12" s="78"/>
      <c r="H12" s="68"/>
      <c r="I12" s="35"/>
      <c r="J12" s="69"/>
      <c r="K12" s="61"/>
    </row>
    <row r="13" spans="1:11" ht="16.5">
      <c r="A13" s="21" t="s">
        <v>207</v>
      </c>
      <c r="B13" s="22" t="s">
        <v>159</v>
      </c>
      <c r="C13" s="23">
        <v>23</v>
      </c>
      <c r="D13" s="23">
        <v>56</v>
      </c>
      <c r="E13" s="89">
        <f t="shared" si="1"/>
        <v>-0.5892857142857143</v>
      </c>
      <c r="F13" s="76">
        <v>18910</v>
      </c>
      <c r="G13" s="76">
        <v>88706</v>
      </c>
      <c r="H13" s="92">
        <f t="shared" si="2"/>
        <v>-0.78682389015399179</v>
      </c>
      <c r="I13" s="25">
        <f t="shared" ref="I13:J13" si="4">IF(C13,F13/C13,0)</f>
        <v>822.17391304347825</v>
      </c>
      <c r="J13" s="25">
        <f t="shared" si="4"/>
        <v>1584.0357142857142</v>
      </c>
      <c r="K13" s="89">
        <f t="shared" si="0"/>
        <v>-0.48096251515754535</v>
      </c>
    </row>
    <row r="14" spans="1:11" ht="17.25" thickBot="1">
      <c r="A14" s="106" t="s">
        <v>160</v>
      </c>
      <c r="B14" s="105" t="s">
        <v>80</v>
      </c>
      <c r="C14" s="109">
        <f>C11+C13</f>
        <v>67831</v>
      </c>
      <c r="D14" s="31">
        <f>D11+D13</f>
        <v>13911</v>
      </c>
      <c r="E14" s="91">
        <f t="shared" si="1"/>
        <v>3.8760692976780966</v>
      </c>
      <c r="F14" s="77">
        <f>F11+F13</f>
        <v>59190847</v>
      </c>
      <c r="G14" s="108">
        <f>G11+G13</f>
        <v>17121823</v>
      </c>
      <c r="H14" s="93">
        <f t="shared" si="2"/>
        <v>2.4570411690390679</v>
      </c>
      <c r="I14" s="102">
        <f>F14/C14</f>
        <v>872.62235556014207</v>
      </c>
      <c r="J14" s="72">
        <f>G14/D14</f>
        <v>1230.8118036086551</v>
      </c>
      <c r="K14" s="91">
        <f t="shared" si="0"/>
        <v>-0.29101886007131739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240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236</v>
      </c>
      <c r="D18" s="7" t="s">
        <v>237</v>
      </c>
      <c r="E18" s="9" t="s">
        <v>186</v>
      </c>
      <c r="F18" s="74" t="s">
        <v>238</v>
      </c>
      <c r="G18" s="74" t="s">
        <v>239</v>
      </c>
      <c r="H18" s="9" t="s">
        <v>186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196</v>
      </c>
      <c r="I19" s="45"/>
      <c r="J19" s="44"/>
    </row>
    <row r="20" spans="1:10">
      <c r="A20" s="46" t="s">
        <v>208</v>
      </c>
      <c r="B20" s="22" t="s">
        <v>162</v>
      </c>
      <c r="C20" s="23">
        <v>2625</v>
      </c>
      <c r="D20" s="23">
        <v>3202</v>
      </c>
      <c r="E20" s="90">
        <f t="shared" ref="E20:E42" si="5">IF(D20,(C20-D20)/D20,0)</f>
        <v>-0.18019987507807619</v>
      </c>
      <c r="F20" s="76">
        <v>293188</v>
      </c>
      <c r="G20" s="76">
        <v>324241</v>
      </c>
      <c r="H20" s="94">
        <f t="shared" ref="H20:H42" si="6">IF(G20,(F20-G20)/G20,0)</f>
        <v>-9.5771355257354862E-2</v>
      </c>
      <c r="I20" s="4"/>
      <c r="J20" s="4"/>
    </row>
    <row r="21" spans="1:10">
      <c r="A21" s="46" t="s">
        <v>209</v>
      </c>
      <c r="B21" s="22" t="s">
        <v>163</v>
      </c>
      <c r="C21" s="23">
        <v>911</v>
      </c>
      <c r="D21" s="23">
        <v>388</v>
      </c>
      <c r="E21" s="90">
        <f t="shared" si="5"/>
        <v>1.347938144329897</v>
      </c>
      <c r="F21" s="76">
        <v>134659</v>
      </c>
      <c r="G21" s="76">
        <v>48426</v>
      </c>
      <c r="H21" s="94">
        <f t="shared" si="6"/>
        <v>1.7807169702226078</v>
      </c>
      <c r="I21" s="4"/>
      <c r="J21" s="4"/>
    </row>
    <row r="22" spans="1:10">
      <c r="A22" s="46">
        <v>87149120007</v>
      </c>
      <c r="B22" s="22" t="s">
        <v>164</v>
      </c>
      <c r="C22" s="23">
        <v>510898</v>
      </c>
      <c r="D22" s="23">
        <v>1145364</v>
      </c>
      <c r="E22" s="90">
        <f t="shared" si="5"/>
        <v>-0.55394267673857389</v>
      </c>
      <c r="F22" s="76">
        <v>23432942</v>
      </c>
      <c r="G22" s="76">
        <v>41960040</v>
      </c>
      <c r="H22" s="94">
        <f t="shared" si="6"/>
        <v>-0.44154147612824013</v>
      </c>
      <c r="I22" s="4"/>
      <c r="J22" s="4"/>
    </row>
    <row r="23" spans="1:10">
      <c r="A23" s="46">
        <v>87149200108</v>
      </c>
      <c r="B23" s="22" t="s">
        <v>165</v>
      </c>
      <c r="C23" s="23">
        <v>46194</v>
      </c>
      <c r="D23" s="23">
        <v>120408</v>
      </c>
      <c r="E23" s="90">
        <f t="shared" si="5"/>
        <v>-0.61635439505680689</v>
      </c>
      <c r="F23" s="76">
        <v>772951</v>
      </c>
      <c r="G23" s="76">
        <v>1193348</v>
      </c>
      <c r="H23" s="94">
        <f t="shared" si="6"/>
        <v>-0.35228365908351966</v>
      </c>
      <c r="I23" s="4"/>
      <c r="J23" s="4"/>
    </row>
    <row r="24" spans="1:10">
      <c r="A24" s="46">
        <v>87149200206</v>
      </c>
      <c r="B24" s="22" t="s">
        <v>166</v>
      </c>
      <c r="C24" s="23">
        <v>39452</v>
      </c>
      <c r="D24" s="23">
        <v>57930</v>
      </c>
      <c r="E24" s="90">
        <f t="shared" si="5"/>
        <v>-0.31897117210426379</v>
      </c>
      <c r="F24" s="76">
        <v>1150155</v>
      </c>
      <c r="G24" s="76">
        <v>1392248</v>
      </c>
      <c r="H24" s="94">
        <f t="shared" si="6"/>
        <v>-0.17388640529560825</v>
      </c>
      <c r="I24" s="4"/>
      <c r="J24" s="4"/>
    </row>
    <row r="25" spans="1:10">
      <c r="A25" s="46">
        <v>87149200304</v>
      </c>
      <c r="B25" s="22" t="s">
        <v>167</v>
      </c>
      <c r="C25" s="23">
        <v>16487</v>
      </c>
      <c r="D25" s="23">
        <v>11080</v>
      </c>
      <c r="E25" s="90">
        <f t="shared" si="5"/>
        <v>0.48799638989169675</v>
      </c>
      <c r="F25" s="76">
        <v>1760662</v>
      </c>
      <c r="G25" s="76">
        <v>1003656</v>
      </c>
      <c r="H25" s="94">
        <f t="shared" si="6"/>
        <v>0.75424846760244546</v>
      </c>
      <c r="I25" s="4"/>
      <c r="J25" s="4"/>
    </row>
    <row r="26" spans="1:10">
      <c r="A26" s="46">
        <v>87149310007</v>
      </c>
      <c r="B26" s="22" t="s">
        <v>168</v>
      </c>
      <c r="C26" s="23">
        <v>19965</v>
      </c>
      <c r="D26" s="23">
        <v>47355</v>
      </c>
      <c r="E26" s="90">
        <f t="shared" si="5"/>
        <v>-0.57839721254355403</v>
      </c>
      <c r="F26" s="76">
        <v>1508115</v>
      </c>
      <c r="G26" s="76">
        <v>4515289</v>
      </c>
      <c r="H26" s="94">
        <f t="shared" si="6"/>
        <v>-0.66599812326519958</v>
      </c>
      <c r="I26" s="4"/>
      <c r="J26" s="4"/>
    </row>
    <row r="27" spans="1:10">
      <c r="A27" s="46">
        <v>87149320103</v>
      </c>
      <c r="B27" s="22" t="s">
        <v>169</v>
      </c>
      <c r="C27" s="23">
        <v>3960</v>
      </c>
      <c r="D27" s="23">
        <v>3637</v>
      </c>
      <c r="E27" s="90">
        <f t="shared" si="5"/>
        <v>8.8809458344789663E-2</v>
      </c>
      <c r="F27" s="76">
        <v>199643</v>
      </c>
      <c r="G27" s="76">
        <v>169622</v>
      </c>
      <c r="H27" s="94">
        <f t="shared" si="6"/>
        <v>0.17698765490325546</v>
      </c>
      <c r="I27" s="4"/>
      <c r="J27" s="4"/>
    </row>
    <row r="28" spans="1:10">
      <c r="A28" s="46">
        <v>87149410006</v>
      </c>
      <c r="B28" s="22" t="s">
        <v>170</v>
      </c>
      <c r="C28" s="23">
        <v>942</v>
      </c>
      <c r="D28" s="23">
        <v>364</v>
      </c>
      <c r="E28" s="90">
        <f t="shared" si="5"/>
        <v>1.5879120879120878</v>
      </c>
      <c r="F28" s="76">
        <v>21293</v>
      </c>
      <c r="G28" s="76">
        <v>7595</v>
      </c>
      <c r="H28" s="94">
        <v>1.8036000000000001</v>
      </c>
      <c r="I28" s="4"/>
      <c r="J28" s="4"/>
    </row>
    <row r="29" spans="1:10">
      <c r="A29" s="46">
        <v>87149490009</v>
      </c>
      <c r="B29" s="22" t="s">
        <v>171</v>
      </c>
      <c r="C29" s="23">
        <v>300920</v>
      </c>
      <c r="D29" s="23">
        <v>1072429</v>
      </c>
      <c r="E29" s="90">
        <f t="shared" si="5"/>
        <v>-0.7194033357919265</v>
      </c>
      <c r="F29" s="76">
        <v>14227174</v>
      </c>
      <c r="G29" s="76">
        <v>34425499</v>
      </c>
      <c r="H29" s="94">
        <f t="shared" si="6"/>
        <v>-0.58672570003996161</v>
      </c>
      <c r="I29" s="4"/>
      <c r="J29" s="4"/>
    </row>
    <row r="30" spans="1:10">
      <c r="A30" s="46">
        <v>87149500007</v>
      </c>
      <c r="B30" s="22" t="s">
        <v>172</v>
      </c>
      <c r="C30" s="23">
        <v>13404</v>
      </c>
      <c r="D30" s="23">
        <v>17266</v>
      </c>
      <c r="E30" s="90">
        <f t="shared" si="5"/>
        <v>-0.22367658982972316</v>
      </c>
      <c r="F30" s="76">
        <v>585975</v>
      </c>
      <c r="G30" s="76">
        <v>690158</v>
      </c>
      <c r="H30" s="94">
        <f t="shared" si="6"/>
        <v>-0.15095528849915527</v>
      </c>
      <c r="I30" s="4"/>
      <c r="J30" s="4"/>
    </row>
    <row r="31" spans="1:10">
      <c r="A31" s="46">
        <v>87149610004</v>
      </c>
      <c r="B31" s="22" t="s">
        <v>173</v>
      </c>
      <c r="C31" s="23">
        <v>43714</v>
      </c>
      <c r="D31" s="23">
        <v>113042</v>
      </c>
      <c r="E31" s="90">
        <f t="shared" si="5"/>
        <v>-0.61329417384688878</v>
      </c>
      <c r="F31" s="76">
        <v>782141</v>
      </c>
      <c r="G31" s="76">
        <v>1934486</v>
      </c>
      <c r="H31" s="94">
        <f t="shared" si="6"/>
        <v>-0.59568536551828233</v>
      </c>
      <c r="I31" s="4"/>
      <c r="J31" s="4"/>
    </row>
    <row r="32" spans="1:10">
      <c r="A32" s="46">
        <v>87149620002</v>
      </c>
      <c r="B32" s="22" t="s">
        <v>174</v>
      </c>
      <c r="C32" s="23">
        <v>120134</v>
      </c>
      <c r="D32" s="23">
        <v>174812</v>
      </c>
      <c r="E32" s="90">
        <f t="shared" si="5"/>
        <v>-0.31278173123126557</v>
      </c>
      <c r="F32" s="76">
        <v>5815784</v>
      </c>
      <c r="G32" s="76">
        <v>6734805</v>
      </c>
      <c r="H32" s="94">
        <f t="shared" si="6"/>
        <v>-0.13645844237509475</v>
      </c>
      <c r="I32" s="4"/>
      <c r="J32" s="4"/>
    </row>
    <row r="33" spans="1:10">
      <c r="A33" s="46" t="s">
        <v>210</v>
      </c>
      <c r="B33" s="22" t="s">
        <v>175</v>
      </c>
      <c r="C33" s="23">
        <v>40791</v>
      </c>
      <c r="D33" s="23">
        <v>61874</v>
      </c>
      <c r="E33" s="90">
        <f t="shared" si="5"/>
        <v>-0.34074086045835084</v>
      </c>
      <c r="F33" s="76">
        <v>1148509</v>
      </c>
      <c r="G33" s="76">
        <v>1571296</v>
      </c>
      <c r="H33" s="94">
        <f t="shared" si="6"/>
        <v>-0.26906897236421401</v>
      </c>
      <c r="I33" s="4"/>
      <c r="J33" s="4"/>
    </row>
    <row r="34" spans="1:10">
      <c r="A34" s="46">
        <v>87149990111</v>
      </c>
      <c r="B34" s="22" t="s">
        <v>176</v>
      </c>
      <c r="C34" s="23">
        <v>84684</v>
      </c>
      <c r="D34" s="23">
        <v>95572</v>
      </c>
      <c r="E34" s="90">
        <f t="shared" si="5"/>
        <v>-0.11392458042104382</v>
      </c>
      <c r="F34" s="76">
        <v>8957011</v>
      </c>
      <c r="G34" s="76">
        <v>8333237</v>
      </c>
      <c r="H34" s="94">
        <f t="shared" si="6"/>
        <v>7.4853745309295769E-2</v>
      </c>
      <c r="I34" s="4"/>
      <c r="J34" s="4"/>
    </row>
    <row r="35" spans="1:10">
      <c r="A35" s="46">
        <v>87149320906</v>
      </c>
      <c r="B35" s="22" t="s">
        <v>177</v>
      </c>
      <c r="C35" s="23">
        <v>155391</v>
      </c>
      <c r="D35" s="23">
        <v>102303</v>
      </c>
      <c r="E35" s="90">
        <f t="shared" si="5"/>
        <v>0.51892906366382219</v>
      </c>
      <c r="F35" s="76">
        <v>5291947</v>
      </c>
      <c r="G35" s="76">
        <v>2744391</v>
      </c>
      <c r="H35" s="94">
        <f t="shared" si="6"/>
        <v>0.92827734823500008</v>
      </c>
      <c r="I35" s="4"/>
      <c r="J35" s="4"/>
    </row>
    <row r="36" spans="1:10">
      <c r="A36" s="46">
        <v>87149990139</v>
      </c>
      <c r="B36" s="22" t="s">
        <v>178</v>
      </c>
      <c r="C36" s="23">
        <v>6017</v>
      </c>
      <c r="D36" s="23">
        <v>12940</v>
      </c>
      <c r="E36" s="90">
        <f t="shared" si="5"/>
        <v>-0.53500772797527052</v>
      </c>
      <c r="F36" s="76">
        <v>137179</v>
      </c>
      <c r="G36" s="76">
        <v>313425</v>
      </c>
      <c r="H36" s="94">
        <f t="shared" si="6"/>
        <v>-0.56232272473478506</v>
      </c>
      <c r="I36" s="4"/>
      <c r="J36" s="4"/>
    </row>
    <row r="37" spans="1:10">
      <c r="A37" s="46">
        <v>87149990148</v>
      </c>
      <c r="B37" s="22" t="s">
        <v>179</v>
      </c>
      <c r="C37" s="23">
        <v>13086</v>
      </c>
      <c r="D37" s="23">
        <v>39657</v>
      </c>
      <c r="E37" s="90">
        <f t="shared" si="5"/>
        <v>-0.67002042514562377</v>
      </c>
      <c r="F37" s="76">
        <v>584036</v>
      </c>
      <c r="G37" s="76">
        <v>1106050</v>
      </c>
      <c r="H37" s="94">
        <f t="shared" si="6"/>
        <v>-0.47196238868043938</v>
      </c>
      <c r="I37" s="4"/>
      <c r="J37" s="4"/>
    </row>
    <row r="38" spans="1:10">
      <c r="A38" s="46">
        <v>87149990157</v>
      </c>
      <c r="B38" s="22" t="s">
        <v>180</v>
      </c>
      <c r="C38" s="23">
        <v>22295</v>
      </c>
      <c r="D38" s="23">
        <v>38674</v>
      </c>
      <c r="E38" s="90">
        <f t="shared" si="5"/>
        <v>-0.42351450586957645</v>
      </c>
      <c r="F38" s="76">
        <v>929244</v>
      </c>
      <c r="G38" s="76">
        <v>1911226</v>
      </c>
      <c r="H38" s="94">
        <f t="shared" si="6"/>
        <v>-0.51379690313966009</v>
      </c>
      <c r="I38" s="4"/>
      <c r="J38" s="4"/>
    </row>
    <row r="39" spans="1:10">
      <c r="A39" s="46">
        <v>87149990166</v>
      </c>
      <c r="B39" s="22" t="s">
        <v>181</v>
      </c>
      <c r="C39" s="23">
        <v>48233</v>
      </c>
      <c r="D39" s="23">
        <v>55408</v>
      </c>
      <c r="E39" s="90">
        <f t="shared" si="5"/>
        <v>-0.12949393589373376</v>
      </c>
      <c r="F39" s="76">
        <v>1796477</v>
      </c>
      <c r="G39" s="76">
        <v>1222726</v>
      </c>
      <c r="H39" s="94">
        <f t="shared" si="6"/>
        <v>0.46923922448692512</v>
      </c>
      <c r="I39" s="4"/>
      <c r="J39" s="4"/>
    </row>
    <row r="40" spans="1:10">
      <c r="A40" s="46" t="s">
        <v>211</v>
      </c>
      <c r="B40" s="22" t="s">
        <v>182</v>
      </c>
      <c r="C40" s="23">
        <v>224431</v>
      </c>
      <c r="D40" s="23">
        <v>329552</v>
      </c>
      <c r="E40" s="90">
        <f t="shared" si="5"/>
        <v>-0.31898152643588873</v>
      </c>
      <c r="F40" s="76">
        <v>4288938</v>
      </c>
      <c r="G40" s="76">
        <v>5969918</v>
      </c>
      <c r="H40" s="94">
        <f t="shared" si="6"/>
        <v>-0.28157505680982553</v>
      </c>
      <c r="I40" s="4"/>
      <c r="J40" s="4"/>
    </row>
    <row r="41" spans="1:10">
      <c r="A41" s="46" t="s">
        <v>212</v>
      </c>
      <c r="B41" s="22" t="s">
        <v>183</v>
      </c>
      <c r="C41" s="23">
        <v>6591</v>
      </c>
      <c r="D41" s="23">
        <v>17038</v>
      </c>
      <c r="E41" s="90">
        <f t="shared" si="5"/>
        <v>-0.61315882145791756</v>
      </c>
      <c r="F41" s="76">
        <v>75466</v>
      </c>
      <c r="G41" s="76">
        <v>274613</v>
      </c>
      <c r="H41" s="94">
        <f t="shared" si="6"/>
        <v>-0.72519145124229367</v>
      </c>
      <c r="I41" s="4"/>
      <c r="J41" s="4"/>
    </row>
    <row r="42" spans="1:10" ht="18.75" customHeight="1" thickBot="1">
      <c r="A42" s="132" t="s">
        <v>160</v>
      </c>
      <c r="B42" s="133"/>
      <c r="C42" s="63">
        <f>SUM(C20:C41)</f>
        <v>1721125</v>
      </c>
      <c r="D42" s="63">
        <f>SUM(D20:D41)</f>
        <v>3520295</v>
      </c>
      <c r="E42" s="91">
        <f t="shared" si="5"/>
        <v>-0.51108500850070804</v>
      </c>
      <c r="F42" s="77">
        <f>SUM(F20:F41)</f>
        <v>73893489</v>
      </c>
      <c r="G42" s="77">
        <f>SUM(G20:G41)</f>
        <v>117846295</v>
      </c>
      <c r="H42" s="91">
        <f t="shared" si="6"/>
        <v>-0.37296722820178607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189" priority="9" operator="greaterThanOrEqual">
      <formula>0</formula>
    </cfRule>
    <cfRule type="cellIs" dxfId="188" priority="10" operator="lessThan">
      <formula>0</formula>
    </cfRule>
  </conditionalFormatting>
  <conditionalFormatting sqref="E13">
    <cfRule type="cellIs" dxfId="187" priority="5" operator="greaterThanOrEqual">
      <formula>0</formula>
    </cfRule>
    <cfRule type="cellIs" dxfId="186" priority="6" operator="lessThan">
      <formula>0</formula>
    </cfRule>
  </conditionalFormatting>
  <conditionalFormatting sqref="E20:E41">
    <cfRule type="cellIs" dxfId="185" priority="13" operator="greaterThanOrEqual">
      <formula>0</formula>
    </cfRule>
    <cfRule type="cellIs" dxfId="184" priority="14" operator="lessThan">
      <formula>0</formula>
    </cfRule>
  </conditionalFormatting>
  <conditionalFormatting sqref="H5:H10">
    <cfRule type="cellIs" dxfId="183" priority="11" operator="greaterThanOrEqual">
      <formula>0</formula>
    </cfRule>
    <cfRule type="cellIs" dxfId="182" priority="12" operator="lessThan">
      <formula>0</formula>
    </cfRule>
  </conditionalFormatting>
  <conditionalFormatting sqref="H13">
    <cfRule type="cellIs" dxfId="181" priority="3" operator="greaterThanOrEqual">
      <formula>0</formula>
    </cfRule>
    <cfRule type="cellIs" dxfId="180" priority="4" operator="lessThan">
      <formula>0</formula>
    </cfRule>
  </conditionalFormatting>
  <conditionalFormatting sqref="K5:K10">
    <cfRule type="cellIs" dxfId="179" priority="7" operator="greaterThanOrEqual">
      <formula>0</formula>
    </cfRule>
    <cfRule type="cellIs" dxfId="178" priority="8" operator="lessThan">
      <formula>0</formula>
    </cfRule>
  </conditionalFormatting>
  <conditionalFormatting sqref="K13">
    <cfRule type="cellIs" dxfId="177" priority="1" operator="greaterThanOrEqual">
      <formula>0</formula>
    </cfRule>
    <cfRule type="cellIs" dxfId="176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-9.9978637043366805E-2"/>
  </sheetPr>
  <dimension ref="A1:K46"/>
  <sheetViews>
    <sheetView zoomScaleNormal="100" workbookViewId="0">
      <selection activeCell="C38" sqref="C38"/>
    </sheetView>
  </sheetViews>
  <sheetFormatPr defaultRowHeight="15.75"/>
  <cols>
    <col min="1" max="1" width="14.5" style="2" customWidth="1"/>
    <col min="2" max="2" width="26.375" style="3" customWidth="1"/>
    <col min="3" max="3" width="15.5" style="4" customWidth="1"/>
    <col min="4" max="4" width="16.2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131" t="s">
        <v>241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137</v>
      </c>
      <c r="B3" s="6" t="s">
        <v>138</v>
      </c>
      <c r="C3" s="7" t="s">
        <v>236</v>
      </c>
      <c r="D3" s="7" t="s">
        <v>237</v>
      </c>
      <c r="E3" s="9" t="s">
        <v>197</v>
      </c>
      <c r="F3" s="74" t="s">
        <v>238</v>
      </c>
      <c r="G3" s="74" t="s">
        <v>239</v>
      </c>
      <c r="H3" s="9" t="s">
        <v>197</v>
      </c>
      <c r="I3" s="56" t="s">
        <v>187</v>
      </c>
      <c r="J3" s="56" t="s">
        <v>227</v>
      </c>
      <c r="K3" s="64" t="s">
        <v>226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65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19876</v>
      </c>
      <c r="D5" s="23">
        <v>12802</v>
      </c>
      <c r="E5" s="89">
        <f>IF(D5,(C5-D5)/D5,0)</f>
        <v>0.55256991095141383</v>
      </c>
      <c r="F5" s="76">
        <v>1313984</v>
      </c>
      <c r="G5" s="76">
        <v>922148</v>
      </c>
      <c r="H5" s="90">
        <f t="shared" ref="H5:H14" si="0">(F5-G5)/G5</f>
        <v>0.424916607746262</v>
      </c>
      <c r="I5" s="25">
        <f t="shared" ref="I5:J11" si="1">F5/C5</f>
        <v>66.109076272891926</v>
      </c>
      <c r="J5" s="25">
        <f t="shared" si="1"/>
        <v>72.031557569129816</v>
      </c>
      <c r="K5" s="89">
        <f t="shared" ref="K5:K14" si="2">(I5-J5)/J5</f>
        <v>-8.2220647395469582E-2</v>
      </c>
    </row>
    <row r="6" spans="1:11" ht="16.5">
      <c r="A6" s="26" t="s">
        <v>205</v>
      </c>
      <c r="B6" s="27" t="s">
        <v>148</v>
      </c>
      <c r="C6" s="23">
        <v>12016</v>
      </c>
      <c r="D6" s="23">
        <v>16458</v>
      </c>
      <c r="E6" s="89">
        <f t="shared" ref="E6:E14" si="3">IF(D6,(C6-D6)/D6,0)</f>
        <v>-0.26989913719771541</v>
      </c>
      <c r="F6" s="76">
        <v>1197069</v>
      </c>
      <c r="G6" s="76">
        <v>1771243</v>
      </c>
      <c r="H6" s="90">
        <f t="shared" si="0"/>
        <v>-0.32416444271057104</v>
      </c>
      <c r="I6" s="25">
        <f t="shared" si="1"/>
        <v>99.622919440745676</v>
      </c>
      <c r="J6" s="25">
        <f t="shared" si="1"/>
        <v>107.62200753432981</v>
      </c>
      <c r="K6" s="89">
        <f t="shared" si="2"/>
        <v>-7.4325765490227874E-2</v>
      </c>
    </row>
    <row r="7" spans="1:11" ht="16.5">
      <c r="A7" s="21" t="s">
        <v>149</v>
      </c>
      <c r="B7" s="28" t="s">
        <v>150</v>
      </c>
      <c r="C7" s="23">
        <v>17860</v>
      </c>
      <c r="D7" s="23">
        <v>15051</v>
      </c>
      <c r="E7" s="89">
        <f t="shared" si="3"/>
        <v>0.18663211746727792</v>
      </c>
      <c r="F7" s="76">
        <v>1044877</v>
      </c>
      <c r="G7" s="76">
        <v>931809</v>
      </c>
      <c r="H7" s="90">
        <f t="shared" si="0"/>
        <v>0.12134246395988878</v>
      </c>
      <c r="I7" s="25">
        <f t="shared" si="1"/>
        <v>58.503751399776036</v>
      </c>
      <c r="J7" s="25">
        <f t="shared" si="1"/>
        <v>61.910105640821207</v>
      </c>
      <c r="K7" s="89">
        <f t="shared" si="2"/>
        <v>-5.5020972840969427E-2</v>
      </c>
    </row>
    <row r="8" spans="1:11" ht="16.5">
      <c r="A8" s="21" t="s">
        <v>151</v>
      </c>
      <c r="B8" s="28" t="s">
        <v>152</v>
      </c>
      <c r="C8" s="23">
        <v>27178</v>
      </c>
      <c r="D8" s="23">
        <v>31269</v>
      </c>
      <c r="E8" s="89">
        <f t="shared" si="3"/>
        <v>-0.13083245386804823</v>
      </c>
      <c r="F8" s="76">
        <v>3167053</v>
      </c>
      <c r="G8" s="76">
        <v>4164915</v>
      </c>
      <c r="H8" s="90">
        <f t="shared" si="0"/>
        <v>-0.23958760262814488</v>
      </c>
      <c r="I8" s="25">
        <f t="shared" si="1"/>
        <v>116.53002428434763</v>
      </c>
      <c r="J8" s="25">
        <f t="shared" si="1"/>
        <v>133.19629665163581</v>
      </c>
      <c r="K8" s="89">
        <f t="shared" si="2"/>
        <v>-0.12512564377730009</v>
      </c>
    </row>
    <row r="9" spans="1:11" ht="16.5">
      <c r="A9" s="21" t="s">
        <v>153</v>
      </c>
      <c r="B9" s="28" t="s">
        <v>154</v>
      </c>
      <c r="C9" s="23">
        <v>7290</v>
      </c>
      <c r="D9" s="23">
        <v>9929</v>
      </c>
      <c r="E9" s="89">
        <f t="shared" si="3"/>
        <v>-0.26578708832712256</v>
      </c>
      <c r="F9" s="76">
        <v>838179</v>
      </c>
      <c r="G9" s="76">
        <v>1200475</v>
      </c>
      <c r="H9" s="90">
        <f t="shared" si="0"/>
        <v>-0.30179387325850182</v>
      </c>
      <c r="I9" s="25">
        <f t="shared" si="1"/>
        <v>114.97654320987654</v>
      </c>
      <c r="J9" s="25">
        <f t="shared" si="1"/>
        <v>120.90593211803807</v>
      </c>
      <c r="K9" s="89">
        <f t="shared" si="2"/>
        <v>-4.9041339860585023E-2</v>
      </c>
    </row>
    <row r="10" spans="1:11" ht="16.5">
      <c r="A10" s="21" t="s">
        <v>155</v>
      </c>
      <c r="B10" s="28" t="s">
        <v>156</v>
      </c>
      <c r="C10" s="23">
        <v>8889</v>
      </c>
      <c r="D10" s="23">
        <v>7086</v>
      </c>
      <c r="E10" s="89">
        <f t="shared" si="3"/>
        <v>0.25444538526672311</v>
      </c>
      <c r="F10" s="76">
        <v>1667612</v>
      </c>
      <c r="G10" s="76">
        <v>1558641</v>
      </c>
      <c r="H10" s="90">
        <f t="shared" si="0"/>
        <v>6.9914111074968519E-2</v>
      </c>
      <c r="I10" s="25">
        <f t="shared" si="1"/>
        <v>187.60400494993812</v>
      </c>
      <c r="J10" s="25">
        <f t="shared" si="1"/>
        <v>219.96062658763759</v>
      </c>
      <c r="K10" s="89">
        <f t="shared" si="2"/>
        <v>-0.14710187973031538</v>
      </c>
    </row>
    <row r="11" spans="1:11" ht="17.25" thickBot="1">
      <c r="A11" s="48" t="s">
        <v>157</v>
      </c>
      <c r="B11" s="70" t="s">
        <v>158</v>
      </c>
      <c r="C11" s="63">
        <f>SUM(C5:C10)</f>
        <v>93109</v>
      </c>
      <c r="D11" s="63">
        <f>SUM(D5:D10)</f>
        <v>92595</v>
      </c>
      <c r="E11" s="91">
        <f t="shared" si="3"/>
        <v>5.5510556725525137E-3</v>
      </c>
      <c r="F11" s="77">
        <f>SUM(F5:F10)</f>
        <v>9228774</v>
      </c>
      <c r="G11" s="77">
        <f>SUM(G5:G10)</f>
        <v>10549231</v>
      </c>
      <c r="H11" s="91">
        <f t="shared" si="0"/>
        <v>-0.1251709247811523</v>
      </c>
      <c r="I11" s="102">
        <f t="shared" si="1"/>
        <v>99.117958521732589</v>
      </c>
      <c r="J11" s="72">
        <f t="shared" si="1"/>
        <v>113.92873265295103</v>
      </c>
      <c r="K11" s="91">
        <f t="shared" si="2"/>
        <v>-0.13000034132157795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207</v>
      </c>
      <c r="B13" s="22" t="s">
        <v>159</v>
      </c>
      <c r="C13" s="23">
        <v>653</v>
      </c>
      <c r="D13" s="23">
        <v>330</v>
      </c>
      <c r="E13" s="89">
        <f t="shared" si="3"/>
        <v>0.97878787878787876</v>
      </c>
      <c r="F13" s="76">
        <v>34136</v>
      </c>
      <c r="G13" s="76">
        <v>76125</v>
      </c>
      <c r="H13" s="92">
        <f t="shared" si="0"/>
        <v>-0.55157963875205251</v>
      </c>
      <c r="I13" s="25">
        <f>F13/C13</f>
        <v>52.275650842266465</v>
      </c>
      <c r="J13" s="25">
        <f>G13/D13</f>
        <v>230.68181818181819</v>
      </c>
      <c r="K13" s="89">
        <f t="shared" si="2"/>
        <v>-0.77338634117638183</v>
      </c>
    </row>
    <row r="14" spans="1:11" ht="17.25" thickBot="1">
      <c r="A14" s="48" t="s">
        <v>160</v>
      </c>
      <c r="B14" s="73" t="s">
        <v>80</v>
      </c>
      <c r="C14" s="109">
        <f>C11+C13</f>
        <v>93762</v>
      </c>
      <c r="D14" s="31">
        <f>D11+D13</f>
        <v>92925</v>
      </c>
      <c r="E14" s="91">
        <f t="shared" si="3"/>
        <v>9.0072639225181605E-3</v>
      </c>
      <c r="F14" s="77">
        <f>F11+F13</f>
        <v>9262910</v>
      </c>
      <c r="G14" s="108">
        <f>G11+G13</f>
        <v>10625356</v>
      </c>
      <c r="H14" s="93">
        <f t="shared" si="0"/>
        <v>-0.12822591544226847</v>
      </c>
      <c r="I14" s="102">
        <f>F14/C14</f>
        <v>98.791727992150342</v>
      </c>
      <c r="J14" s="72">
        <f>G14/D14</f>
        <v>114.34335216572505</v>
      </c>
      <c r="K14" s="91">
        <f t="shared" si="2"/>
        <v>-0.13600811834722806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242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236</v>
      </c>
      <c r="D18" s="7" t="s">
        <v>237</v>
      </c>
      <c r="E18" s="9" t="s">
        <v>197</v>
      </c>
      <c r="F18" s="74" t="s">
        <v>238</v>
      </c>
      <c r="G18" s="74" t="s">
        <v>239</v>
      </c>
      <c r="H18" s="9" t="s">
        <v>197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193</v>
      </c>
      <c r="I19" s="4"/>
      <c r="J19" s="4"/>
    </row>
    <row r="20" spans="1:10">
      <c r="A20" s="46" t="s">
        <v>208</v>
      </c>
      <c r="B20" s="22" t="s">
        <v>162</v>
      </c>
      <c r="C20" s="23">
        <v>13663</v>
      </c>
      <c r="D20" s="23">
        <v>28148</v>
      </c>
      <c r="E20" s="90">
        <f>(C20-D20)/D20</f>
        <v>-0.51460139263890858</v>
      </c>
      <c r="F20" s="76">
        <v>796035</v>
      </c>
      <c r="G20" s="76">
        <v>1490655</v>
      </c>
      <c r="H20" s="94">
        <f t="shared" ref="H20:H24" si="4">IF(G20,(F20-G20)/G20,0)</f>
        <v>-0.46598307455447435</v>
      </c>
      <c r="I20" s="4"/>
      <c r="J20" s="4"/>
    </row>
    <row r="21" spans="1:10">
      <c r="A21" s="46" t="s">
        <v>209</v>
      </c>
      <c r="B21" s="22" t="s">
        <v>163</v>
      </c>
      <c r="C21" s="23">
        <v>11161</v>
      </c>
      <c r="D21" s="23">
        <v>15942</v>
      </c>
      <c r="E21" s="90">
        <f t="shared" ref="E21:E41" si="5">IF(D21,(C21-D21)/D21,0)</f>
        <v>-0.29989963618115667</v>
      </c>
      <c r="F21" s="76">
        <v>755173</v>
      </c>
      <c r="G21" s="76">
        <v>994046</v>
      </c>
      <c r="H21" s="94">
        <f t="shared" si="4"/>
        <v>-0.24030376863847347</v>
      </c>
      <c r="I21" s="4"/>
      <c r="J21" s="4"/>
    </row>
    <row r="22" spans="1:10">
      <c r="A22" s="46">
        <v>87149120007</v>
      </c>
      <c r="B22" s="22" t="s">
        <v>164</v>
      </c>
      <c r="C22" s="23">
        <v>2990830</v>
      </c>
      <c r="D22" s="23">
        <v>5607203</v>
      </c>
      <c r="E22" s="90">
        <f t="shared" si="5"/>
        <v>-0.46660928808890995</v>
      </c>
      <c r="F22" s="76">
        <v>166689100</v>
      </c>
      <c r="G22" s="76">
        <v>216579116</v>
      </c>
      <c r="H22" s="94">
        <f t="shared" si="4"/>
        <v>-0.23035469403245695</v>
      </c>
      <c r="I22" s="4"/>
      <c r="J22" s="4"/>
    </row>
    <row r="23" spans="1:10">
      <c r="A23" s="46">
        <v>87149200108</v>
      </c>
      <c r="B23" s="22" t="s">
        <v>165</v>
      </c>
      <c r="C23" s="23">
        <v>454219</v>
      </c>
      <c r="D23" s="23">
        <v>798529</v>
      </c>
      <c r="E23" s="90">
        <f t="shared" si="5"/>
        <v>-0.43118033283700402</v>
      </c>
      <c r="F23" s="76">
        <v>31500057</v>
      </c>
      <c r="G23" s="76">
        <v>39913387</v>
      </c>
      <c r="H23" s="94">
        <f t="shared" si="4"/>
        <v>-0.21078967815986149</v>
      </c>
      <c r="I23" s="4"/>
      <c r="J23" s="4"/>
    </row>
    <row r="24" spans="1:10">
      <c r="A24" s="46">
        <v>87149200206</v>
      </c>
      <c r="B24" s="22" t="s">
        <v>166</v>
      </c>
      <c r="C24" s="23">
        <v>28696</v>
      </c>
      <c r="D24" s="23">
        <v>52774</v>
      </c>
      <c r="E24" s="90">
        <f t="shared" si="5"/>
        <v>-0.45624739455034674</v>
      </c>
      <c r="F24" s="76">
        <v>473270</v>
      </c>
      <c r="G24" s="76">
        <v>782650</v>
      </c>
      <c r="H24" s="94">
        <f t="shared" si="4"/>
        <v>-0.39529802593751995</v>
      </c>
      <c r="I24" s="4"/>
      <c r="J24" s="4"/>
    </row>
    <row r="25" spans="1:10">
      <c r="A25" s="46">
        <v>87149200304</v>
      </c>
      <c r="B25" s="22" t="s">
        <v>167</v>
      </c>
      <c r="C25" s="23">
        <v>74322</v>
      </c>
      <c r="D25" s="23">
        <v>158564</v>
      </c>
      <c r="E25" s="90">
        <f t="shared" si="5"/>
        <v>-0.5312807446835347</v>
      </c>
      <c r="F25" s="76">
        <v>1231181</v>
      </c>
      <c r="G25" s="76">
        <v>1923681</v>
      </c>
      <c r="H25" s="94">
        <f>IF(G25,(F25-G25)/G25,0)</f>
        <v>-0.35998692090840423</v>
      </c>
      <c r="I25" s="4"/>
      <c r="J25" s="4"/>
    </row>
    <row r="26" spans="1:10">
      <c r="A26" s="46">
        <v>87149310007</v>
      </c>
      <c r="B26" s="22" t="s">
        <v>168</v>
      </c>
      <c r="C26" s="23">
        <v>490507</v>
      </c>
      <c r="D26" s="23">
        <v>940012</v>
      </c>
      <c r="E26" s="90">
        <f t="shared" si="5"/>
        <v>-0.47819070394846025</v>
      </c>
      <c r="F26" s="76">
        <v>15249109</v>
      </c>
      <c r="G26" s="76">
        <v>19581031</v>
      </c>
      <c r="H26" s="94">
        <f t="shared" ref="H26:H41" si="6">IF(G26,(F26-G26)/G26,0)</f>
        <v>-0.22123053683945448</v>
      </c>
      <c r="I26" s="4"/>
      <c r="J26" s="4"/>
    </row>
    <row r="27" spans="1:10">
      <c r="A27" s="46">
        <v>87149320103</v>
      </c>
      <c r="B27" s="22" t="s">
        <v>169</v>
      </c>
      <c r="C27" s="23">
        <v>2659</v>
      </c>
      <c r="D27" s="23">
        <v>2921</v>
      </c>
      <c r="E27" s="90">
        <f>IF(D27,(C27-D27)/D27,0)</f>
        <v>-8.9695309825402261E-2</v>
      </c>
      <c r="F27" s="76">
        <v>29210</v>
      </c>
      <c r="G27" s="76">
        <v>36170</v>
      </c>
      <c r="H27" s="94">
        <f t="shared" si="6"/>
        <v>-0.19242466132153718</v>
      </c>
      <c r="I27" s="4"/>
      <c r="J27" s="4"/>
    </row>
    <row r="28" spans="1:10">
      <c r="A28" s="46" t="s">
        <v>243</v>
      </c>
      <c r="B28" s="22" t="s">
        <v>170</v>
      </c>
      <c r="C28" s="23">
        <v>29970</v>
      </c>
      <c r="D28" s="23">
        <v>24558</v>
      </c>
      <c r="E28" s="90">
        <f t="shared" si="5"/>
        <v>0.22037625213779624</v>
      </c>
      <c r="F28" s="76">
        <v>232374</v>
      </c>
      <c r="G28" s="76">
        <v>405727</v>
      </c>
      <c r="H28" s="94">
        <f t="shared" si="6"/>
        <v>-0.42726513148003459</v>
      </c>
      <c r="I28" s="4"/>
      <c r="J28" s="4"/>
    </row>
    <row r="29" spans="1:10">
      <c r="A29" s="46">
        <v>87149490009</v>
      </c>
      <c r="B29" s="22" t="s">
        <v>171</v>
      </c>
      <c r="C29" s="23">
        <v>369274</v>
      </c>
      <c r="D29" s="23">
        <v>1704294</v>
      </c>
      <c r="E29" s="90">
        <f t="shared" si="5"/>
        <v>-0.78332728977512101</v>
      </c>
      <c r="F29" s="76">
        <v>6368554</v>
      </c>
      <c r="G29" s="76">
        <v>25451414</v>
      </c>
      <c r="H29" s="94">
        <f t="shared" si="6"/>
        <v>-0.74977602423189538</v>
      </c>
      <c r="I29" s="4"/>
      <c r="J29" s="4"/>
    </row>
    <row r="30" spans="1:10">
      <c r="A30" s="46">
        <v>87149500007</v>
      </c>
      <c r="B30" s="22" t="s">
        <v>172</v>
      </c>
      <c r="C30" s="23">
        <v>341923</v>
      </c>
      <c r="D30" s="23">
        <v>971616</v>
      </c>
      <c r="E30" s="90">
        <f t="shared" si="5"/>
        <v>-0.64808833942627542</v>
      </c>
      <c r="F30" s="76">
        <v>3592320</v>
      </c>
      <c r="G30" s="76">
        <v>14427173</v>
      </c>
      <c r="H30" s="94">
        <f t="shared" si="6"/>
        <v>-0.75100319376498781</v>
      </c>
      <c r="I30" s="4"/>
      <c r="J30" s="4"/>
    </row>
    <row r="31" spans="1:10">
      <c r="A31" s="46">
        <v>87149610004</v>
      </c>
      <c r="B31" s="22" t="s">
        <v>173</v>
      </c>
      <c r="C31" s="23">
        <v>114068</v>
      </c>
      <c r="D31" s="23">
        <v>518167</v>
      </c>
      <c r="E31" s="90">
        <f t="shared" si="5"/>
        <v>-0.7798624767690725</v>
      </c>
      <c r="F31" s="76">
        <v>734499</v>
      </c>
      <c r="G31" s="76">
        <v>4514806</v>
      </c>
      <c r="H31" s="94">
        <f t="shared" si="6"/>
        <v>-0.83731327547628842</v>
      </c>
      <c r="I31" s="4"/>
      <c r="J31" s="4"/>
    </row>
    <row r="32" spans="1:10">
      <c r="A32" s="46">
        <v>87149620002</v>
      </c>
      <c r="B32" s="22" t="s">
        <v>174</v>
      </c>
      <c r="C32" s="23">
        <v>452423</v>
      </c>
      <c r="D32" s="23">
        <v>1101261</v>
      </c>
      <c r="E32" s="90">
        <f t="shared" si="5"/>
        <v>-0.58917731582249799</v>
      </c>
      <c r="F32" s="76">
        <v>4811732</v>
      </c>
      <c r="G32" s="76">
        <v>11003899</v>
      </c>
      <c r="H32" s="94">
        <f t="shared" si="6"/>
        <v>-0.56272481235969174</v>
      </c>
      <c r="I32" s="4"/>
      <c r="J32" s="4"/>
    </row>
    <row r="33" spans="1:10">
      <c r="A33" s="46" t="s">
        <v>210</v>
      </c>
      <c r="B33" s="22" t="s">
        <v>175</v>
      </c>
      <c r="C33" s="23">
        <v>221440</v>
      </c>
      <c r="D33" s="23">
        <v>630980</v>
      </c>
      <c r="E33" s="90">
        <f t="shared" si="5"/>
        <v>-0.64905385273701222</v>
      </c>
      <c r="F33" s="76">
        <v>970352</v>
      </c>
      <c r="G33" s="76">
        <v>2618446</v>
      </c>
      <c r="H33" s="94">
        <f t="shared" si="6"/>
        <v>-0.62941683731495701</v>
      </c>
      <c r="I33" s="4"/>
      <c r="J33" s="4"/>
    </row>
    <row r="34" spans="1:10">
      <c r="A34" s="46">
        <v>87149990111</v>
      </c>
      <c r="B34" s="22" t="s">
        <v>176</v>
      </c>
      <c r="C34" s="23">
        <v>69805</v>
      </c>
      <c r="D34" s="23">
        <v>410661</v>
      </c>
      <c r="E34" s="90">
        <f t="shared" si="5"/>
        <v>-0.8300179466762122</v>
      </c>
      <c r="F34" s="76">
        <v>1778012</v>
      </c>
      <c r="G34" s="76">
        <v>8625683</v>
      </c>
      <c r="H34" s="94">
        <f t="shared" si="6"/>
        <v>-0.79387000426516952</v>
      </c>
      <c r="I34" s="4"/>
      <c r="J34" s="4"/>
    </row>
    <row r="35" spans="1:10">
      <c r="A35" s="46">
        <v>87149320906</v>
      </c>
      <c r="B35" s="22" t="s">
        <v>177</v>
      </c>
      <c r="C35" s="23">
        <v>139981</v>
      </c>
      <c r="D35" s="23">
        <v>154261</v>
      </c>
      <c r="E35" s="90">
        <f t="shared" si="5"/>
        <v>-9.2570383959652794E-2</v>
      </c>
      <c r="F35" s="76">
        <v>1931560</v>
      </c>
      <c r="G35" s="76">
        <v>1715854</v>
      </c>
      <c r="H35" s="94">
        <f t="shared" si="6"/>
        <v>0.12571349310605681</v>
      </c>
      <c r="I35" s="4"/>
      <c r="J35" s="4"/>
    </row>
    <row r="36" spans="1:10">
      <c r="A36" s="46">
        <v>87149990139</v>
      </c>
      <c r="B36" s="22" t="s">
        <v>178</v>
      </c>
      <c r="C36" s="23">
        <v>15910</v>
      </c>
      <c r="D36" s="23">
        <v>79510</v>
      </c>
      <c r="E36" s="90">
        <f t="shared" si="5"/>
        <v>-0.79989938372531755</v>
      </c>
      <c r="F36" s="76">
        <v>63189</v>
      </c>
      <c r="G36" s="76">
        <v>385613</v>
      </c>
      <c r="H36" s="94">
        <f t="shared" si="6"/>
        <v>-0.83613363657345574</v>
      </c>
      <c r="I36" s="4"/>
      <c r="J36" s="4"/>
    </row>
    <row r="37" spans="1:10">
      <c r="A37" s="46">
        <v>87149990148</v>
      </c>
      <c r="B37" s="22" t="s">
        <v>179</v>
      </c>
      <c r="C37" s="23">
        <v>93098</v>
      </c>
      <c r="D37" s="23">
        <v>273288</v>
      </c>
      <c r="E37" s="90">
        <f t="shared" si="5"/>
        <v>-0.65934106144433713</v>
      </c>
      <c r="F37" s="76">
        <v>2132103</v>
      </c>
      <c r="G37" s="76">
        <v>4594497</v>
      </c>
      <c r="H37" s="94">
        <f t="shared" si="6"/>
        <v>-0.53594419584994835</v>
      </c>
      <c r="I37" s="4"/>
      <c r="J37" s="4"/>
    </row>
    <row r="38" spans="1:10">
      <c r="A38" s="46">
        <v>87149990157</v>
      </c>
      <c r="B38" s="22" t="s">
        <v>180</v>
      </c>
      <c r="C38" s="23">
        <v>201992</v>
      </c>
      <c r="D38" s="23">
        <v>453461</v>
      </c>
      <c r="E38" s="90">
        <f t="shared" si="5"/>
        <v>-0.55455485697777762</v>
      </c>
      <c r="F38" s="76">
        <v>6035681</v>
      </c>
      <c r="G38" s="76">
        <v>8765287</v>
      </c>
      <c r="H38" s="94">
        <f t="shared" si="6"/>
        <v>-0.31141090987665321</v>
      </c>
      <c r="I38" s="4"/>
      <c r="J38" s="4"/>
    </row>
    <row r="39" spans="1:10">
      <c r="A39" s="46">
        <v>87149990166</v>
      </c>
      <c r="B39" s="22" t="s">
        <v>181</v>
      </c>
      <c r="C39" s="23">
        <v>219324</v>
      </c>
      <c r="D39" s="23">
        <v>453648</v>
      </c>
      <c r="E39" s="90">
        <f t="shared" si="5"/>
        <v>-0.5165326420484605</v>
      </c>
      <c r="F39" s="76">
        <v>8684103</v>
      </c>
      <c r="G39" s="76">
        <v>13924078</v>
      </c>
      <c r="H39" s="94">
        <f t="shared" si="6"/>
        <v>-0.37632473762356117</v>
      </c>
      <c r="I39" s="4"/>
      <c r="J39" s="4"/>
    </row>
    <row r="40" spans="1:10">
      <c r="A40" s="46" t="s">
        <v>211</v>
      </c>
      <c r="B40" s="22" t="s">
        <v>182</v>
      </c>
      <c r="C40" s="23">
        <v>441135</v>
      </c>
      <c r="D40" s="23">
        <v>705312</v>
      </c>
      <c r="E40" s="90">
        <f t="shared" si="5"/>
        <v>-0.37455338913842384</v>
      </c>
      <c r="F40" s="76">
        <v>2825660</v>
      </c>
      <c r="G40" s="76">
        <v>4829668</v>
      </c>
      <c r="H40" s="94">
        <f t="shared" si="6"/>
        <v>-0.41493701016301743</v>
      </c>
      <c r="I40" s="4"/>
      <c r="J40" s="4"/>
    </row>
    <row r="41" spans="1:10">
      <c r="A41" s="46" t="s">
        <v>212</v>
      </c>
      <c r="B41" s="22" t="s">
        <v>183</v>
      </c>
      <c r="C41" s="23">
        <v>134574</v>
      </c>
      <c r="D41" s="23">
        <v>249069</v>
      </c>
      <c r="E41" s="90">
        <f t="shared" si="5"/>
        <v>-0.45969189260807247</v>
      </c>
      <c r="F41" s="76">
        <v>823485</v>
      </c>
      <c r="G41" s="76">
        <v>1361115</v>
      </c>
      <c r="H41" s="94">
        <f t="shared" si="6"/>
        <v>-0.39499234083820983</v>
      </c>
      <c r="I41" s="4"/>
      <c r="J41" s="4"/>
    </row>
    <row r="42" spans="1:10" ht="18.75" customHeight="1" thickBot="1">
      <c r="A42" s="132" t="s">
        <v>160</v>
      </c>
      <c r="B42" s="133"/>
      <c r="C42" s="63">
        <f>SUM(C20:C41)</f>
        <v>6910974</v>
      </c>
      <c r="D42" s="63">
        <f>SUM(D20:D41)</f>
        <v>15334179</v>
      </c>
      <c r="E42" s="91">
        <f t="shared" ref="E42" si="7">(C42-D42)/D42</f>
        <v>-0.54930916092736359</v>
      </c>
      <c r="F42" s="77">
        <f>SUM(F20:F41)</f>
        <v>257706759</v>
      </c>
      <c r="G42" s="77">
        <f>SUM(G20:G41)</f>
        <v>383923996</v>
      </c>
      <c r="H42" s="91">
        <f t="shared" ref="H42" si="8">(F42-G42)/G42</f>
        <v>-0.32875579102901398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175" priority="13" operator="greaterThanOrEqual">
      <formula>0</formula>
    </cfRule>
    <cfRule type="cellIs" dxfId="174" priority="14" operator="lessThan">
      <formula>0</formula>
    </cfRule>
  </conditionalFormatting>
  <conditionalFormatting sqref="E13">
    <cfRule type="cellIs" dxfId="173" priority="3" operator="greaterThanOrEqual">
      <formula>0</formula>
    </cfRule>
    <cfRule type="cellIs" dxfId="172" priority="4" operator="lessThan">
      <formula>0</formula>
    </cfRule>
  </conditionalFormatting>
  <conditionalFormatting sqref="E20:E41">
    <cfRule type="cellIs" dxfId="171" priority="1" operator="greaterThanOrEqual">
      <formula>0</formula>
    </cfRule>
    <cfRule type="cellIs" dxfId="170" priority="2" operator="lessThan">
      <formula>0</formula>
    </cfRule>
  </conditionalFormatting>
  <conditionalFormatting sqref="H5:H10">
    <cfRule type="cellIs" dxfId="169" priority="11" operator="greaterThanOrEqual">
      <formula>0</formula>
    </cfRule>
    <cfRule type="cellIs" dxfId="168" priority="12" operator="lessThan">
      <formula>0</formula>
    </cfRule>
  </conditionalFormatting>
  <conditionalFormatting sqref="H13">
    <cfRule type="cellIs" dxfId="167" priority="7" operator="greaterThanOrEqual">
      <formula>0</formula>
    </cfRule>
    <cfRule type="cellIs" dxfId="166" priority="8" operator="lessThan">
      <formula>0</formula>
    </cfRule>
  </conditionalFormatting>
  <conditionalFormatting sqref="K5:K10">
    <cfRule type="cellIs" dxfId="165" priority="9" operator="greaterThanOrEqual">
      <formula>0</formula>
    </cfRule>
    <cfRule type="cellIs" dxfId="164" priority="10" operator="lessThan">
      <formula>0</formula>
    </cfRule>
  </conditionalFormatting>
  <conditionalFormatting sqref="K13">
    <cfRule type="cellIs" dxfId="163" priority="5" operator="greaterThanOrEqual">
      <formula>0</formula>
    </cfRule>
    <cfRule type="cellIs" dxfId="162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39997558519241921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7.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3.25" customHeight="1">
      <c r="A1" s="130" t="s">
        <v>213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137</v>
      </c>
      <c r="B3" s="6" t="s">
        <v>138</v>
      </c>
      <c r="C3" s="98" t="s">
        <v>214</v>
      </c>
      <c r="D3" s="8" t="s">
        <v>215</v>
      </c>
      <c r="E3" s="9" t="s">
        <v>141</v>
      </c>
      <c r="F3" s="10" t="s">
        <v>216</v>
      </c>
      <c r="G3" s="99" t="s">
        <v>217</v>
      </c>
      <c r="H3" s="9" t="s">
        <v>144</v>
      </c>
      <c r="I3" s="56" t="s">
        <v>145</v>
      </c>
      <c r="J3" s="56" t="s">
        <v>146</v>
      </c>
    </row>
    <row r="4" spans="1:10" ht="15" customHeight="1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206</v>
      </c>
      <c r="B5" s="22" t="s">
        <v>147</v>
      </c>
      <c r="C5" s="23">
        <v>95</v>
      </c>
      <c r="D5" s="23">
        <v>4473</v>
      </c>
      <c r="E5" s="101">
        <f t="shared" ref="E5:E11" si="0">C5-D5</f>
        <v>-4378</v>
      </c>
      <c r="F5" s="23">
        <v>295474</v>
      </c>
      <c r="G5" s="23">
        <v>311692</v>
      </c>
      <c r="H5" s="84">
        <f t="shared" ref="H5:H11" si="1">F5-G5</f>
        <v>-16218</v>
      </c>
      <c r="I5" s="25">
        <f t="shared" ref="I5:I10" si="2">IF(C5,F5/C5,0)</f>
        <v>3110.2526315789473</v>
      </c>
      <c r="J5" s="25">
        <f t="shared" ref="I5:J13" si="3">IF(D5,G5/D5,0)</f>
        <v>69.682986809747376</v>
      </c>
    </row>
    <row r="6" spans="1:10" ht="16.5">
      <c r="A6" s="26" t="s">
        <v>205</v>
      </c>
      <c r="B6" s="27" t="s">
        <v>148</v>
      </c>
      <c r="C6" s="23">
        <v>1544</v>
      </c>
      <c r="D6" s="23">
        <v>1214</v>
      </c>
      <c r="E6" s="101">
        <f t="shared" si="0"/>
        <v>330</v>
      </c>
      <c r="F6" s="23">
        <v>574991</v>
      </c>
      <c r="G6" s="23">
        <v>129763</v>
      </c>
      <c r="H6" s="84">
        <f t="shared" si="1"/>
        <v>445228</v>
      </c>
      <c r="I6" s="25">
        <f t="shared" si="2"/>
        <v>372.40349740932641</v>
      </c>
      <c r="J6" s="25">
        <f t="shared" si="3"/>
        <v>106.88879736408566</v>
      </c>
    </row>
    <row r="7" spans="1:10" ht="16.5">
      <c r="A7" s="21" t="s">
        <v>149</v>
      </c>
      <c r="B7" s="28" t="s">
        <v>150</v>
      </c>
      <c r="C7" s="29">
        <v>31</v>
      </c>
      <c r="D7" s="23">
        <v>4025</v>
      </c>
      <c r="E7" s="101">
        <f t="shared" si="0"/>
        <v>-3994</v>
      </c>
      <c r="F7" s="23">
        <v>3126</v>
      </c>
      <c r="G7" s="23">
        <v>250212</v>
      </c>
      <c r="H7" s="84">
        <f t="shared" si="1"/>
        <v>-247086</v>
      </c>
      <c r="I7" s="25">
        <f t="shared" si="2"/>
        <v>100.83870967741936</v>
      </c>
      <c r="J7" s="25">
        <f t="shared" si="3"/>
        <v>62.164472049689444</v>
      </c>
    </row>
    <row r="8" spans="1:10" ht="16.5">
      <c r="A8" s="21" t="s">
        <v>151</v>
      </c>
      <c r="B8" s="28" t="s">
        <v>152</v>
      </c>
      <c r="C8" s="23">
        <v>10</v>
      </c>
      <c r="D8" s="23">
        <v>3939</v>
      </c>
      <c r="E8" s="101">
        <f t="shared" si="0"/>
        <v>-3929</v>
      </c>
      <c r="F8" s="23">
        <v>3973</v>
      </c>
      <c r="G8" s="23">
        <v>556529</v>
      </c>
      <c r="H8" s="84">
        <f t="shared" si="1"/>
        <v>-552556</v>
      </c>
      <c r="I8" s="25">
        <f t="shared" si="2"/>
        <v>397.3</v>
      </c>
      <c r="J8" s="25">
        <f t="shared" si="3"/>
        <v>141.28687484133027</v>
      </c>
    </row>
    <row r="9" spans="1:10" ht="16.5">
      <c r="A9" s="21" t="s">
        <v>153</v>
      </c>
      <c r="B9" s="28" t="s">
        <v>154</v>
      </c>
      <c r="C9" s="23">
        <v>375</v>
      </c>
      <c r="D9" s="23">
        <v>1757</v>
      </c>
      <c r="E9" s="101">
        <f t="shared" si="0"/>
        <v>-1382</v>
      </c>
      <c r="F9" s="23">
        <v>550017</v>
      </c>
      <c r="G9" s="23">
        <v>197528</v>
      </c>
      <c r="H9" s="84">
        <f t="shared" si="1"/>
        <v>352489</v>
      </c>
      <c r="I9" s="25">
        <f t="shared" si="2"/>
        <v>1466.712</v>
      </c>
      <c r="J9" s="25">
        <f t="shared" si="3"/>
        <v>112.42344906089926</v>
      </c>
    </row>
    <row r="10" spans="1:10" ht="16.5">
      <c r="A10" s="21" t="s">
        <v>155</v>
      </c>
      <c r="B10" s="28" t="s">
        <v>156</v>
      </c>
      <c r="C10" s="23">
        <v>6764</v>
      </c>
      <c r="D10" s="23">
        <v>2034</v>
      </c>
      <c r="E10" s="101">
        <f t="shared" si="0"/>
        <v>4730</v>
      </c>
      <c r="F10" s="23">
        <v>9727938</v>
      </c>
      <c r="G10" s="23">
        <v>456272</v>
      </c>
      <c r="H10" s="84">
        <f>F10-G10</f>
        <v>9271666</v>
      </c>
      <c r="I10" s="25">
        <f t="shared" si="2"/>
        <v>1438.1930810171496</v>
      </c>
      <c r="J10" s="25">
        <f t="shared" si="3"/>
        <v>224.32251720747297</v>
      </c>
    </row>
    <row r="11" spans="1:10" ht="17.25" thickBot="1">
      <c r="A11" s="48" t="s">
        <v>157</v>
      </c>
      <c r="B11" s="70" t="s">
        <v>158</v>
      </c>
      <c r="C11" s="63">
        <f>SUM(C5:C10)</f>
        <v>8819</v>
      </c>
      <c r="D11" s="63">
        <f>SUM(D5:D10)</f>
        <v>17442</v>
      </c>
      <c r="E11" s="100">
        <f t="shared" si="0"/>
        <v>-8623</v>
      </c>
      <c r="F11" s="63">
        <f>SUM(F5:F10)</f>
        <v>11155519</v>
      </c>
      <c r="G11" s="63">
        <f>SUM(G5:G10)</f>
        <v>1901996</v>
      </c>
      <c r="H11" s="82">
        <f t="shared" si="1"/>
        <v>9253523</v>
      </c>
      <c r="I11" s="102">
        <f t="shared" ref="I11:J11" si="4">F11/C11</f>
        <v>1264.9414899648486</v>
      </c>
      <c r="J11" s="72">
        <f t="shared" si="4"/>
        <v>109.04689829148033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207</v>
      </c>
      <c r="B13" s="22" t="s">
        <v>159</v>
      </c>
      <c r="C13" s="23">
        <v>8</v>
      </c>
      <c r="D13" s="23">
        <v>47</v>
      </c>
      <c r="E13" s="101">
        <f>C13-D13</f>
        <v>-39</v>
      </c>
      <c r="F13" s="23">
        <v>4135</v>
      </c>
      <c r="G13" s="23">
        <v>2898</v>
      </c>
      <c r="H13" s="103">
        <f>F13-G13</f>
        <v>1237</v>
      </c>
      <c r="I13" s="25">
        <f t="shared" si="3"/>
        <v>516.875</v>
      </c>
      <c r="J13" s="25">
        <f t="shared" si="3"/>
        <v>61.659574468085104</v>
      </c>
    </row>
    <row r="14" spans="1:10" ht="17.25" thickBot="1">
      <c r="A14" s="106" t="s">
        <v>160</v>
      </c>
      <c r="B14" s="105" t="s">
        <v>80</v>
      </c>
      <c r="C14" s="63">
        <f>C11+C13</f>
        <v>8827</v>
      </c>
      <c r="D14" s="63">
        <f>D11+D13</f>
        <v>17489</v>
      </c>
      <c r="E14" s="80">
        <f>C14-D14</f>
        <v>-8662</v>
      </c>
      <c r="F14" s="63">
        <f>F11+F13</f>
        <v>11159654</v>
      </c>
      <c r="G14" s="63">
        <f>G11+G13</f>
        <v>1904894</v>
      </c>
      <c r="H14" s="107">
        <f>F14-G14</f>
        <v>9254760</v>
      </c>
      <c r="I14" s="72">
        <f>F14/C14</f>
        <v>1264.26350968619</v>
      </c>
      <c r="J14" s="104">
        <f>G14/D14</f>
        <v>108.91954943107096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218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98" t="s">
        <v>214</v>
      </c>
      <c r="D18" s="8" t="s">
        <v>215</v>
      </c>
      <c r="E18" s="9" t="s">
        <v>141</v>
      </c>
      <c r="F18" s="10" t="s">
        <v>216</v>
      </c>
      <c r="G18" s="99" t="s">
        <v>217</v>
      </c>
      <c r="H18" s="9" t="s">
        <v>144</v>
      </c>
      <c r="I18" s="44"/>
      <c r="J18" s="44"/>
    </row>
    <row r="19" spans="1:10">
      <c r="A19" s="13"/>
      <c r="B19" s="14"/>
      <c r="C19" s="15" t="s">
        <v>161</v>
      </c>
      <c r="D19" s="15" t="s">
        <v>161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208</v>
      </c>
      <c r="B20" s="22" t="s">
        <v>162</v>
      </c>
      <c r="C20" s="23">
        <v>872</v>
      </c>
      <c r="D20" s="23">
        <v>3256</v>
      </c>
      <c r="E20" s="24">
        <f t="shared" ref="E20:E42" si="5">C20-D20</f>
        <v>-2384</v>
      </c>
      <c r="F20" s="23">
        <v>70987</v>
      </c>
      <c r="G20" s="23">
        <v>211780</v>
      </c>
      <c r="H20" s="24">
        <f t="shared" ref="H20:H42" si="6">F20-G20</f>
        <v>-140793</v>
      </c>
      <c r="I20" s="4"/>
      <c r="J20" s="4"/>
    </row>
    <row r="21" spans="1:10">
      <c r="A21" s="46" t="s">
        <v>209</v>
      </c>
      <c r="B21" s="22" t="s">
        <v>163</v>
      </c>
      <c r="C21" s="23">
        <v>0</v>
      </c>
      <c r="D21" s="23">
        <v>1385</v>
      </c>
      <c r="E21" s="24">
        <f t="shared" si="5"/>
        <v>-1385</v>
      </c>
      <c r="F21" s="23">
        <v>0</v>
      </c>
      <c r="G21" s="23">
        <v>95693</v>
      </c>
      <c r="H21" s="24">
        <f t="shared" si="6"/>
        <v>-95693</v>
      </c>
      <c r="I21" s="4"/>
      <c r="J21" s="4"/>
    </row>
    <row r="22" spans="1:10">
      <c r="A22" s="46">
        <v>87149120007</v>
      </c>
      <c r="B22" s="22" t="s">
        <v>164</v>
      </c>
      <c r="C22" s="23">
        <f>VLOOKUP(A22,[3]進出口值表查詢結果!$A$2:$D$18,4,0)</f>
        <v>73554</v>
      </c>
      <c r="D22" s="23">
        <f>VLOOKUP(A22,[4]進出口值表查詢結果!$A$2:$D$19,4,0)</f>
        <v>513553</v>
      </c>
      <c r="E22" s="24">
        <f t="shared" si="5"/>
        <v>-439999</v>
      </c>
      <c r="F22" s="23">
        <f>VLOOKUP(A22,[3]進出口值表查詢結果!$A$2:$D$18,3,0)</f>
        <v>3154775</v>
      </c>
      <c r="G22" s="23">
        <f>VLOOKUP(A22,[4]進出口值表查詢結果!$A$2:$D$19,3,0)</f>
        <v>32064670</v>
      </c>
      <c r="H22" s="24">
        <f t="shared" si="6"/>
        <v>-28909895</v>
      </c>
      <c r="I22" s="4"/>
      <c r="J22" s="4"/>
    </row>
    <row r="23" spans="1:10">
      <c r="A23" s="46">
        <v>87149200108</v>
      </c>
      <c r="B23" s="22" t="s">
        <v>165</v>
      </c>
      <c r="C23" s="23">
        <f>VLOOKUP(A23,[3]進出口值表查詢結果!$A$2:$D$18,4,0)</f>
        <v>5614</v>
      </c>
      <c r="D23" s="23">
        <f>VLOOKUP(A23,[4]進出口值表查詢結果!$A$2:$D$19,4,0)</f>
        <v>87635</v>
      </c>
      <c r="E23" s="24">
        <f t="shared" si="5"/>
        <v>-82021</v>
      </c>
      <c r="F23" s="23">
        <f>VLOOKUP(A23,[3]進出口值表查詢結果!$A$2:$D$18,3,0)</f>
        <v>104365</v>
      </c>
      <c r="G23" s="23">
        <f>VLOOKUP(A23,[4]進出口值表查詢結果!$A$2:$D$19,3,0)</f>
        <v>5881239</v>
      </c>
      <c r="H23" s="24">
        <f t="shared" si="6"/>
        <v>-5776874</v>
      </c>
      <c r="I23" s="4"/>
      <c r="J23" s="4"/>
    </row>
    <row r="24" spans="1:10">
      <c r="A24" s="46">
        <v>87149200206</v>
      </c>
      <c r="B24" s="22" t="s">
        <v>166</v>
      </c>
      <c r="C24" s="23">
        <f>VLOOKUP(A24,[3]進出口值表查詢結果!$A$2:$D$18,4,0)</f>
        <v>7401</v>
      </c>
      <c r="D24" s="23">
        <f>VLOOKUP(A24,[4]進出口值表查詢結果!$A$2:$D$19,4,0)</f>
        <v>5260</v>
      </c>
      <c r="E24" s="24">
        <f t="shared" si="5"/>
        <v>2141</v>
      </c>
      <c r="F24" s="23">
        <f>VLOOKUP(A24,[3]進出口值表查詢結果!$A$2:$D$18,3,0)</f>
        <v>199349</v>
      </c>
      <c r="G24" s="23">
        <f>VLOOKUP(A24,[4]進出口值表查詢結果!$A$2:$D$19,3,0)</f>
        <v>89159</v>
      </c>
      <c r="H24" s="24">
        <f t="shared" si="6"/>
        <v>110190</v>
      </c>
      <c r="I24" s="4"/>
      <c r="J24" s="4"/>
    </row>
    <row r="25" spans="1:10">
      <c r="A25" s="46">
        <v>87149200304</v>
      </c>
      <c r="B25" s="22" t="s">
        <v>167</v>
      </c>
      <c r="C25" s="23">
        <f>VLOOKUP(A25,[3]進出口值表查詢結果!$A$2:$D$18,4,0)</f>
        <v>3832</v>
      </c>
      <c r="D25" s="23">
        <f>VLOOKUP(A25,[4]進出口值表查詢結果!$A$2:$D$19,4,0)</f>
        <v>23206</v>
      </c>
      <c r="E25" s="24">
        <f t="shared" si="5"/>
        <v>-19374</v>
      </c>
      <c r="F25" s="23">
        <f>VLOOKUP(A25,[3]進出口值表查詢結果!$A$2:$D$18,3,0)</f>
        <v>479910</v>
      </c>
      <c r="G25" s="23">
        <f>VLOOKUP(A25,[4]進出口值表查詢結果!$A$2:$D$19,3,0)</f>
        <v>468409</v>
      </c>
      <c r="H25" s="24">
        <f t="shared" si="6"/>
        <v>11501</v>
      </c>
      <c r="I25" s="4"/>
      <c r="J25" s="4"/>
    </row>
    <row r="26" spans="1:10">
      <c r="A26" s="46">
        <v>87149310007</v>
      </c>
      <c r="B26" s="22" t="s">
        <v>168</v>
      </c>
      <c r="C26" s="23">
        <f>VLOOKUP(A26,[3]進出口值表查詢結果!$A$2:$D$18,4,0)</f>
        <v>1371</v>
      </c>
      <c r="D26" s="23">
        <f>VLOOKUP(A26,[4]進出口值表查詢結果!$A$2:$D$19,4,0)</f>
        <v>66357</v>
      </c>
      <c r="E26" s="24">
        <f t="shared" si="5"/>
        <v>-64986</v>
      </c>
      <c r="F26" s="23">
        <f>VLOOKUP(A26,[3]進出口值表查詢結果!$A$2:$D$18,3,0)</f>
        <v>124813</v>
      </c>
      <c r="G26" s="23">
        <f>VLOOKUP(A26,[4]進出口值表查詢結果!$A$2:$D$19,3,0)</f>
        <v>1991633</v>
      </c>
      <c r="H26" s="24">
        <f t="shared" si="6"/>
        <v>-1866820</v>
      </c>
      <c r="I26" s="4"/>
      <c r="J26" s="4"/>
    </row>
    <row r="27" spans="1:10">
      <c r="A27" s="46">
        <v>87149320103</v>
      </c>
      <c r="B27" s="22" t="s">
        <v>169</v>
      </c>
      <c r="C27" s="23">
        <f>VLOOKUP(A27,[3]進出口值表查詢結果!$A$2:$D$18,4,0)</f>
        <v>893</v>
      </c>
      <c r="D27" s="23">
        <f>VLOOKUP(A27,[4]進出口值表查詢結果!$A$2:$D$19,4,0)</f>
        <v>146</v>
      </c>
      <c r="E27" s="24">
        <f t="shared" si="5"/>
        <v>747</v>
      </c>
      <c r="F27" s="23">
        <f>VLOOKUP(A27,[3]進出口值表查詢結果!$A$2:$D$18,3,0)</f>
        <v>58939</v>
      </c>
      <c r="G27" s="23">
        <f>VLOOKUP(A27,[4]進出口值表查詢結果!$A$2:$D$19,3,0)</f>
        <v>3321</v>
      </c>
      <c r="H27" s="24">
        <f t="shared" si="6"/>
        <v>55618</v>
      </c>
      <c r="I27" s="4"/>
      <c r="J27" s="4"/>
    </row>
    <row r="28" spans="1:10">
      <c r="A28" s="46">
        <v>87149410006</v>
      </c>
      <c r="B28" s="22" t="s">
        <v>170</v>
      </c>
      <c r="C28" s="23">
        <v>0</v>
      </c>
      <c r="D28" s="23">
        <f>VLOOKUP(A28,[4]進出口值表查詢結果!$A$2:$D$19,4,0)</f>
        <v>3782</v>
      </c>
      <c r="E28" s="24">
        <f t="shared" si="5"/>
        <v>-3782</v>
      </c>
      <c r="F28" s="23">
        <v>0</v>
      </c>
      <c r="G28" s="23">
        <f>VLOOKUP(A28,[4]進出口值表查詢結果!$A$2:$D$19,3,0)</f>
        <v>54022</v>
      </c>
      <c r="H28" s="24">
        <f t="shared" si="6"/>
        <v>-54022</v>
      </c>
      <c r="I28" s="4"/>
      <c r="J28" s="4"/>
    </row>
    <row r="29" spans="1:10">
      <c r="A29" s="46">
        <v>87149490009</v>
      </c>
      <c r="B29" s="22" t="s">
        <v>171</v>
      </c>
      <c r="C29" s="23">
        <f>VLOOKUP(A29,[3]進出口值表查詢結果!$A$2:$D$18,4,0)</f>
        <v>45368</v>
      </c>
      <c r="D29" s="23">
        <f>VLOOKUP(A29,[4]進出口值表查詢結果!$A$2:$D$19,4,0)</f>
        <v>57570</v>
      </c>
      <c r="E29" s="24">
        <f t="shared" si="5"/>
        <v>-12202</v>
      </c>
      <c r="F29" s="23">
        <f>VLOOKUP(A29,[3]進出口值表查詢結果!$A$2:$D$18,3,0)</f>
        <v>2051873</v>
      </c>
      <c r="G29" s="23">
        <f>VLOOKUP(A29,[4]進出口值表查詢結果!$A$2:$D$19,3,0)</f>
        <v>795323</v>
      </c>
      <c r="H29" s="24">
        <f t="shared" si="6"/>
        <v>1256550</v>
      </c>
      <c r="I29" s="4"/>
      <c r="J29" s="4"/>
    </row>
    <row r="30" spans="1:10">
      <c r="A30" s="46">
        <v>87149500007</v>
      </c>
      <c r="B30" s="22" t="s">
        <v>172</v>
      </c>
      <c r="C30" s="23">
        <f>VLOOKUP(A30,[3]進出口值表查詢結果!$A$2:$D$18,4,0)</f>
        <v>2229</v>
      </c>
      <c r="D30" s="23">
        <f>VLOOKUP(A30,[4]進出口值表查詢結果!$A$2:$D$19,4,0)</f>
        <v>60095</v>
      </c>
      <c r="E30" s="24">
        <f t="shared" si="5"/>
        <v>-57866</v>
      </c>
      <c r="F30" s="23">
        <f>VLOOKUP(A30,[3]進出口值表查詢結果!$A$2:$D$18,3,0)</f>
        <v>129013</v>
      </c>
      <c r="G30" s="23">
        <f>VLOOKUP(A30,[4]進出口值表查詢結果!$A$2:$D$19,3,0)</f>
        <v>600528</v>
      </c>
      <c r="H30" s="24">
        <f t="shared" si="6"/>
        <v>-471515</v>
      </c>
      <c r="I30" s="4"/>
      <c r="J30" s="4"/>
    </row>
    <row r="31" spans="1:10">
      <c r="A31" s="46">
        <v>87149610004</v>
      </c>
      <c r="B31" s="22" t="s">
        <v>173</v>
      </c>
      <c r="C31" s="23">
        <f>VLOOKUP(A31,[3]進出口值表查詢結果!$A$2:$D$18,4,0)</f>
        <v>10299</v>
      </c>
      <c r="D31" s="23">
        <f>VLOOKUP(A31,[4]進出口值表查詢結果!$A$2:$D$19,4,0)</f>
        <v>8987</v>
      </c>
      <c r="E31" s="24">
        <f t="shared" si="5"/>
        <v>1312</v>
      </c>
      <c r="F31" s="23">
        <f>VLOOKUP(A31,[3]進出口值表查詢結果!$A$2:$D$18,3,0)</f>
        <v>245295</v>
      </c>
      <c r="G31" s="23">
        <f>VLOOKUP(A31,[4]進出口值表查詢結果!$A$2:$D$19,3,0)</f>
        <v>37844</v>
      </c>
      <c r="H31" s="24">
        <f t="shared" si="6"/>
        <v>207451</v>
      </c>
      <c r="I31" s="4"/>
      <c r="J31" s="4"/>
    </row>
    <row r="32" spans="1:10">
      <c r="A32" s="46">
        <v>87149620002</v>
      </c>
      <c r="B32" s="22" t="s">
        <v>174</v>
      </c>
      <c r="C32" s="23">
        <f>VLOOKUP(A32,[3]進出口值表查詢結果!$A$2:$D$18,4,0)</f>
        <v>15446</v>
      </c>
      <c r="D32" s="23">
        <f>VLOOKUP(A32,[4]進出口值表查詢結果!$A$2:$D$19,4,0)</f>
        <v>65693</v>
      </c>
      <c r="E32" s="24">
        <f t="shared" si="5"/>
        <v>-50247</v>
      </c>
      <c r="F32" s="23">
        <f>VLOOKUP(A32,[3]進出口值表查詢結果!$A$2:$D$18,3,0)</f>
        <v>1081473</v>
      </c>
      <c r="G32" s="23">
        <f>VLOOKUP(A32,[4]進出口值表查詢結果!$A$2:$D$19,3,0)</f>
        <v>670009</v>
      </c>
      <c r="H32" s="24">
        <f t="shared" si="6"/>
        <v>411464</v>
      </c>
      <c r="I32" s="4"/>
      <c r="J32" s="4"/>
    </row>
    <row r="33" spans="1:10">
      <c r="A33" s="46" t="s">
        <v>210</v>
      </c>
      <c r="B33" s="22" t="s">
        <v>175</v>
      </c>
      <c r="C33" s="23">
        <v>5817</v>
      </c>
      <c r="D33" s="23">
        <v>32339</v>
      </c>
      <c r="E33" s="24">
        <f t="shared" si="5"/>
        <v>-26522</v>
      </c>
      <c r="F33" s="23">
        <v>168869</v>
      </c>
      <c r="G33" s="23">
        <v>139043</v>
      </c>
      <c r="H33" s="24">
        <f t="shared" si="6"/>
        <v>29826</v>
      </c>
      <c r="I33" s="4"/>
      <c r="J33" s="4"/>
    </row>
    <row r="34" spans="1:10">
      <c r="A34" s="46">
        <v>87149990111</v>
      </c>
      <c r="B34" s="22" t="s">
        <v>176</v>
      </c>
      <c r="C34" s="23">
        <f>VLOOKUP(A34,[3]進出口值表查詢結果!$A$2:$D$18,4,0)</f>
        <v>16594</v>
      </c>
      <c r="D34" s="23">
        <f>VLOOKUP(A34,[4]進出口值表查詢結果!$A$2:$D$19,4,0)</f>
        <v>5569</v>
      </c>
      <c r="E34" s="24">
        <f t="shared" si="5"/>
        <v>11025</v>
      </c>
      <c r="F34" s="23">
        <f>VLOOKUP(A34,[3]進出口值表查詢結果!$A$2:$D$18,3,0)</f>
        <v>2055324</v>
      </c>
      <c r="G34" s="23">
        <f>VLOOKUP(A34,[4]進出口值表查詢結果!$A$2:$D$19,3,0)</f>
        <v>149512</v>
      </c>
      <c r="H34" s="24">
        <f t="shared" si="6"/>
        <v>1905812</v>
      </c>
      <c r="I34" s="4"/>
      <c r="J34" s="4"/>
    </row>
    <row r="35" spans="1:10">
      <c r="A35" s="46">
        <v>87149320906</v>
      </c>
      <c r="B35" s="22" t="s">
        <v>177</v>
      </c>
      <c r="C35" s="23">
        <f>VLOOKUP(A35,[3]進出口值表查詢結果!$A$2:$D$18,4,0)</f>
        <v>28384</v>
      </c>
      <c r="D35" s="23">
        <f>VLOOKUP(A35,[4]進出口值表查詢結果!$A$2:$D$19,4,0)</f>
        <v>15561</v>
      </c>
      <c r="E35" s="24">
        <f t="shared" si="5"/>
        <v>12823</v>
      </c>
      <c r="F35" s="23">
        <f>VLOOKUP(A35,[3]進出口值表查詢結果!$A$2:$D$18,3,0)</f>
        <v>930869</v>
      </c>
      <c r="G35" s="23">
        <f>VLOOKUP(A35,[4]進出口值表查詢結果!$A$2:$D$19,3,0)</f>
        <v>214882</v>
      </c>
      <c r="H35" s="24">
        <f t="shared" si="6"/>
        <v>715987</v>
      </c>
      <c r="I35" s="4"/>
      <c r="J35" s="4"/>
    </row>
    <row r="36" spans="1:10">
      <c r="A36" s="46">
        <v>87149990139</v>
      </c>
      <c r="B36" s="22" t="s">
        <v>178</v>
      </c>
      <c r="C36" s="23">
        <f>VLOOKUP(A36,[3]進出口值表查詢結果!$A$2:$D$18,4,0)</f>
        <v>365</v>
      </c>
      <c r="D36" s="23">
        <f>VLOOKUP(A36,[4]進出口值表查詢結果!$A$2:$D$19,4,0)</f>
        <v>3438</v>
      </c>
      <c r="E36" s="24">
        <f t="shared" si="5"/>
        <v>-3073</v>
      </c>
      <c r="F36" s="23">
        <f>VLOOKUP(A36,[3]進出口值表查詢結果!$A$2:$D$18,3,0)</f>
        <v>26897</v>
      </c>
      <c r="G36" s="23">
        <f>VLOOKUP(A36,[4]進出口值表查詢結果!$A$2:$D$19,3,0)</f>
        <v>10844</v>
      </c>
      <c r="H36" s="24">
        <f t="shared" si="6"/>
        <v>16053</v>
      </c>
      <c r="I36" s="4"/>
      <c r="J36" s="4"/>
    </row>
    <row r="37" spans="1:10">
      <c r="A37" s="46">
        <v>87149990148</v>
      </c>
      <c r="B37" s="22" t="s">
        <v>179</v>
      </c>
      <c r="C37" s="23">
        <f>VLOOKUP(A37,[3]進出口值表查詢結果!$A$2:$D$18,4,0)</f>
        <v>1721</v>
      </c>
      <c r="D37" s="23">
        <f>VLOOKUP(A37,[4]進出口值表查詢結果!$A$2:$D$19,4,0)</f>
        <v>12756</v>
      </c>
      <c r="E37" s="24">
        <f>C37-D37</f>
        <v>-11035</v>
      </c>
      <c r="F37" s="23">
        <f>VLOOKUP(A37,[3]進出口值表查詢結果!$A$2:$D$18,3,0)</f>
        <v>73494</v>
      </c>
      <c r="G37" s="23">
        <f>VLOOKUP(A37,[4]進出口值表查詢結果!$A$2:$D$19,3,0)</f>
        <v>370142</v>
      </c>
      <c r="H37" s="24">
        <f t="shared" si="6"/>
        <v>-296648</v>
      </c>
      <c r="I37" s="4"/>
      <c r="J37" s="4"/>
    </row>
    <row r="38" spans="1:10">
      <c r="A38" s="46">
        <v>87149990157</v>
      </c>
      <c r="B38" s="22" t="s">
        <v>180</v>
      </c>
      <c r="C38" s="23">
        <f>VLOOKUP(A38,[3]進出口值表查詢結果!$A$2:$D$18,4,0)</f>
        <v>2583</v>
      </c>
      <c r="D38" s="23">
        <f>VLOOKUP(A38,[4]進出口值表查詢結果!$A$2:$D$19,4,0)</f>
        <v>22288</v>
      </c>
      <c r="E38" s="24">
        <f t="shared" si="5"/>
        <v>-19705</v>
      </c>
      <c r="F38" s="23">
        <f>VLOOKUP(A38,[3]進出口值表查詢結果!$A$2:$D$18,3,0)</f>
        <v>106351</v>
      </c>
      <c r="G38" s="23">
        <f>VLOOKUP(A38,[4]進出口值表查詢結果!$A$2:$D$19,3,0)</f>
        <v>1006516</v>
      </c>
      <c r="H38" s="24">
        <f t="shared" si="6"/>
        <v>-900165</v>
      </c>
      <c r="I38" s="4"/>
      <c r="J38" s="4"/>
    </row>
    <row r="39" spans="1:10">
      <c r="A39" s="46">
        <v>87149990166</v>
      </c>
      <c r="B39" s="22" t="s">
        <v>181</v>
      </c>
      <c r="C39" s="23">
        <f>VLOOKUP(A39,[3]進出口值表查詢結果!$A$2:$D$18,4,0)</f>
        <v>5243</v>
      </c>
      <c r="D39" s="23">
        <f>VLOOKUP(A39,[4]進出口值表查詢結果!$A$2:$D$19,4,0)</f>
        <v>31633</v>
      </c>
      <c r="E39" s="24">
        <f t="shared" si="5"/>
        <v>-26390</v>
      </c>
      <c r="F39" s="23">
        <f>VLOOKUP(A39,[3]進出口值表查詢結果!$A$2:$D$18,3,0)</f>
        <v>294694</v>
      </c>
      <c r="G39" s="23">
        <f>VLOOKUP(A39,[4]進出口值表查詢結果!$A$2:$D$19,3,0)</f>
        <v>1526291</v>
      </c>
      <c r="H39" s="24">
        <f t="shared" si="6"/>
        <v>-1231597</v>
      </c>
      <c r="I39" s="4"/>
      <c r="J39" s="4"/>
    </row>
    <row r="40" spans="1:10">
      <c r="A40" s="46" t="s">
        <v>211</v>
      </c>
      <c r="B40" s="22" t="s">
        <v>182</v>
      </c>
      <c r="C40" s="23">
        <v>37936</v>
      </c>
      <c r="D40" s="23">
        <v>63255</v>
      </c>
      <c r="E40" s="24">
        <f t="shared" si="5"/>
        <v>-25319</v>
      </c>
      <c r="F40" s="23">
        <v>940317</v>
      </c>
      <c r="G40" s="23">
        <v>413779</v>
      </c>
      <c r="H40" s="24">
        <f t="shared" si="6"/>
        <v>526538</v>
      </c>
      <c r="I40" s="4"/>
      <c r="J40" s="4"/>
    </row>
    <row r="41" spans="1:10">
      <c r="A41" s="46" t="s">
        <v>212</v>
      </c>
      <c r="B41" s="22" t="s">
        <v>183</v>
      </c>
      <c r="C41" s="23">
        <v>1878</v>
      </c>
      <c r="D41" s="23">
        <v>17450</v>
      </c>
      <c r="E41" s="24">
        <f t="shared" si="5"/>
        <v>-15572</v>
      </c>
      <c r="F41" s="23">
        <v>18692</v>
      </c>
      <c r="G41" s="23">
        <v>94098</v>
      </c>
      <c r="H41" s="24">
        <f t="shared" si="6"/>
        <v>-75406</v>
      </c>
      <c r="I41" s="4"/>
      <c r="J41" s="4"/>
    </row>
    <row r="42" spans="1:10" ht="18.75" customHeight="1" thickBot="1">
      <c r="A42" s="132" t="s">
        <v>160</v>
      </c>
      <c r="B42" s="133"/>
      <c r="C42" s="50">
        <f>SUM(C20:C41)</f>
        <v>267400</v>
      </c>
      <c r="D42" s="50">
        <f>SUM(D20:D41)</f>
        <v>1101214</v>
      </c>
      <c r="E42" s="51">
        <f t="shared" si="5"/>
        <v>-833814</v>
      </c>
      <c r="F42" s="50">
        <f>SUM(F20:F41)</f>
        <v>12316299</v>
      </c>
      <c r="G42" s="50">
        <f>SUM(G20:G41)</f>
        <v>46888737</v>
      </c>
      <c r="H42" s="51">
        <f t="shared" si="6"/>
        <v>-34572438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 tint="0.39997558519241921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3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21" customHeight="1">
      <c r="A1" s="134" t="s">
        <v>219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137</v>
      </c>
      <c r="B3" s="6" t="s">
        <v>138</v>
      </c>
      <c r="C3" s="7" t="s">
        <v>220</v>
      </c>
      <c r="D3" s="7" t="s">
        <v>221</v>
      </c>
      <c r="E3" s="9" t="s">
        <v>186</v>
      </c>
      <c r="F3" s="74" t="s">
        <v>222</v>
      </c>
      <c r="G3" s="74" t="s">
        <v>223</v>
      </c>
      <c r="H3" s="9" t="s">
        <v>186</v>
      </c>
      <c r="I3" s="56" t="s">
        <v>187</v>
      </c>
      <c r="J3" s="56" t="s">
        <v>188</v>
      </c>
      <c r="K3" s="64" t="s">
        <v>189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14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16675</v>
      </c>
      <c r="D5" s="23">
        <v>519</v>
      </c>
      <c r="E5" s="89">
        <f>IF(D5,(C5-D5)/D5,0)</f>
        <v>31.129094412331405</v>
      </c>
      <c r="F5" s="76">
        <v>3952218</v>
      </c>
      <c r="G5" s="76">
        <v>244213</v>
      </c>
      <c r="H5" s="90">
        <f>IF(G5,(F5-G5)/G5,0)</f>
        <v>15.183487365537461</v>
      </c>
      <c r="I5" s="25">
        <f>IF(C5,F5/C5,0)</f>
        <v>237.01457271364319</v>
      </c>
      <c r="J5" s="25">
        <f>IF(D5,G5/D5,0)</f>
        <v>470.54527938342966</v>
      </c>
      <c r="K5" s="89">
        <f t="shared" ref="K5:K14" si="0">IF(J5,(I5-J5)/J5,0)</f>
        <v>-0.49629805440995844</v>
      </c>
    </row>
    <row r="6" spans="1:11" ht="16.5">
      <c r="A6" s="26" t="s">
        <v>205</v>
      </c>
      <c r="B6" s="27" t="s">
        <v>148</v>
      </c>
      <c r="C6" s="23">
        <v>2122</v>
      </c>
      <c r="D6" s="23">
        <v>525</v>
      </c>
      <c r="E6" s="89">
        <f t="shared" ref="E6:E14" si="1">IF(D6,(C6-D6)/D6,0)</f>
        <v>3.0419047619047621</v>
      </c>
      <c r="F6" s="76">
        <v>1172081</v>
      </c>
      <c r="G6" s="76">
        <v>472424</v>
      </c>
      <c r="H6" s="90">
        <f t="shared" ref="H6:H14" si="2">IF(G6,(F6-G6)/G6,0)</f>
        <v>1.4809937683098233</v>
      </c>
      <c r="I6" s="25">
        <f t="shared" ref="I6:J11" si="3">IF(C6,F6/C6,0)</f>
        <v>552.34731385485395</v>
      </c>
      <c r="J6" s="25">
        <f t="shared" si="3"/>
        <v>899.85523809523806</v>
      </c>
      <c r="K6" s="89">
        <f t="shared" si="0"/>
        <v>-0.38618203187433675</v>
      </c>
    </row>
    <row r="7" spans="1:11" ht="16.5">
      <c r="A7" s="21" t="s">
        <v>149</v>
      </c>
      <c r="B7" s="28" t="s">
        <v>150</v>
      </c>
      <c r="C7" s="23">
        <v>31</v>
      </c>
      <c r="D7" s="23">
        <v>25</v>
      </c>
      <c r="E7" s="89">
        <f t="shared" si="1"/>
        <v>0.24</v>
      </c>
      <c r="F7" s="76">
        <v>3126</v>
      </c>
      <c r="G7" s="76">
        <v>4460</v>
      </c>
      <c r="H7" s="90">
        <f t="shared" si="2"/>
        <v>-0.29910313901345292</v>
      </c>
      <c r="I7" s="25">
        <f t="shared" si="3"/>
        <v>100.83870967741936</v>
      </c>
      <c r="J7" s="25">
        <f t="shared" si="3"/>
        <v>178.4</v>
      </c>
      <c r="K7" s="89">
        <f t="shared" si="0"/>
        <v>-0.43476059597859107</v>
      </c>
    </row>
    <row r="8" spans="1:11" ht="16.5">
      <c r="A8" s="21" t="s">
        <v>151</v>
      </c>
      <c r="B8" s="28" t="s">
        <v>152</v>
      </c>
      <c r="C8" s="23">
        <v>317</v>
      </c>
      <c r="D8" s="23">
        <v>0</v>
      </c>
      <c r="E8" s="89">
        <f t="shared" si="1"/>
        <v>0</v>
      </c>
      <c r="F8" s="76">
        <v>180340</v>
      </c>
      <c r="G8" s="76">
        <v>0</v>
      </c>
      <c r="H8" s="90">
        <f t="shared" si="2"/>
        <v>0</v>
      </c>
      <c r="I8" s="25">
        <f t="shared" si="3"/>
        <v>568.89589905362777</v>
      </c>
      <c r="J8" s="25">
        <f t="shared" si="3"/>
        <v>0</v>
      </c>
      <c r="K8" s="89">
        <f t="shared" si="0"/>
        <v>0</v>
      </c>
    </row>
    <row r="9" spans="1:11" ht="16.5">
      <c r="A9" s="21" t="s">
        <v>153</v>
      </c>
      <c r="B9" s="28" t="s">
        <v>154</v>
      </c>
      <c r="C9" s="23">
        <v>15224</v>
      </c>
      <c r="D9" s="23">
        <v>2252</v>
      </c>
      <c r="E9" s="89">
        <f t="shared" si="1"/>
        <v>5.7602131438721136</v>
      </c>
      <c r="F9" s="76">
        <v>7224989</v>
      </c>
      <c r="G9" s="76">
        <v>2803697</v>
      </c>
      <c r="H9" s="90">
        <f t="shared" si="2"/>
        <v>1.5769507189970957</v>
      </c>
      <c r="I9" s="25">
        <f t="shared" si="3"/>
        <v>474.5788885969522</v>
      </c>
      <c r="J9" s="25">
        <f t="shared" si="3"/>
        <v>1244.9809058614564</v>
      </c>
      <c r="K9" s="89">
        <f t="shared" si="0"/>
        <v>-0.6188062914357948</v>
      </c>
    </row>
    <row r="10" spans="1:11" ht="16.5">
      <c r="A10" s="21" t="s">
        <v>155</v>
      </c>
      <c r="B10" s="28" t="s">
        <v>156</v>
      </c>
      <c r="C10" s="23">
        <v>25172</v>
      </c>
      <c r="D10" s="23">
        <v>8031</v>
      </c>
      <c r="E10" s="89">
        <f t="shared" si="1"/>
        <v>2.1343543767899389</v>
      </c>
      <c r="F10" s="76">
        <v>36033101</v>
      </c>
      <c r="G10" s="76">
        <v>10909879</v>
      </c>
      <c r="H10" s="90">
        <f t="shared" si="2"/>
        <v>2.3027956588702772</v>
      </c>
      <c r="I10" s="25">
        <f t="shared" si="3"/>
        <v>1431.4754886381693</v>
      </c>
      <c r="J10" s="25">
        <f t="shared" si="3"/>
        <v>1358.4708006474909</v>
      </c>
      <c r="K10" s="89">
        <f t="shared" si="0"/>
        <v>5.3740343889527815E-2</v>
      </c>
    </row>
    <row r="11" spans="1:11" ht="17.25" thickBot="1">
      <c r="A11" s="30" t="s">
        <v>157</v>
      </c>
      <c r="B11" s="70" t="s">
        <v>158</v>
      </c>
      <c r="C11" s="63">
        <f>SUM(C5:C10)</f>
        <v>59541</v>
      </c>
      <c r="D11" s="63">
        <f>SUM(D5:D10)</f>
        <v>11352</v>
      </c>
      <c r="E11" s="91">
        <f t="shared" si="1"/>
        <v>4.2449788583509518</v>
      </c>
      <c r="F11" s="77">
        <f>SUM(F5:F10)</f>
        <v>48565855</v>
      </c>
      <c r="G11" s="77">
        <f>SUM(G5:G10)</f>
        <v>14434673</v>
      </c>
      <c r="H11" s="91">
        <f t="shared" si="2"/>
        <v>2.3645275511263746</v>
      </c>
      <c r="I11" s="71">
        <f t="shared" si="3"/>
        <v>815.67079827345867</v>
      </c>
      <c r="J11" s="72">
        <f t="shared" si="3"/>
        <v>1271.5532945736434</v>
      </c>
      <c r="K11" s="91">
        <f t="shared" si="0"/>
        <v>-0.35852409666638774</v>
      </c>
    </row>
    <row r="12" spans="1:11" ht="11.25" customHeight="1" thickTop="1">
      <c r="A12" s="33"/>
      <c r="B12" s="34"/>
      <c r="E12" s="68"/>
      <c r="F12" s="78"/>
      <c r="G12" s="78"/>
      <c r="H12" s="68"/>
      <c r="I12" s="35"/>
      <c r="J12" s="69"/>
      <c r="K12" s="61"/>
    </row>
    <row r="13" spans="1:11" ht="16.5">
      <c r="A13" s="21" t="s">
        <v>207</v>
      </c>
      <c r="B13" s="22" t="s">
        <v>159</v>
      </c>
      <c r="C13" s="23">
        <v>14</v>
      </c>
      <c r="D13" s="23">
        <v>50</v>
      </c>
      <c r="E13" s="89">
        <f t="shared" si="1"/>
        <v>-0.72</v>
      </c>
      <c r="F13" s="76">
        <v>14387</v>
      </c>
      <c r="G13" s="76">
        <v>82175</v>
      </c>
      <c r="H13" s="92">
        <f t="shared" si="2"/>
        <v>-0.82492242166108909</v>
      </c>
      <c r="I13" s="25">
        <f t="shared" ref="I13:J13" si="4">IF(C13,F13/C13,0)</f>
        <v>1027.6428571428571</v>
      </c>
      <c r="J13" s="25">
        <f t="shared" si="4"/>
        <v>1643.5</v>
      </c>
      <c r="K13" s="89">
        <f t="shared" si="0"/>
        <v>-0.37472293450388983</v>
      </c>
    </row>
    <row r="14" spans="1:11" ht="17.25" thickBot="1">
      <c r="A14" s="106" t="s">
        <v>160</v>
      </c>
      <c r="B14" s="105" t="s">
        <v>80</v>
      </c>
      <c r="C14" s="109">
        <f>C11+C13</f>
        <v>59555</v>
      </c>
      <c r="D14" s="31">
        <f>D11+D13</f>
        <v>11402</v>
      </c>
      <c r="E14" s="91">
        <f t="shared" si="1"/>
        <v>4.2232064550078929</v>
      </c>
      <c r="F14" s="77">
        <f>F11+F13</f>
        <v>48580242</v>
      </c>
      <c r="G14" s="108">
        <f>G11+G13</f>
        <v>14516848</v>
      </c>
      <c r="H14" s="93">
        <f t="shared" si="2"/>
        <v>2.3464731462367037</v>
      </c>
      <c r="I14" s="102">
        <f>F14/C14</f>
        <v>815.72062799093271</v>
      </c>
      <c r="J14" s="72">
        <f>G14/D14</f>
        <v>1273.1843536221716</v>
      </c>
      <c r="K14" s="91">
        <f t="shared" si="0"/>
        <v>-0.35930674480075736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224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220</v>
      </c>
      <c r="D18" s="7" t="s">
        <v>221</v>
      </c>
      <c r="E18" s="9" t="s">
        <v>186</v>
      </c>
      <c r="F18" s="74" t="s">
        <v>222</v>
      </c>
      <c r="G18" s="74" t="s">
        <v>223</v>
      </c>
      <c r="H18" s="9" t="s">
        <v>186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196</v>
      </c>
      <c r="I19" s="45"/>
      <c r="J19" s="44"/>
    </row>
    <row r="20" spans="1:10">
      <c r="A20" s="46" t="s">
        <v>208</v>
      </c>
      <c r="B20" s="22" t="s">
        <v>162</v>
      </c>
      <c r="C20" s="23">
        <v>2264</v>
      </c>
      <c r="D20" s="23">
        <v>3089</v>
      </c>
      <c r="E20" s="90">
        <f t="shared" ref="E20:E42" si="5">IF(D20,(C20-D20)/D20,0)</f>
        <v>-0.267076723858854</v>
      </c>
      <c r="F20" s="76">
        <v>244929</v>
      </c>
      <c r="G20" s="76">
        <v>316051</v>
      </c>
      <c r="H20" s="94">
        <f t="shared" ref="H20:H42" si="6">IF(G20,(F20-G20)/G20,0)</f>
        <v>-0.22503330158740203</v>
      </c>
      <c r="I20" s="4"/>
      <c r="J20" s="4"/>
    </row>
    <row r="21" spans="1:10">
      <c r="A21" s="46" t="s">
        <v>209</v>
      </c>
      <c r="B21" s="22" t="s">
        <v>163</v>
      </c>
      <c r="C21" s="23">
        <v>911</v>
      </c>
      <c r="D21" s="23">
        <v>237</v>
      </c>
      <c r="E21" s="90">
        <f t="shared" si="5"/>
        <v>2.8438818565400843</v>
      </c>
      <c r="F21" s="76">
        <v>134659</v>
      </c>
      <c r="G21" s="76">
        <v>25414</v>
      </c>
      <c r="H21" s="94">
        <f t="shared" si="6"/>
        <v>4.2986149366490913</v>
      </c>
      <c r="I21" s="4"/>
      <c r="J21" s="4"/>
    </row>
    <row r="22" spans="1:10">
      <c r="A22" s="46">
        <v>87149120007</v>
      </c>
      <c r="B22" s="22" t="s">
        <v>164</v>
      </c>
      <c r="C22" s="23">
        <f>VLOOKUP(A22,[5]進出口值表查詢結果!$A$2:$D$19,4,0)</f>
        <v>426663</v>
      </c>
      <c r="D22" s="23">
        <f>VLOOKUP(A22,[6]進出口值表查詢結果!$A$2:$D$21,4,0)</f>
        <v>932753</v>
      </c>
      <c r="E22" s="90">
        <f t="shared" si="5"/>
        <v>-0.54257665212548234</v>
      </c>
      <c r="F22" s="76">
        <f>VLOOKUP(A22,[5]進出口值表查詢結果!$A$2:$D$19,3,0)</f>
        <v>20118138</v>
      </c>
      <c r="G22" s="76">
        <f>VLOOKUP(A22,[6]進出口值表查詢結果!$A$2:$D$21,3,0)</f>
        <v>33036250</v>
      </c>
      <c r="H22" s="94">
        <f t="shared" si="6"/>
        <v>-0.39102840062053046</v>
      </c>
      <c r="I22" s="4"/>
      <c r="J22" s="4"/>
    </row>
    <row r="23" spans="1:10">
      <c r="A23" s="46">
        <v>87149200108</v>
      </c>
      <c r="B23" s="22" t="s">
        <v>165</v>
      </c>
      <c r="C23" s="23">
        <f>VLOOKUP(A23,[5]進出口值表查詢結果!$A$2:$D$19,4,0)</f>
        <v>43535</v>
      </c>
      <c r="D23" s="23">
        <f>VLOOKUP(A23,[6]進出口值表查詢結果!$A$2:$D$21,4,0)</f>
        <v>95593</v>
      </c>
      <c r="E23" s="90">
        <f t="shared" si="5"/>
        <v>-0.54457962403104831</v>
      </c>
      <c r="F23" s="76">
        <f>VLOOKUP(A23,[5]進出口值表查詢結果!$A$2:$D$19,3,0)</f>
        <v>678709</v>
      </c>
      <c r="G23" s="76">
        <f>VLOOKUP(A23,[6]進出口值表查詢結果!$A$2:$D$21,3,0)</f>
        <v>972636</v>
      </c>
      <c r="H23" s="94">
        <f t="shared" si="6"/>
        <v>-0.30219629954062982</v>
      </c>
      <c r="I23" s="4"/>
      <c r="J23" s="4"/>
    </row>
    <row r="24" spans="1:10">
      <c r="A24" s="46">
        <v>87149200206</v>
      </c>
      <c r="B24" s="22" t="s">
        <v>166</v>
      </c>
      <c r="C24" s="23">
        <f>VLOOKUP(A24,[5]進出口值表查詢結果!$A$2:$D$19,4,0)</f>
        <v>29072</v>
      </c>
      <c r="D24" s="23">
        <f>VLOOKUP(A24,[6]進出口值表查詢結果!$A$2:$D$21,4,0)</f>
        <v>46765</v>
      </c>
      <c r="E24" s="90">
        <f t="shared" si="5"/>
        <v>-0.37833850101571687</v>
      </c>
      <c r="F24" s="76">
        <f>VLOOKUP(A24,[5]進出口值表查詢結果!$A$2:$D$19,3,0)</f>
        <v>824089</v>
      </c>
      <c r="G24" s="76">
        <f>VLOOKUP(A24,[6]進出口值表查詢結果!$A$2:$D$21,3,0)</f>
        <v>1083448</v>
      </c>
      <c r="H24" s="94">
        <f t="shared" si="6"/>
        <v>-0.23938296992564478</v>
      </c>
      <c r="I24" s="4"/>
      <c r="J24" s="4"/>
    </row>
    <row r="25" spans="1:10">
      <c r="A25" s="46">
        <v>87149200304</v>
      </c>
      <c r="B25" s="22" t="s">
        <v>167</v>
      </c>
      <c r="C25" s="23">
        <f>VLOOKUP(A25,[5]進出口值表查詢結果!$A$2:$D$19,4,0)</f>
        <v>15441</v>
      </c>
      <c r="D25" s="23">
        <f>VLOOKUP(A25,[6]進出口值表查詢結果!$A$2:$D$21,4,0)</f>
        <v>10756</v>
      </c>
      <c r="E25" s="90">
        <f t="shared" si="5"/>
        <v>0.43557084417999259</v>
      </c>
      <c r="F25" s="76">
        <f>VLOOKUP(A25,[5]進出口值表查詢結果!$A$2:$D$19,3,0)</f>
        <v>1622101</v>
      </c>
      <c r="G25" s="76">
        <f>VLOOKUP(A25,[6]進出口值表查詢結果!$A$2:$D$21,3,0)</f>
        <v>964400</v>
      </c>
      <c r="H25" s="94">
        <f t="shared" si="6"/>
        <v>0.68197946909995855</v>
      </c>
      <c r="I25" s="4"/>
      <c r="J25" s="4"/>
    </row>
    <row r="26" spans="1:10">
      <c r="A26" s="46">
        <v>87149310007</v>
      </c>
      <c r="B26" s="22" t="s">
        <v>168</v>
      </c>
      <c r="C26" s="23">
        <f>VLOOKUP(A26,[5]進出口值表查詢結果!$A$2:$D$19,4,0)</f>
        <v>18396</v>
      </c>
      <c r="D26" s="23">
        <f>VLOOKUP(A26,[6]進出口值表查詢結果!$A$2:$D$21,4,0)</f>
        <v>35662</v>
      </c>
      <c r="E26" s="90">
        <f t="shared" si="5"/>
        <v>-0.48415680556334473</v>
      </c>
      <c r="F26" s="76">
        <f>VLOOKUP(A26,[5]進出口值表查詢結果!$A$2:$D$19,3,0)</f>
        <v>1402419</v>
      </c>
      <c r="G26" s="76">
        <f>VLOOKUP(A26,[6]進出口值表查詢結果!$A$2:$D$21,3,0)</f>
        <v>3005001</v>
      </c>
      <c r="H26" s="94">
        <f t="shared" si="6"/>
        <v>-0.53330498059734421</v>
      </c>
      <c r="I26" s="4"/>
      <c r="J26" s="4"/>
    </row>
    <row r="27" spans="1:10">
      <c r="A27" s="46">
        <v>87149320103</v>
      </c>
      <c r="B27" s="22" t="s">
        <v>169</v>
      </c>
      <c r="C27" s="23">
        <f>VLOOKUP(A27,[5]進出口值表查詢結果!$A$2:$D$19,4,0)</f>
        <v>3771</v>
      </c>
      <c r="D27" s="23">
        <f>VLOOKUP(A27,[6]進出口值表查詢結果!$A$2:$D$21,4,0)</f>
        <v>3637</v>
      </c>
      <c r="E27" s="90">
        <f t="shared" si="5"/>
        <v>3.684355237833379E-2</v>
      </c>
      <c r="F27" s="76">
        <f>VLOOKUP(A27,[5]進出口值表查詢結果!$A$2:$D$19,3,0)</f>
        <v>186203</v>
      </c>
      <c r="G27" s="76">
        <f>VLOOKUP(A27,[6]進出口值表查詢結果!$A$2:$D$21,3,0)</f>
        <v>169622</v>
      </c>
      <c r="H27" s="94">
        <f t="shared" si="6"/>
        <v>9.7752650010022285E-2</v>
      </c>
      <c r="I27" s="4"/>
      <c r="J27" s="4"/>
    </row>
    <row r="28" spans="1:10">
      <c r="A28" s="46">
        <v>87149410006</v>
      </c>
      <c r="B28" s="22" t="s">
        <v>170</v>
      </c>
      <c r="C28" s="23">
        <f>VLOOKUP(A28,[5]進出口值表查詢結果!$A$2:$D$19,4,0)</f>
        <v>443</v>
      </c>
      <c r="D28" s="23">
        <f>VLOOKUP(A28,[6]進出口值表查詢結果!$A$2:$D$21,4,0)</f>
        <v>364</v>
      </c>
      <c r="E28" s="90">
        <f t="shared" si="5"/>
        <v>0.21703296703296704</v>
      </c>
      <c r="F28" s="76">
        <f>VLOOKUP(A28,[5]進出口值表查詢結果!$A$2:$D$19,3,0)</f>
        <v>9871</v>
      </c>
      <c r="G28" s="76">
        <f>VLOOKUP(A28,[6]進出口值表查詢結果!$A$2:$D$21,3,0)</f>
        <v>7595</v>
      </c>
      <c r="H28" s="94">
        <f t="shared" si="6"/>
        <v>0.29967083607636602</v>
      </c>
      <c r="I28" s="4"/>
      <c r="J28" s="4"/>
    </row>
    <row r="29" spans="1:10">
      <c r="A29" s="46">
        <v>87149490009</v>
      </c>
      <c r="B29" s="22" t="s">
        <v>171</v>
      </c>
      <c r="C29" s="23">
        <f>VLOOKUP(A29,[5]進出口值表查詢結果!$A$2:$D$19,4,0)</f>
        <v>250949</v>
      </c>
      <c r="D29" s="23">
        <f>VLOOKUP(A29,[6]進出口值表查詢結果!$A$2:$D$21,4,0)</f>
        <v>881672</v>
      </c>
      <c r="E29" s="90">
        <f t="shared" si="5"/>
        <v>-0.71537147601375572</v>
      </c>
      <c r="F29" s="76">
        <f>VLOOKUP(A29,[5]進出口值表查詢結果!$A$2:$D$19,3,0)</f>
        <v>11640254</v>
      </c>
      <c r="G29" s="76">
        <f>VLOOKUP(A29,[6]進出口值表查詢結果!$A$2:$D$21,3,0)</f>
        <v>28636091</v>
      </c>
      <c r="H29" s="94">
        <f t="shared" si="6"/>
        <v>-0.59351106964983458</v>
      </c>
      <c r="I29" s="4"/>
      <c r="J29" s="4"/>
    </row>
    <row r="30" spans="1:10">
      <c r="A30" s="46">
        <v>87149500007</v>
      </c>
      <c r="B30" s="22" t="s">
        <v>172</v>
      </c>
      <c r="C30" s="23">
        <f>VLOOKUP(A30,[5]進出口值表查詢結果!$A$2:$D$19,4,0)</f>
        <v>11631</v>
      </c>
      <c r="D30" s="23">
        <f>VLOOKUP(A30,[6]進出口值表查詢結果!$A$2:$D$21,4,0)</f>
        <v>13147</v>
      </c>
      <c r="E30" s="90">
        <f t="shared" si="5"/>
        <v>-0.11531147790370427</v>
      </c>
      <c r="F30" s="76">
        <f>VLOOKUP(A30,[5]進出口值表查詢結果!$A$2:$D$19,3,0)</f>
        <v>471625</v>
      </c>
      <c r="G30" s="76">
        <f>VLOOKUP(A30,[6]進出口值表查詢結果!$A$2:$D$21,3,0)</f>
        <v>466503</v>
      </c>
      <c r="H30" s="94">
        <f t="shared" si="6"/>
        <v>1.0979564976002299E-2</v>
      </c>
      <c r="I30" s="4"/>
      <c r="J30" s="4"/>
    </row>
    <row r="31" spans="1:10">
      <c r="A31" s="46">
        <v>87149610004</v>
      </c>
      <c r="B31" s="22" t="s">
        <v>173</v>
      </c>
      <c r="C31" s="23">
        <f>VLOOKUP(A31,[5]進出口值表查詢結果!$A$2:$D$19,4,0)</f>
        <v>35370</v>
      </c>
      <c r="D31" s="23">
        <f>VLOOKUP(A31,[6]進出口值表查詢結果!$A$2:$D$21,4,0)</f>
        <v>96832</v>
      </c>
      <c r="E31" s="90">
        <f t="shared" si="5"/>
        <v>-0.63472818902842032</v>
      </c>
      <c r="F31" s="76">
        <f>VLOOKUP(A31,[5]進出口值表查詢結果!$A$2:$D$19,3,0)</f>
        <v>577064</v>
      </c>
      <c r="G31" s="76">
        <f>VLOOKUP(A31,[6]進出口值表查詢結果!$A$2:$D$21,3,0)</f>
        <v>1584234</v>
      </c>
      <c r="H31" s="94">
        <f t="shared" si="6"/>
        <v>-0.63574572948188213</v>
      </c>
      <c r="I31" s="4"/>
      <c r="J31" s="4"/>
    </row>
    <row r="32" spans="1:10">
      <c r="A32" s="46">
        <v>87149620002</v>
      </c>
      <c r="B32" s="22" t="s">
        <v>174</v>
      </c>
      <c r="C32" s="23">
        <f>VLOOKUP(A32,[5]進出口值表查詢結果!$A$2:$D$19,4,0)</f>
        <v>96374</v>
      </c>
      <c r="D32" s="23">
        <f>VLOOKUP(A32,[6]進出口值表查詢結果!$A$2:$D$21,4,0)</f>
        <v>148482</v>
      </c>
      <c r="E32" s="90">
        <f t="shared" si="5"/>
        <v>-0.35093816085451435</v>
      </c>
      <c r="F32" s="76">
        <f>VLOOKUP(A32,[5]進出口值表查詢結果!$A$2:$D$19,3,0)</f>
        <v>4706184</v>
      </c>
      <c r="G32" s="76">
        <f>VLOOKUP(A32,[6]進出口值表查詢結果!$A$2:$D$21,3,0)</f>
        <v>5302963</v>
      </c>
      <c r="H32" s="94">
        <f t="shared" si="6"/>
        <v>-0.11253689682541629</v>
      </c>
      <c r="I32" s="4"/>
      <c r="J32" s="4"/>
    </row>
    <row r="33" spans="1:10">
      <c r="A33" s="46" t="s">
        <v>210</v>
      </c>
      <c r="B33" s="22" t="s">
        <v>175</v>
      </c>
      <c r="C33" s="23">
        <v>35390</v>
      </c>
      <c r="D33" s="23">
        <v>48040</v>
      </c>
      <c r="E33" s="90">
        <f t="shared" si="5"/>
        <v>-0.26332223147377187</v>
      </c>
      <c r="F33" s="76">
        <v>982808</v>
      </c>
      <c r="G33" s="76">
        <v>1143375</v>
      </c>
      <c r="H33" s="94">
        <f t="shared" si="6"/>
        <v>-0.14043249152727671</v>
      </c>
      <c r="I33" s="4"/>
      <c r="J33" s="4"/>
    </row>
    <row r="34" spans="1:10">
      <c r="A34" s="46">
        <v>87149990111</v>
      </c>
      <c r="B34" s="22" t="s">
        <v>176</v>
      </c>
      <c r="C34" s="23">
        <f>VLOOKUP(A34,[5]進出口值表查詢結果!$A$2:$D$19,4,0)</f>
        <v>75084</v>
      </c>
      <c r="D34" s="23">
        <f>VLOOKUP(A34,[6]進出口值表查詢結果!$A$2:$D$21,4,0)</f>
        <v>68951</v>
      </c>
      <c r="E34" s="90">
        <f t="shared" si="5"/>
        <v>8.8947223390523703E-2</v>
      </c>
      <c r="F34" s="76">
        <f>VLOOKUP(A34,[5]進出口值表查詢結果!$A$2:$D$19,3,0)</f>
        <v>7622320</v>
      </c>
      <c r="G34" s="76">
        <f>VLOOKUP(A34,[6]進出口值表查詢結果!$A$2:$D$21,3,0)</f>
        <v>6242440</v>
      </c>
      <c r="H34" s="94">
        <f t="shared" si="6"/>
        <v>0.22104817987838088</v>
      </c>
      <c r="I34" s="4"/>
      <c r="J34" s="4"/>
    </row>
    <row r="35" spans="1:10">
      <c r="A35" s="46">
        <v>87149320906</v>
      </c>
      <c r="B35" s="22" t="s">
        <v>177</v>
      </c>
      <c r="C35" s="23">
        <f>VLOOKUP(A35,[5]進出口值表查詢結果!$A$2:$D$19,4,0)</f>
        <v>141199</v>
      </c>
      <c r="D35" s="23">
        <f>VLOOKUP(A35,[6]進出口值表查詢結果!$A$2:$D$21,4,0)</f>
        <v>48981</v>
      </c>
      <c r="E35" s="90">
        <f t="shared" si="5"/>
        <v>1.8827300381780689</v>
      </c>
      <c r="F35" s="76">
        <f>VLOOKUP(A35,[5]進出口值表查詢結果!$A$2:$D$19,3,0)</f>
        <v>4622698</v>
      </c>
      <c r="G35" s="76">
        <f>VLOOKUP(A35,[6]進出口值表查詢結果!$A$2:$D$21,3,0)</f>
        <v>1221584</v>
      </c>
      <c r="H35" s="94">
        <f t="shared" si="6"/>
        <v>2.7841834863586947</v>
      </c>
      <c r="I35" s="4"/>
      <c r="J35" s="4"/>
    </row>
    <row r="36" spans="1:10">
      <c r="A36" s="46">
        <v>87149990139</v>
      </c>
      <c r="B36" s="22" t="s">
        <v>178</v>
      </c>
      <c r="C36" s="23">
        <f>VLOOKUP(A36,[5]進出口值表查詢結果!$A$2:$D$19,4,0)</f>
        <v>5794</v>
      </c>
      <c r="D36" s="23">
        <f>VLOOKUP(A36,[6]進出口值表查詢結果!$A$2:$D$21,4,0)</f>
        <v>11300</v>
      </c>
      <c r="E36" s="90">
        <f t="shared" si="5"/>
        <v>-0.4872566371681416</v>
      </c>
      <c r="F36" s="76">
        <f>VLOOKUP(A36,[5]進出口值表查詢結果!$A$2:$D$19,3,0)</f>
        <v>117686</v>
      </c>
      <c r="G36" s="76">
        <f>VLOOKUP(A36,[6]進出口值表查詢結果!$A$2:$D$21,3,0)</f>
        <v>252544</v>
      </c>
      <c r="H36" s="94">
        <f t="shared" si="6"/>
        <v>-0.53399803598580842</v>
      </c>
      <c r="I36" s="4"/>
      <c r="J36" s="4"/>
    </row>
    <row r="37" spans="1:10">
      <c r="A37" s="46">
        <v>87149990148</v>
      </c>
      <c r="B37" s="22" t="s">
        <v>179</v>
      </c>
      <c r="C37" s="23">
        <f>VLOOKUP(A37,[5]進出口值表查詢結果!$A$2:$D$19,4,0)</f>
        <v>10430</v>
      </c>
      <c r="D37" s="23">
        <f>VLOOKUP(A37,[6]進出口值表查詢結果!$A$2:$D$21,4,0)</f>
        <v>35497</v>
      </c>
      <c r="E37" s="90">
        <f t="shared" si="5"/>
        <v>-0.7061723525931769</v>
      </c>
      <c r="F37" s="76">
        <f>VLOOKUP(A37,[5]進出口值表查詢結果!$A$2:$D$19,3,0)</f>
        <v>447329</v>
      </c>
      <c r="G37" s="76">
        <f>VLOOKUP(A37,[6]進出口值表查詢結果!$A$2:$D$21,3,0)</f>
        <v>959013</v>
      </c>
      <c r="H37" s="94">
        <f t="shared" si="6"/>
        <v>-0.53355272556263578</v>
      </c>
      <c r="I37" s="4"/>
      <c r="J37" s="4"/>
    </row>
    <row r="38" spans="1:10">
      <c r="A38" s="46">
        <v>87149990157</v>
      </c>
      <c r="B38" s="22" t="s">
        <v>180</v>
      </c>
      <c r="C38" s="23">
        <f>VLOOKUP(A38,[5]進出口值表查詢結果!$A$2:$D$19,4,0)</f>
        <v>17441</v>
      </c>
      <c r="D38" s="23">
        <f>VLOOKUP(A38,[6]進出口值表查詢結果!$A$2:$D$21,4,0)</f>
        <v>33259</v>
      </c>
      <c r="E38" s="90">
        <f t="shared" si="5"/>
        <v>-0.4756005893141706</v>
      </c>
      <c r="F38" s="76">
        <f>VLOOKUP(A38,[5]進出口值表查詢結果!$A$2:$D$19,3,0)</f>
        <v>717236</v>
      </c>
      <c r="G38" s="76">
        <f>VLOOKUP(A38,[6]進出口值表查詢結果!$A$2:$D$21,3,0)</f>
        <v>1538266</v>
      </c>
      <c r="H38" s="94">
        <f t="shared" si="6"/>
        <v>-0.53373733801566181</v>
      </c>
      <c r="I38" s="4"/>
      <c r="J38" s="4"/>
    </row>
    <row r="39" spans="1:10">
      <c r="A39" s="46">
        <v>87149990166</v>
      </c>
      <c r="B39" s="22" t="s">
        <v>181</v>
      </c>
      <c r="C39" s="23">
        <f>VLOOKUP(A39,[5]進出口值表查詢結果!$A$2:$D$19,4,0)</f>
        <v>28601</v>
      </c>
      <c r="D39" s="23">
        <f>VLOOKUP(A39,[6]進出口值表查詢結果!$A$2:$D$21,4,0)</f>
        <v>48809</v>
      </c>
      <c r="E39" s="90">
        <f t="shared" si="5"/>
        <v>-0.41402200413858098</v>
      </c>
      <c r="F39" s="76">
        <f>VLOOKUP(A39,[5]進出口值表查詢結果!$A$2:$D$19,3,0)</f>
        <v>1152643</v>
      </c>
      <c r="G39" s="76">
        <f>VLOOKUP(A39,[6]進出口值表查詢結果!$A$2:$D$21,3,0)</f>
        <v>1081340</v>
      </c>
      <c r="H39" s="94">
        <f t="shared" si="6"/>
        <v>6.59394824939427E-2</v>
      </c>
      <c r="I39" s="4"/>
      <c r="J39" s="4"/>
    </row>
    <row r="40" spans="1:10">
      <c r="A40" s="46" t="s">
        <v>211</v>
      </c>
      <c r="B40" s="22" t="s">
        <v>182</v>
      </c>
      <c r="C40" s="23">
        <v>183143</v>
      </c>
      <c r="D40" s="23">
        <v>287989</v>
      </c>
      <c r="E40" s="90">
        <f t="shared" si="5"/>
        <v>-0.36406251627666336</v>
      </c>
      <c r="F40" s="76">
        <v>3523692</v>
      </c>
      <c r="G40" s="76">
        <v>5294045</v>
      </c>
      <c r="H40" s="94">
        <f t="shared" si="6"/>
        <v>-0.33440459988534288</v>
      </c>
      <c r="I40" s="4"/>
      <c r="J40" s="4"/>
    </row>
    <row r="41" spans="1:10">
      <c r="A41" s="46" t="s">
        <v>212</v>
      </c>
      <c r="B41" s="22" t="s">
        <v>183</v>
      </c>
      <c r="C41" s="23">
        <v>5296</v>
      </c>
      <c r="D41" s="23">
        <v>14875</v>
      </c>
      <c r="E41" s="90">
        <f t="shared" si="5"/>
        <v>-0.64396638655462179</v>
      </c>
      <c r="F41" s="76">
        <v>62026</v>
      </c>
      <c r="G41" s="76">
        <v>237728</v>
      </c>
      <c r="H41" s="94">
        <f t="shared" si="6"/>
        <v>-0.73908836990173643</v>
      </c>
      <c r="I41" s="4"/>
      <c r="J41" s="4"/>
    </row>
    <row r="42" spans="1:10" ht="18.75" customHeight="1" thickBot="1">
      <c r="A42" s="132" t="s">
        <v>160</v>
      </c>
      <c r="B42" s="133"/>
      <c r="C42" s="63">
        <f>SUM(C20:C41)</f>
        <v>1437198</v>
      </c>
      <c r="D42" s="63">
        <f>SUM(D20:D41)</f>
        <v>2866690</v>
      </c>
      <c r="E42" s="91">
        <f t="shared" si="5"/>
        <v>-0.49865594117257184</v>
      </c>
      <c r="F42" s="77">
        <f>SUM(F20:F41)</f>
        <v>61864683</v>
      </c>
      <c r="G42" s="77">
        <f>SUM(G20:G41)</f>
        <v>93540543</v>
      </c>
      <c r="H42" s="91">
        <f t="shared" si="6"/>
        <v>-0.33863241525121357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161" priority="9" operator="greaterThanOrEqual">
      <formula>0</formula>
    </cfRule>
    <cfRule type="cellIs" dxfId="160" priority="10" operator="lessThan">
      <formula>0</formula>
    </cfRule>
  </conditionalFormatting>
  <conditionalFormatting sqref="E13">
    <cfRule type="cellIs" dxfId="159" priority="5" operator="greaterThanOrEqual">
      <formula>0</formula>
    </cfRule>
    <cfRule type="cellIs" dxfId="158" priority="6" operator="lessThan">
      <formula>0</formula>
    </cfRule>
  </conditionalFormatting>
  <conditionalFormatting sqref="E20:E41">
    <cfRule type="cellIs" dxfId="157" priority="13" operator="greaterThanOrEqual">
      <formula>0</formula>
    </cfRule>
    <cfRule type="cellIs" dxfId="156" priority="14" operator="lessThan">
      <formula>0</formula>
    </cfRule>
  </conditionalFormatting>
  <conditionalFormatting sqref="H5:H10">
    <cfRule type="cellIs" dxfId="155" priority="11" operator="greaterThanOrEqual">
      <formula>0</formula>
    </cfRule>
    <cfRule type="cellIs" dxfId="154" priority="12" operator="lessThan">
      <formula>0</formula>
    </cfRule>
  </conditionalFormatting>
  <conditionalFormatting sqref="H13">
    <cfRule type="cellIs" dxfId="153" priority="3" operator="greaterThanOrEqual">
      <formula>0</formula>
    </cfRule>
    <cfRule type="cellIs" dxfId="152" priority="4" operator="lessThan">
      <formula>0</formula>
    </cfRule>
  </conditionalFormatting>
  <conditionalFormatting sqref="K5:K10">
    <cfRule type="cellIs" dxfId="151" priority="7" operator="greaterThanOrEqual">
      <formula>0</formula>
    </cfRule>
    <cfRule type="cellIs" dxfId="150" priority="8" operator="lessThan">
      <formula>0</formula>
    </cfRule>
  </conditionalFormatting>
  <conditionalFormatting sqref="K13">
    <cfRule type="cellIs" dxfId="149" priority="1" operator="greaterThanOrEqual">
      <formula>0</formula>
    </cfRule>
    <cfRule type="cellIs" dxfId="148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3999755851924192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131" t="s">
        <v>225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137</v>
      </c>
      <c r="B3" s="6" t="s">
        <v>138</v>
      </c>
      <c r="C3" s="7" t="s">
        <v>220</v>
      </c>
      <c r="D3" s="7" t="s">
        <v>221</v>
      </c>
      <c r="E3" s="9" t="s">
        <v>197</v>
      </c>
      <c r="F3" s="74" t="s">
        <v>222</v>
      </c>
      <c r="G3" s="74" t="s">
        <v>223</v>
      </c>
      <c r="H3" s="9" t="s">
        <v>197</v>
      </c>
      <c r="I3" s="56" t="s">
        <v>187</v>
      </c>
      <c r="J3" s="56" t="s">
        <v>227</v>
      </c>
      <c r="K3" s="64" t="s">
        <v>226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65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15883</v>
      </c>
      <c r="D5" s="23">
        <v>10719</v>
      </c>
      <c r="E5" s="89">
        <f>IF(D5,(C5-D5)/D5,0)</f>
        <v>0.48176135833566563</v>
      </c>
      <c r="F5" s="76">
        <v>1040635</v>
      </c>
      <c r="G5" s="76">
        <v>764009</v>
      </c>
      <c r="H5" s="90">
        <f t="shared" ref="H5:H14" si="0">(F5-G5)/G5</f>
        <v>0.3620716509884046</v>
      </c>
      <c r="I5" s="25">
        <f t="shared" ref="I5:J11" si="1">F5/C5</f>
        <v>65.518793678776049</v>
      </c>
      <c r="J5" s="25">
        <f t="shared" si="1"/>
        <v>71.276145162795032</v>
      </c>
      <c r="K5" s="89">
        <f t="shared" ref="K5:K14" si="2">(I5-J5)/J5</f>
        <v>-8.0775292643410587E-2</v>
      </c>
    </row>
    <row r="6" spans="1:11" ht="16.5">
      <c r="A6" s="26" t="s">
        <v>205</v>
      </c>
      <c r="B6" s="27" t="s">
        <v>148</v>
      </c>
      <c r="C6" s="23">
        <v>9717</v>
      </c>
      <c r="D6" s="23">
        <v>14502</v>
      </c>
      <c r="E6" s="89">
        <f t="shared" ref="E6:E14" si="3">IF(D6,(C6-D6)/D6,0)</f>
        <v>-0.32995448903599506</v>
      </c>
      <c r="F6" s="76">
        <v>1032440</v>
      </c>
      <c r="G6" s="76">
        <v>1594729</v>
      </c>
      <c r="H6" s="90">
        <f t="shared" si="0"/>
        <v>-0.35259219591541885</v>
      </c>
      <c r="I6" s="25">
        <f t="shared" si="1"/>
        <v>106.25090048368838</v>
      </c>
      <c r="J6" s="25">
        <f t="shared" si="1"/>
        <v>109.96614260102055</v>
      </c>
      <c r="K6" s="89">
        <f t="shared" si="2"/>
        <v>-3.3785327278522612E-2</v>
      </c>
    </row>
    <row r="7" spans="1:11" ht="16.5">
      <c r="A7" s="21" t="s">
        <v>149</v>
      </c>
      <c r="B7" s="28" t="s">
        <v>150</v>
      </c>
      <c r="C7" s="23">
        <v>16001</v>
      </c>
      <c r="D7" s="23">
        <v>12261</v>
      </c>
      <c r="E7" s="89">
        <f t="shared" si="3"/>
        <v>0.30503221596933366</v>
      </c>
      <c r="F7" s="76">
        <v>939538</v>
      </c>
      <c r="G7" s="76">
        <v>745855</v>
      </c>
      <c r="H7" s="90">
        <f t="shared" si="0"/>
        <v>0.25967916015847586</v>
      </c>
      <c r="I7" s="25">
        <f t="shared" si="1"/>
        <v>58.717455159052562</v>
      </c>
      <c r="J7" s="25">
        <f t="shared" si="1"/>
        <v>60.831498246472556</v>
      </c>
      <c r="K7" s="89">
        <f t="shared" si="2"/>
        <v>-3.4752441553460849E-2</v>
      </c>
    </row>
    <row r="8" spans="1:11" ht="16.5">
      <c r="A8" s="21" t="s">
        <v>151</v>
      </c>
      <c r="B8" s="28" t="s">
        <v>152</v>
      </c>
      <c r="C8" s="23">
        <v>21798</v>
      </c>
      <c r="D8" s="23">
        <v>24779</v>
      </c>
      <c r="E8" s="89">
        <f t="shared" si="3"/>
        <v>-0.12030348278784454</v>
      </c>
      <c r="F8" s="76">
        <v>2550717</v>
      </c>
      <c r="G8" s="76">
        <v>3242714</v>
      </c>
      <c r="H8" s="90">
        <f t="shared" si="0"/>
        <v>-0.213400565082212</v>
      </c>
      <c r="I8" s="25">
        <f t="shared" si="1"/>
        <v>117.01610239471511</v>
      </c>
      <c r="J8" s="25">
        <f t="shared" si="1"/>
        <v>130.86541022640139</v>
      </c>
      <c r="K8" s="89">
        <f t="shared" si="2"/>
        <v>-0.10582863575429549</v>
      </c>
    </row>
    <row r="9" spans="1:11" ht="16.5">
      <c r="A9" s="21" t="s">
        <v>153</v>
      </c>
      <c r="B9" s="28" t="s">
        <v>154</v>
      </c>
      <c r="C9" s="23">
        <v>5905</v>
      </c>
      <c r="D9" s="23">
        <v>8166</v>
      </c>
      <c r="E9" s="89">
        <f t="shared" si="3"/>
        <v>-0.27687974528532944</v>
      </c>
      <c r="F9" s="76">
        <v>726466</v>
      </c>
      <c r="G9" s="76">
        <v>1028123</v>
      </c>
      <c r="H9" s="90">
        <f t="shared" si="0"/>
        <v>-0.29340555556095915</v>
      </c>
      <c r="I9" s="25">
        <f t="shared" si="1"/>
        <v>123.02557154953429</v>
      </c>
      <c r="J9" s="25">
        <f t="shared" si="1"/>
        <v>125.90289003183933</v>
      </c>
      <c r="K9" s="89">
        <f t="shared" si="2"/>
        <v>-2.2853474464147754E-2</v>
      </c>
    </row>
    <row r="10" spans="1:11" ht="16.5">
      <c r="A10" s="21" t="s">
        <v>155</v>
      </c>
      <c r="B10" s="28" t="s">
        <v>156</v>
      </c>
      <c r="C10" s="23">
        <v>7058</v>
      </c>
      <c r="D10" s="23">
        <v>5478</v>
      </c>
      <c r="E10" s="89">
        <f t="shared" si="3"/>
        <v>0.28842643300474624</v>
      </c>
      <c r="F10" s="76">
        <v>1385477</v>
      </c>
      <c r="G10" s="76">
        <v>1288997</v>
      </c>
      <c r="H10" s="90">
        <f t="shared" si="0"/>
        <v>7.4848894140172553E-2</v>
      </c>
      <c r="I10" s="25">
        <f t="shared" si="1"/>
        <v>196.29880986115046</v>
      </c>
      <c r="J10" s="25">
        <f t="shared" si="1"/>
        <v>235.30430814165754</v>
      </c>
      <c r="K10" s="89">
        <f t="shared" si="2"/>
        <v>-0.165766188424502</v>
      </c>
    </row>
    <row r="11" spans="1:11" ht="17.25" thickBot="1">
      <c r="A11" s="48" t="s">
        <v>157</v>
      </c>
      <c r="B11" s="70" t="s">
        <v>158</v>
      </c>
      <c r="C11" s="63">
        <f>SUM(C5:C10)</f>
        <v>76362</v>
      </c>
      <c r="D11" s="63">
        <f>SUM(D5:D10)</f>
        <v>75905</v>
      </c>
      <c r="E11" s="91">
        <f t="shared" si="3"/>
        <v>6.0206837494236219E-3</v>
      </c>
      <c r="F11" s="77">
        <f>SUM(F5:F10)</f>
        <v>7675273</v>
      </c>
      <c r="G11" s="77">
        <f>SUM(G5:G10)</f>
        <v>8664427</v>
      </c>
      <c r="H11" s="91">
        <f t="shared" si="0"/>
        <v>-0.11416265611101577</v>
      </c>
      <c r="I11" s="102">
        <f t="shared" si="1"/>
        <v>100.51168120269244</v>
      </c>
      <c r="J11" s="72">
        <f t="shared" si="1"/>
        <v>114.14830380080363</v>
      </c>
      <c r="K11" s="91">
        <f t="shared" si="2"/>
        <v>-0.11946408438891917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207</v>
      </c>
      <c r="B13" s="22" t="s">
        <v>159</v>
      </c>
      <c r="C13" s="23">
        <v>622</v>
      </c>
      <c r="D13" s="23">
        <v>224</v>
      </c>
      <c r="E13" s="89">
        <f t="shared" si="3"/>
        <v>1.7767857142857142</v>
      </c>
      <c r="F13" s="76">
        <v>32281</v>
      </c>
      <c r="G13" s="76">
        <v>38765</v>
      </c>
      <c r="H13" s="92">
        <f t="shared" si="0"/>
        <v>-0.16726428479298336</v>
      </c>
      <c r="I13" s="25">
        <f>F13/C13</f>
        <v>51.89871382636656</v>
      </c>
      <c r="J13" s="25">
        <f>G13/D13</f>
        <v>173.05803571428572</v>
      </c>
      <c r="K13" s="89">
        <f t="shared" si="2"/>
        <v>-0.70010803825342172</v>
      </c>
    </row>
    <row r="14" spans="1:11" ht="17.25" thickBot="1">
      <c r="A14" s="48" t="s">
        <v>160</v>
      </c>
      <c r="B14" s="73" t="s">
        <v>80</v>
      </c>
      <c r="C14" s="109">
        <f>C11+C13</f>
        <v>76984</v>
      </c>
      <c r="D14" s="31">
        <f>D11+D13</f>
        <v>76129</v>
      </c>
      <c r="E14" s="91">
        <f t="shared" si="3"/>
        <v>1.1230936962261425E-2</v>
      </c>
      <c r="F14" s="77">
        <f>F11+F13</f>
        <v>7707554</v>
      </c>
      <c r="G14" s="108">
        <f>G11+G13</f>
        <v>8703192</v>
      </c>
      <c r="H14" s="93">
        <f t="shared" si="0"/>
        <v>-0.11439917676181337</v>
      </c>
      <c r="I14" s="102">
        <f>F14/C14</f>
        <v>100.11890782500259</v>
      </c>
      <c r="J14" s="72">
        <f>G14/D14</f>
        <v>114.32163827188063</v>
      </c>
      <c r="K14" s="91">
        <f t="shared" si="2"/>
        <v>-0.12423484006676837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228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220</v>
      </c>
      <c r="D18" s="7" t="s">
        <v>221</v>
      </c>
      <c r="E18" s="9" t="s">
        <v>197</v>
      </c>
      <c r="F18" s="74" t="s">
        <v>222</v>
      </c>
      <c r="G18" s="74" t="s">
        <v>223</v>
      </c>
      <c r="H18" s="9" t="s">
        <v>197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193</v>
      </c>
      <c r="I19" s="4"/>
      <c r="J19" s="4"/>
    </row>
    <row r="20" spans="1:10">
      <c r="A20" s="46" t="s">
        <v>208</v>
      </c>
      <c r="B20" s="22" t="s">
        <v>162</v>
      </c>
      <c r="C20" s="23">
        <v>12077</v>
      </c>
      <c r="D20" s="23">
        <v>23620</v>
      </c>
      <c r="E20" s="90">
        <f>(C20-D20)/D20</f>
        <v>-0.48869602032176124</v>
      </c>
      <c r="F20" s="76">
        <v>684212</v>
      </c>
      <c r="G20" s="76">
        <v>1245278</v>
      </c>
      <c r="H20" s="94">
        <f t="shared" ref="H20:H24" si="4">IF(G20,(F20-G20)/G20,0)</f>
        <v>-0.45055481587243973</v>
      </c>
      <c r="I20" s="4"/>
      <c r="J20" s="4"/>
    </row>
    <row r="21" spans="1:10">
      <c r="A21" s="46" t="s">
        <v>209</v>
      </c>
      <c r="B21" s="22" t="s">
        <v>163</v>
      </c>
      <c r="C21" s="23">
        <v>9720</v>
      </c>
      <c r="D21" s="23">
        <v>14562</v>
      </c>
      <c r="E21" s="90">
        <f t="shared" ref="E21:E41" si="5">IF(D21,(C21-D21)/D21,0)</f>
        <v>-0.33250927070457353</v>
      </c>
      <c r="F21" s="76">
        <v>681012</v>
      </c>
      <c r="G21" s="76">
        <v>900494</v>
      </c>
      <c r="H21" s="94">
        <f t="shared" si="4"/>
        <v>-0.24373510539770393</v>
      </c>
      <c r="I21" s="4"/>
      <c r="J21" s="4"/>
    </row>
    <row r="22" spans="1:10">
      <c r="A22" s="46">
        <v>87149120007</v>
      </c>
      <c r="B22" s="22" t="s">
        <v>164</v>
      </c>
      <c r="C22" s="23">
        <f>VLOOKUP(A22,[7]進出口值表查詢結果!$A$2:$D$19,4,0)</f>
        <v>2709509</v>
      </c>
      <c r="D22" s="23">
        <f>VLOOKUP(A22,[8]進出口值表查詢結果!$A$2:$E$21,4,0)</f>
        <v>4534147</v>
      </c>
      <c r="E22" s="90">
        <f t="shared" si="5"/>
        <v>-0.4024214477386816</v>
      </c>
      <c r="F22" s="76">
        <f>VLOOKUP(A22,[7]進出口值表查詢結果!$A$2:$D$19,3,0)</f>
        <v>143692618</v>
      </c>
      <c r="G22" s="76">
        <f>VLOOKUP(A22,[8]進出口值表查詢結果!$A$2:$E$21,3,0)</f>
        <v>178538762</v>
      </c>
      <c r="H22" s="94">
        <f t="shared" si="4"/>
        <v>-0.19517411014645661</v>
      </c>
      <c r="I22" s="4"/>
      <c r="J22" s="4"/>
    </row>
    <row r="23" spans="1:10">
      <c r="A23" s="46">
        <v>87149200108</v>
      </c>
      <c r="B23" s="22" t="s">
        <v>165</v>
      </c>
      <c r="C23" s="23">
        <f>VLOOKUP(A23,[7]進出口值表查詢結果!$A$2:$D$19,4,0)</f>
        <v>399837</v>
      </c>
      <c r="D23" s="23">
        <f>VLOOKUP(A23,[8]進出口值表查詢結果!$A$2:$E$21,4,0)</f>
        <v>642995</v>
      </c>
      <c r="E23" s="90">
        <f t="shared" si="5"/>
        <v>-0.37816468246253859</v>
      </c>
      <c r="F23" s="76">
        <f>VLOOKUP(A23,[7]進出口值表查詢結果!$A$2:$D$19,3,0)</f>
        <v>27161460</v>
      </c>
      <c r="G23" s="76">
        <f>VLOOKUP(A23,[8]進出口值表查詢結果!$A$2:$E$21,3,0)</f>
        <v>32622447</v>
      </c>
      <c r="H23" s="94">
        <f t="shared" si="4"/>
        <v>-0.1673996742181848</v>
      </c>
      <c r="I23" s="4"/>
      <c r="J23" s="4"/>
    </row>
    <row r="24" spans="1:10">
      <c r="A24" s="46">
        <v>87149200206</v>
      </c>
      <c r="B24" s="22" t="s">
        <v>166</v>
      </c>
      <c r="C24" s="23">
        <f>VLOOKUP(A24,[7]進出口值表查詢結果!$A$2:$D$19,4,0)</f>
        <v>27991</v>
      </c>
      <c r="D24" s="23">
        <f>VLOOKUP(A24,[8]進出口值表查詢結果!$A$2:$E$21,4,0)</f>
        <v>41867</v>
      </c>
      <c r="E24" s="90">
        <f t="shared" si="5"/>
        <v>-0.33143048224138344</v>
      </c>
      <c r="F24" s="76">
        <f>VLOOKUP(A24,[7]進出口值表查詢結果!$A$2:$D$19,3,0)</f>
        <v>358462</v>
      </c>
      <c r="G24" s="76">
        <f>VLOOKUP(A24,[8]進出口值表查詢結果!$A$2:$E$21,3,0)</f>
        <v>681262</v>
      </c>
      <c r="H24" s="94">
        <f t="shared" si="4"/>
        <v>-0.47382651608338644</v>
      </c>
      <c r="I24" s="4"/>
      <c r="J24" s="4"/>
    </row>
    <row r="25" spans="1:10">
      <c r="A25" s="46">
        <v>87149200304</v>
      </c>
      <c r="B25" s="22" t="s">
        <v>167</v>
      </c>
      <c r="C25" s="23">
        <f>VLOOKUP(A25,[7]進出口值表查詢結果!$A$2:$D$19,4,0)</f>
        <v>65361</v>
      </c>
      <c r="D25" s="23">
        <f>VLOOKUP(A25,[8]進出口值表查詢結果!$A$2:$E$21,4,0)</f>
        <v>129135</v>
      </c>
      <c r="E25" s="90">
        <f t="shared" si="5"/>
        <v>-0.4938552677430596</v>
      </c>
      <c r="F25" s="76">
        <f>VLOOKUP(A25,[7]進出口值表查詢結果!$A$2:$D$19,3,0)</f>
        <v>1078957</v>
      </c>
      <c r="G25" s="76">
        <f>VLOOKUP(A25,[8]進出口值表查詢結果!$A$2:$E$21,3,0)</f>
        <v>1595980</v>
      </c>
      <c r="H25" s="94">
        <f>IF(G25,(F25-G25)/G25,0)</f>
        <v>-0.32395330768555997</v>
      </c>
      <c r="I25" s="4"/>
      <c r="J25" s="4"/>
    </row>
    <row r="26" spans="1:10">
      <c r="A26" s="46">
        <v>87149310007</v>
      </c>
      <c r="B26" s="22" t="s">
        <v>168</v>
      </c>
      <c r="C26" s="23">
        <f>VLOOKUP(A26,[7]進出口值表查詢結果!$A$2:$D$19,4,0)</f>
        <v>440105</v>
      </c>
      <c r="D26" s="23">
        <f>VLOOKUP(A26,[8]進出口值表查詢結果!$A$2:$E$21,4,0)</f>
        <v>787016</v>
      </c>
      <c r="E26" s="90">
        <f t="shared" si="5"/>
        <v>-0.44079281742683757</v>
      </c>
      <c r="F26" s="76">
        <f>VLOOKUP(A26,[7]進出口值表查詢結果!$A$2:$D$19,3,0)</f>
        <v>12804758</v>
      </c>
      <c r="G26" s="76">
        <f>VLOOKUP(A26,[8]進出口值表查詢結果!$A$2:$E$21,3,0)</f>
        <v>16301000</v>
      </c>
      <c r="H26" s="94">
        <f t="shared" ref="H26:H41" si="6">IF(G26,(F26-G26)/G26,0)</f>
        <v>-0.21448021593767252</v>
      </c>
      <c r="I26" s="4"/>
      <c r="J26" s="4"/>
    </row>
    <row r="27" spans="1:10">
      <c r="A27" s="46">
        <v>87149320103</v>
      </c>
      <c r="B27" s="22" t="s">
        <v>169</v>
      </c>
      <c r="C27" s="23">
        <f>VLOOKUP(A27,[7]進出口值表查詢結果!$A$2:$D$19,4,0)</f>
        <v>2488</v>
      </c>
      <c r="D27" s="23">
        <f>VLOOKUP(A27,[8]進出口值表查詢結果!$A$2:$E$21,4,0)</f>
        <v>2131</v>
      </c>
      <c r="E27" s="90">
        <f>IF(D27,(C27-D27)/D27,0)</f>
        <v>0.16752698263725951</v>
      </c>
      <c r="F27" s="76">
        <f>VLOOKUP(A27,[7]進出口值表查詢結果!$A$2:$D$19,3,0)</f>
        <v>23645</v>
      </c>
      <c r="G27" s="76">
        <f>VLOOKUP(A27,[8]進出口值表查詢結果!$A$2:$E$21,3,0)</f>
        <v>24305</v>
      </c>
      <c r="H27" s="94">
        <f t="shared" si="6"/>
        <v>-2.7154906397860522E-2</v>
      </c>
      <c r="I27" s="4"/>
      <c r="J27" s="4"/>
    </row>
    <row r="28" spans="1:10">
      <c r="A28" s="46">
        <v>87149410006</v>
      </c>
      <c r="B28" s="22" t="s">
        <v>170</v>
      </c>
      <c r="C28" s="23">
        <f>VLOOKUP(A28,[7]進出口值表查詢結果!$A$2:$D$19,4,0)</f>
        <v>26719</v>
      </c>
      <c r="D28" s="23">
        <f>VLOOKUP(A28,[8]進出口值表查詢結果!$A$2:$E$21,4,0)</f>
        <v>18948</v>
      </c>
      <c r="E28" s="90">
        <f t="shared" si="5"/>
        <v>0.41012244036309903</v>
      </c>
      <c r="F28" s="76">
        <f>VLOOKUP(A28,[7]進出口值表查詢結果!$A$2:$D$19,3,0)</f>
        <v>196643</v>
      </c>
      <c r="G28" s="76">
        <f>VLOOKUP(A28,[8]進出口值表查詢結果!$A$2:$E$21,3,0)</f>
        <v>307731</v>
      </c>
      <c r="H28" s="94">
        <f t="shared" si="6"/>
        <v>-0.36099060543136702</v>
      </c>
      <c r="I28" s="4"/>
      <c r="J28" s="4"/>
    </row>
    <row r="29" spans="1:10">
      <c r="A29" s="46">
        <v>87149490009</v>
      </c>
      <c r="B29" s="22" t="s">
        <v>171</v>
      </c>
      <c r="C29" s="23">
        <f>VLOOKUP(A29,[7]進出口值表查詢結果!$A$2:$D$19,4,0)</f>
        <v>310720</v>
      </c>
      <c r="D29" s="23">
        <f>VLOOKUP(A29,[8]進出口值表查詢結果!$A$2:$E$21,4,0)</f>
        <v>1338437</v>
      </c>
      <c r="E29" s="90">
        <f t="shared" si="5"/>
        <v>-0.76784861745453836</v>
      </c>
      <c r="F29" s="76">
        <f>VLOOKUP(A29,[7]進出口值表查詢結果!$A$2:$D$19,3,0)</f>
        <v>5405232</v>
      </c>
      <c r="G29" s="76">
        <f>VLOOKUP(A29,[8]進出口值表查詢結果!$A$2:$E$21,3,0)</f>
        <v>19939512</v>
      </c>
      <c r="H29" s="94">
        <f t="shared" si="6"/>
        <v>-0.72891854123611455</v>
      </c>
      <c r="I29" s="4"/>
      <c r="J29" s="4"/>
    </row>
    <row r="30" spans="1:10">
      <c r="A30" s="46">
        <v>87149500007</v>
      </c>
      <c r="B30" s="22" t="s">
        <v>172</v>
      </c>
      <c r="C30" s="23">
        <f>VLOOKUP(A30,[7]進出口值表查詢結果!$A$2:$D$19,4,0)</f>
        <v>307454</v>
      </c>
      <c r="D30" s="23">
        <f>VLOOKUP(A30,[8]進出口值表查詢結果!$A$2:$E$21,4,0)</f>
        <v>754461</v>
      </c>
      <c r="E30" s="90">
        <f t="shared" si="5"/>
        <v>-0.59248523117828489</v>
      </c>
      <c r="F30" s="76">
        <f>VLOOKUP(A30,[7]進出口值表查詢結果!$A$2:$D$19,3,0)</f>
        <v>3233322</v>
      </c>
      <c r="G30" s="76">
        <f>VLOOKUP(A30,[8]進出口值表查詢結果!$A$2:$E$21,3,0)</f>
        <v>10882418</v>
      </c>
      <c r="H30" s="94">
        <f t="shared" si="6"/>
        <v>-0.70288570058602784</v>
      </c>
      <c r="I30" s="4"/>
      <c r="J30" s="4"/>
    </row>
    <row r="31" spans="1:10">
      <c r="A31" s="46">
        <v>87149610004</v>
      </c>
      <c r="B31" s="22" t="s">
        <v>173</v>
      </c>
      <c r="C31" s="23">
        <f>VLOOKUP(A31,[7]進出口值表查詢結果!$A$2:$D$19,4,0)</f>
        <v>98324</v>
      </c>
      <c r="D31" s="23">
        <f>VLOOKUP(A31,[8]進出口值表查詢結果!$A$2:$E$21,4,0)</f>
        <v>431701</v>
      </c>
      <c r="E31" s="90">
        <f t="shared" si="5"/>
        <v>-0.77224050905603647</v>
      </c>
      <c r="F31" s="76">
        <f>VLOOKUP(A31,[7]進出口值表查詢結果!$A$2:$D$19,3,0)</f>
        <v>620147</v>
      </c>
      <c r="G31" s="76">
        <f>VLOOKUP(A31,[8]進出口值表查詢結果!$A$2:$E$21,3,0)</f>
        <v>3833070</v>
      </c>
      <c r="H31" s="94">
        <f t="shared" si="6"/>
        <v>-0.83821140756625889</v>
      </c>
      <c r="I31" s="4"/>
      <c r="J31" s="4"/>
    </row>
    <row r="32" spans="1:10">
      <c r="A32" s="46">
        <v>87149620002</v>
      </c>
      <c r="B32" s="22" t="s">
        <v>174</v>
      </c>
      <c r="C32" s="23">
        <f>VLOOKUP(A32,[7]進出口值表查詢結果!$A$2:$D$19,4,0)</f>
        <v>386937</v>
      </c>
      <c r="D32" s="23">
        <f>VLOOKUP(A32,[8]進出口值表查詢結果!$A$2:$E$21,4,0)</f>
        <v>920544</v>
      </c>
      <c r="E32" s="90">
        <f t="shared" si="5"/>
        <v>-0.57966485034935866</v>
      </c>
      <c r="F32" s="76">
        <f>VLOOKUP(A32,[7]進出口值表查詢結果!$A$2:$D$19,3,0)</f>
        <v>4142109</v>
      </c>
      <c r="G32" s="76">
        <f>VLOOKUP(A32,[8]進出口值表查詢結果!$A$2:$E$21,3,0)</f>
        <v>8977896</v>
      </c>
      <c r="H32" s="94">
        <f t="shared" si="6"/>
        <v>-0.53863254820505824</v>
      </c>
      <c r="I32" s="4"/>
      <c r="J32" s="4"/>
    </row>
    <row r="33" spans="1:10">
      <c r="A33" s="46" t="s">
        <v>210</v>
      </c>
      <c r="B33" s="22" t="s">
        <v>175</v>
      </c>
      <c r="C33" s="23">
        <v>195138</v>
      </c>
      <c r="D33" s="23">
        <v>533779</v>
      </c>
      <c r="E33" s="90">
        <f t="shared" si="5"/>
        <v>-0.63442173633657373</v>
      </c>
      <c r="F33" s="76">
        <v>871957</v>
      </c>
      <c r="G33" s="76">
        <v>2133493</v>
      </c>
      <c r="H33" s="94">
        <f t="shared" si="6"/>
        <v>-0.59130074483487871</v>
      </c>
      <c r="I33" s="4"/>
      <c r="J33" s="4"/>
    </row>
    <row r="34" spans="1:10">
      <c r="A34" s="46">
        <v>87149990111</v>
      </c>
      <c r="B34" s="22" t="s">
        <v>176</v>
      </c>
      <c r="C34" s="23">
        <f>VLOOKUP(A34,[7]進出口值表查詢結果!$A$2:$D$19,4,0)</f>
        <v>62477</v>
      </c>
      <c r="D34" s="23">
        <f>VLOOKUP(A34,[8]進出口值表查詢結果!$A$2:$E$21,4,0)</f>
        <v>323295</v>
      </c>
      <c r="E34" s="90">
        <f t="shared" si="5"/>
        <v>-0.80674925377750972</v>
      </c>
      <c r="F34" s="76">
        <f>VLOOKUP(A34,[7]進出口值表查詢結果!$A$2:$D$19,3,0)</f>
        <v>1534293</v>
      </c>
      <c r="G34" s="76">
        <f>VLOOKUP(A34,[8]進出口值表查詢結果!$A$2:$E$21,3,0)</f>
        <v>6713543</v>
      </c>
      <c r="H34" s="94">
        <f t="shared" si="6"/>
        <v>-0.77146299651316752</v>
      </c>
      <c r="I34" s="4"/>
      <c r="J34" s="4"/>
    </row>
    <row r="35" spans="1:10">
      <c r="A35" s="46">
        <v>87149320906</v>
      </c>
      <c r="B35" s="22" t="s">
        <v>177</v>
      </c>
      <c r="C35" s="23">
        <f>VLOOKUP(A35,[7]進出口值表查詢結果!$A$2:$D$19,4,0)</f>
        <v>126003</v>
      </c>
      <c r="D35" s="23">
        <f>VLOOKUP(A35,[8]進出口值表查詢結果!$A$2:$E$21,4,0)</f>
        <v>101581</v>
      </c>
      <c r="E35" s="90">
        <f t="shared" si="5"/>
        <v>0.24041897598960435</v>
      </c>
      <c r="F35" s="76">
        <f>VLOOKUP(A35,[7]進出口值表查詢結果!$A$2:$D$19,3,0)</f>
        <v>1715778</v>
      </c>
      <c r="G35" s="76">
        <f>VLOOKUP(A35,[8]進出口值表查詢結果!$A$2:$E$21,3,0)</f>
        <v>983838</v>
      </c>
      <c r="H35" s="94">
        <f t="shared" si="6"/>
        <v>0.74396394528367471</v>
      </c>
      <c r="I35" s="4"/>
      <c r="J35" s="4"/>
    </row>
    <row r="36" spans="1:10">
      <c r="A36" s="46">
        <v>87149990139</v>
      </c>
      <c r="B36" s="22" t="s">
        <v>178</v>
      </c>
      <c r="C36" s="23">
        <f>VLOOKUP(A36,[7]進出口值表查詢結果!$A$2:$D$19,4,0)</f>
        <v>14974</v>
      </c>
      <c r="D36" s="23">
        <f>VLOOKUP(A36,[8]進出口值表查詢結果!$A$2:$E$21,4,0)</f>
        <v>74073</v>
      </c>
      <c r="E36" s="90">
        <f t="shared" si="5"/>
        <v>-0.79784806879699754</v>
      </c>
      <c r="F36" s="76">
        <f>VLOOKUP(A36,[7]進出口值表查詢結果!$A$2:$D$19,3,0)</f>
        <v>60326</v>
      </c>
      <c r="G36" s="76">
        <f>VLOOKUP(A36,[8]進出口值表查詢結果!$A$2:$E$21,3,0)</f>
        <v>309742</v>
      </c>
      <c r="H36" s="94">
        <f t="shared" si="6"/>
        <v>-0.80523790767800296</v>
      </c>
      <c r="I36" s="4"/>
      <c r="J36" s="4"/>
    </row>
    <row r="37" spans="1:10">
      <c r="A37" s="46">
        <v>87149990148</v>
      </c>
      <c r="B37" s="22" t="s">
        <v>179</v>
      </c>
      <c r="C37" s="23">
        <f>VLOOKUP(A37,[7]進出口值表查詢結果!$A$2:$D$19,4,0)</f>
        <v>81708</v>
      </c>
      <c r="D37" s="23">
        <f>VLOOKUP(A37,[8]進出口值表查詢結果!$A$2:$E$21,4,0)</f>
        <v>209744</v>
      </c>
      <c r="E37" s="90">
        <f t="shared" si="5"/>
        <v>-0.61043939278358383</v>
      </c>
      <c r="F37" s="76">
        <f>VLOOKUP(A37,[7]進出口值表查詢結果!$A$2:$D$19,3,0)</f>
        <v>1883635</v>
      </c>
      <c r="G37" s="76">
        <f>VLOOKUP(A37,[8]進出口值表查詢結果!$A$2:$E$21,3,0)</f>
        <v>3495384</v>
      </c>
      <c r="H37" s="94">
        <f t="shared" si="6"/>
        <v>-0.46110784966687496</v>
      </c>
      <c r="I37" s="4"/>
      <c r="J37" s="4"/>
    </row>
    <row r="38" spans="1:10">
      <c r="A38" s="46">
        <v>87149990157</v>
      </c>
      <c r="B38" s="22" t="s">
        <v>180</v>
      </c>
      <c r="C38" s="23">
        <f>VLOOKUP(A38,[7]進出口值表查詢結果!$A$2:$D$19,4,0)</f>
        <v>170618</v>
      </c>
      <c r="D38" s="23">
        <f>VLOOKUP(A38,[8]進出口值表查詢結果!$A$2:$E$21,4,0)</f>
        <v>362997</v>
      </c>
      <c r="E38" s="90">
        <f t="shared" si="5"/>
        <v>-0.52997407692074594</v>
      </c>
      <c r="F38" s="76">
        <f>VLOOKUP(A38,[7]進出口值表查詢結果!$A$2:$D$19,3,0)</f>
        <v>5021740</v>
      </c>
      <c r="G38" s="76">
        <f>VLOOKUP(A38,[8]進出口值表查詢結果!$A$2:$E$21,3,0)</f>
        <v>7061443</v>
      </c>
      <c r="H38" s="94">
        <f t="shared" si="6"/>
        <v>-0.2888507348993683</v>
      </c>
      <c r="I38" s="4"/>
      <c r="J38" s="4"/>
    </row>
    <row r="39" spans="1:10">
      <c r="A39" s="46">
        <v>87149990166</v>
      </c>
      <c r="B39" s="22" t="s">
        <v>181</v>
      </c>
      <c r="C39" s="23">
        <f>VLOOKUP(A39,[7]進出口值表查詢結果!$A$2:$D$19,4,0)</f>
        <v>192877</v>
      </c>
      <c r="D39" s="23">
        <f>VLOOKUP(A39,[8]進出口值表查詢結果!$A$2:$E$21,4,0)</f>
        <v>342835</v>
      </c>
      <c r="E39" s="90">
        <f t="shared" si="5"/>
        <v>-0.43740574912129743</v>
      </c>
      <c r="F39" s="76">
        <f>VLOOKUP(A39,[7]進出口值表查詢結果!$A$2:$D$19,3,0)</f>
        <v>7327134</v>
      </c>
      <c r="G39" s="76">
        <f>VLOOKUP(A39,[8]進出口值表查詢結果!$A$2:$E$21,3,0)</f>
        <v>11117205</v>
      </c>
      <c r="H39" s="94">
        <f t="shared" si="6"/>
        <v>-0.3409194127480783</v>
      </c>
      <c r="I39" s="4"/>
      <c r="J39" s="4"/>
    </row>
    <row r="40" spans="1:10">
      <c r="A40" s="46" t="s">
        <v>211</v>
      </c>
      <c r="B40" s="22" t="s">
        <v>182</v>
      </c>
      <c r="C40" s="23">
        <v>382261</v>
      </c>
      <c r="D40" s="23">
        <v>586937</v>
      </c>
      <c r="E40" s="90">
        <f t="shared" si="5"/>
        <v>-0.3487188573901458</v>
      </c>
      <c r="F40" s="76">
        <v>2443790</v>
      </c>
      <c r="G40" s="76">
        <v>4025548</v>
      </c>
      <c r="H40" s="94">
        <f t="shared" si="6"/>
        <v>-0.39292985700331978</v>
      </c>
      <c r="I40" s="4"/>
      <c r="J40" s="4"/>
    </row>
    <row r="41" spans="1:10">
      <c r="A41" s="46" t="s">
        <v>212</v>
      </c>
      <c r="B41" s="22" t="s">
        <v>183</v>
      </c>
      <c r="C41" s="23">
        <v>111746</v>
      </c>
      <c r="D41" s="23">
        <v>217798</v>
      </c>
      <c r="E41" s="90">
        <f t="shared" si="5"/>
        <v>-0.48692825462125455</v>
      </c>
      <c r="F41" s="76">
        <v>662457</v>
      </c>
      <c r="G41" s="76">
        <v>1191530</v>
      </c>
      <c r="H41" s="94">
        <f t="shared" si="6"/>
        <v>-0.44402826617877855</v>
      </c>
      <c r="I41" s="4"/>
      <c r="J41" s="4"/>
    </row>
    <row r="42" spans="1:10" ht="18.75" customHeight="1" thickBot="1">
      <c r="A42" s="132" t="s">
        <v>160</v>
      </c>
      <c r="B42" s="133"/>
      <c r="C42" s="63">
        <f>SUM(C20:C41)</f>
        <v>6135044</v>
      </c>
      <c r="D42" s="63">
        <f>SUM(D20:D41)</f>
        <v>12392603</v>
      </c>
      <c r="E42" s="91">
        <f t="shared" ref="E42" si="7">(C42-D42)/D42</f>
        <v>-0.50494306966825286</v>
      </c>
      <c r="F42" s="77">
        <f>SUM(F20:F41)</f>
        <v>221603687</v>
      </c>
      <c r="G42" s="77">
        <f>SUM(G20:G41)</f>
        <v>312881881</v>
      </c>
      <c r="H42" s="91">
        <f t="shared" ref="H42" si="8">(F42-G42)/G42</f>
        <v>-0.29173371659703107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147" priority="13" operator="greaterThanOrEqual">
      <formula>0</formula>
    </cfRule>
    <cfRule type="cellIs" dxfId="146" priority="14" operator="lessThan">
      <formula>0</formula>
    </cfRule>
  </conditionalFormatting>
  <conditionalFormatting sqref="E13">
    <cfRule type="cellIs" dxfId="145" priority="3" operator="greaterThanOrEqual">
      <formula>0</formula>
    </cfRule>
    <cfRule type="cellIs" dxfId="144" priority="4" operator="lessThan">
      <formula>0</formula>
    </cfRule>
  </conditionalFormatting>
  <conditionalFormatting sqref="E20:E41">
    <cfRule type="cellIs" dxfId="143" priority="1" operator="greaterThanOrEqual">
      <formula>0</formula>
    </cfRule>
    <cfRule type="cellIs" dxfId="142" priority="2" operator="lessThan">
      <formula>0</formula>
    </cfRule>
  </conditionalFormatting>
  <conditionalFormatting sqref="H5:H10">
    <cfRule type="cellIs" dxfId="141" priority="11" operator="greaterThanOrEqual">
      <formula>0</formula>
    </cfRule>
    <cfRule type="cellIs" dxfId="140" priority="12" operator="lessThan">
      <formula>0</formula>
    </cfRule>
  </conditionalFormatting>
  <conditionalFormatting sqref="H13">
    <cfRule type="cellIs" dxfId="139" priority="7" operator="greaterThanOrEqual">
      <formula>0</formula>
    </cfRule>
    <cfRule type="cellIs" dxfId="138" priority="8" operator="lessThan">
      <formula>0</formula>
    </cfRule>
  </conditionalFormatting>
  <conditionalFormatting sqref="K5:K10">
    <cfRule type="cellIs" dxfId="137" priority="9" operator="greaterThanOrEqual">
      <formula>0</formula>
    </cfRule>
    <cfRule type="cellIs" dxfId="136" priority="10" operator="lessThan">
      <formula>0</formula>
    </cfRule>
  </conditionalFormatting>
  <conditionalFormatting sqref="K13">
    <cfRule type="cellIs" dxfId="135" priority="5" operator="greaterThanOrEqual">
      <formula>0</formula>
    </cfRule>
    <cfRule type="cellIs" dxfId="134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0.39997558519241921"/>
    <pageSetUpPr fitToPage="1"/>
  </sheetPr>
  <dimension ref="A1:J89"/>
  <sheetViews>
    <sheetView topLeftCell="B1" zoomScaleNormal="100" workbookViewId="0">
      <selection sqref="A1:J1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4.8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3.25" customHeight="1">
      <c r="A1" s="130" t="s">
        <v>203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137</v>
      </c>
      <c r="B3" s="6" t="s">
        <v>138</v>
      </c>
      <c r="C3" s="98" t="s">
        <v>139</v>
      </c>
      <c r="D3" s="8" t="s">
        <v>140</v>
      </c>
      <c r="E3" s="9" t="s">
        <v>141</v>
      </c>
      <c r="F3" s="10" t="s">
        <v>142</v>
      </c>
      <c r="G3" s="99" t="s">
        <v>143</v>
      </c>
      <c r="H3" s="9" t="s">
        <v>144</v>
      </c>
      <c r="I3" s="56" t="s">
        <v>145</v>
      </c>
      <c r="J3" s="56" t="s">
        <v>146</v>
      </c>
    </row>
    <row r="4" spans="1:10" ht="15" customHeight="1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206</v>
      </c>
      <c r="B5" s="22" t="s">
        <v>147</v>
      </c>
      <c r="C5" s="23">
        <v>1972</v>
      </c>
      <c r="D5" s="23">
        <v>4333</v>
      </c>
      <c r="E5" s="101">
        <f t="shared" ref="E5:E11" si="0">C5-D5</f>
        <v>-2361</v>
      </c>
      <c r="F5" s="23">
        <v>761531</v>
      </c>
      <c r="G5" s="23">
        <v>345299</v>
      </c>
      <c r="H5" s="84">
        <f t="shared" ref="H5:H11" si="1">F5-G5</f>
        <v>416232</v>
      </c>
      <c r="I5" s="25">
        <f t="shared" ref="I5" si="2">F5/C5</f>
        <v>386.17190669371195</v>
      </c>
      <c r="J5" s="25">
        <f>G5/D5</f>
        <v>79.690514654973455</v>
      </c>
    </row>
    <row r="6" spans="1:10" ht="16.5">
      <c r="A6" s="26" t="s">
        <v>205</v>
      </c>
      <c r="B6" s="27" t="s">
        <v>148</v>
      </c>
      <c r="C6" s="23">
        <v>359</v>
      </c>
      <c r="D6" s="23">
        <v>2467</v>
      </c>
      <c r="E6" s="101">
        <f t="shared" si="0"/>
        <v>-2108</v>
      </c>
      <c r="F6" s="23">
        <v>352365</v>
      </c>
      <c r="G6" s="23">
        <v>256800</v>
      </c>
      <c r="H6" s="84">
        <f t="shared" si="1"/>
        <v>95565</v>
      </c>
      <c r="I6" s="25">
        <f>IF(C6,F6/C6,0)</f>
        <v>981.51810584958218</v>
      </c>
      <c r="J6" s="25">
        <f t="shared" ref="I6:J13" si="3">G6/D6</f>
        <v>104.09404134576408</v>
      </c>
    </row>
    <row r="7" spans="1:10" ht="16.5">
      <c r="A7" s="21" t="s">
        <v>149</v>
      </c>
      <c r="B7" s="28" t="s">
        <v>150</v>
      </c>
      <c r="C7" s="29">
        <v>0</v>
      </c>
      <c r="D7" s="23">
        <v>1833</v>
      </c>
      <c r="E7" s="101">
        <f t="shared" si="0"/>
        <v>-1833</v>
      </c>
      <c r="F7" s="23">
        <v>0</v>
      </c>
      <c r="G7" s="23">
        <v>99804</v>
      </c>
      <c r="H7" s="84">
        <f t="shared" si="1"/>
        <v>-99804</v>
      </c>
      <c r="I7" s="25">
        <f>IF(C7,F7/C7,0)</f>
        <v>0</v>
      </c>
      <c r="J7" s="25">
        <f t="shared" si="3"/>
        <v>54.448445171849428</v>
      </c>
    </row>
    <row r="8" spans="1:10" ht="16.5">
      <c r="A8" s="21" t="s">
        <v>151</v>
      </c>
      <c r="B8" s="28" t="s">
        <v>152</v>
      </c>
      <c r="C8" s="23">
        <v>41</v>
      </c>
      <c r="D8" s="23">
        <v>5532</v>
      </c>
      <c r="E8" s="101">
        <f t="shared" si="0"/>
        <v>-5491</v>
      </c>
      <c r="F8" s="23">
        <v>55683</v>
      </c>
      <c r="G8" s="23">
        <v>579829</v>
      </c>
      <c r="H8" s="84">
        <f t="shared" si="1"/>
        <v>-524146</v>
      </c>
      <c r="I8" s="25">
        <f t="shared" ref="I8:I10" si="4">IF(C8,F8/C8,0)</f>
        <v>1358.1219512195121</v>
      </c>
      <c r="J8" s="25">
        <f t="shared" si="3"/>
        <v>104.81362979031091</v>
      </c>
    </row>
    <row r="9" spans="1:10" ht="16.5">
      <c r="A9" s="21" t="s">
        <v>153</v>
      </c>
      <c r="B9" s="28" t="s">
        <v>154</v>
      </c>
      <c r="C9" s="23">
        <v>6181</v>
      </c>
      <c r="D9" s="23">
        <v>1192</v>
      </c>
      <c r="E9" s="101">
        <f t="shared" si="0"/>
        <v>4989</v>
      </c>
      <c r="F9" s="23">
        <v>1999934</v>
      </c>
      <c r="G9" s="23">
        <v>129830</v>
      </c>
      <c r="H9" s="84">
        <f t="shared" si="1"/>
        <v>1870104</v>
      </c>
      <c r="I9" s="25">
        <f t="shared" si="4"/>
        <v>323.56155961818479</v>
      </c>
      <c r="J9" s="25">
        <f t="shared" si="3"/>
        <v>108.91778523489933</v>
      </c>
    </row>
    <row r="10" spans="1:10" ht="16.5">
      <c r="A10" s="21" t="s">
        <v>155</v>
      </c>
      <c r="B10" s="28" t="s">
        <v>156</v>
      </c>
      <c r="C10" s="23">
        <v>5732</v>
      </c>
      <c r="D10" s="23">
        <v>1022</v>
      </c>
      <c r="E10" s="101">
        <f t="shared" si="0"/>
        <v>4710</v>
      </c>
      <c r="F10" s="23">
        <v>8204237</v>
      </c>
      <c r="G10" s="23">
        <v>175721</v>
      </c>
      <c r="H10" s="84">
        <f>F10-G10</f>
        <v>8028516</v>
      </c>
      <c r="I10" s="25">
        <f t="shared" si="4"/>
        <v>1431.3044312630843</v>
      </c>
      <c r="J10" s="25">
        <f t="shared" si="3"/>
        <v>171.93835616438355</v>
      </c>
    </row>
    <row r="11" spans="1:10" ht="17.25" thickBot="1">
      <c r="A11" s="48" t="s">
        <v>157</v>
      </c>
      <c r="B11" s="70" t="s">
        <v>158</v>
      </c>
      <c r="C11" s="63">
        <f>SUM(C5:C10)</f>
        <v>14285</v>
      </c>
      <c r="D11" s="63">
        <f>SUM(D5:D10)</f>
        <v>16379</v>
      </c>
      <c r="E11" s="100">
        <f t="shared" si="0"/>
        <v>-2094</v>
      </c>
      <c r="F11" s="63">
        <f>SUM(F5:F10)</f>
        <v>11373750</v>
      </c>
      <c r="G11" s="63">
        <f>SUM(G5:G10)</f>
        <v>1587283</v>
      </c>
      <c r="H11" s="82">
        <f t="shared" si="1"/>
        <v>9786467</v>
      </c>
      <c r="I11" s="102">
        <f t="shared" si="3"/>
        <v>796.20231011550572</v>
      </c>
      <c r="J11" s="72">
        <f t="shared" si="3"/>
        <v>96.909640393186393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207</v>
      </c>
      <c r="B13" s="22" t="s">
        <v>159</v>
      </c>
      <c r="C13" s="23">
        <v>2</v>
      </c>
      <c r="D13" s="23">
        <v>11</v>
      </c>
      <c r="E13" s="101">
        <f>C13-D13</f>
        <v>-9</v>
      </c>
      <c r="F13" s="23">
        <v>4140</v>
      </c>
      <c r="G13" s="23">
        <v>5191</v>
      </c>
      <c r="H13" s="103">
        <f>F13-G13</f>
        <v>-1051</v>
      </c>
      <c r="I13" s="25">
        <f>F13/C13</f>
        <v>2070</v>
      </c>
      <c r="J13" s="25">
        <f t="shared" si="3"/>
        <v>471.90909090909093</v>
      </c>
    </row>
    <row r="14" spans="1:10" ht="17.25" thickBot="1">
      <c r="A14" s="106" t="s">
        <v>160</v>
      </c>
      <c r="B14" s="105" t="s">
        <v>80</v>
      </c>
      <c r="C14" s="63">
        <f>C11+C13</f>
        <v>14287</v>
      </c>
      <c r="D14" s="63">
        <f>D11+D13</f>
        <v>16390</v>
      </c>
      <c r="E14" s="80">
        <f>C14-D14</f>
        <v>-2103</v>
      </c>
      <c r="F14" s="63">
        <f>F11+F13</f>
        <v>11377890</v>
      </c>
      <c r="G14" s="63">
        <f>G11+G13</f>
        <v>1592474</v>
      </c>
      <c r="H14" s="107">
        <f>F14-G14</f>
        <v>9785416</v>
      </c>
      <c r="I14" s="72">
        <f>F14/C14</f>
        <v>796.38062574368303</v>
      </c>
      <c r="J14" s="104">
        <f>G14/D14</f>
        <v>97.161317876754111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204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98" t="s">
        <v>139</v>
      </c>
      <c r="D18" s="8" t="s">
        <v>140</v>
      </c>
      <c r="E18" s="9" t="s">
        <v>141</v>
      </c>
      <c r="F18" s="10" t="s">
        <v>142</v>
      </c>
      <c r="G18" s="99" t="s">
        <v>143</v>
      </c>
      <c r="H18" s="9" t="s">
        <v>144</v>
      </c>
      <c r="I18" s="44"/>
      <c r="J18" s="44"/>
    </row>
    <row r="19" spans="1:10">
      <c r="A19" s="13"/>
      <c r="B19" s="14"/>
      <c r="C19" s="15" t="s">
        <v>161</v>
      </c>
      <c r="D19" s="15" t="s">
        <v>161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208</v>
      </c>
      <c r="B20" s="22" t="s">
        <v>162</v>
      </c>
      <c r="C20" s="23">
        <v>324</v>
      </c>
      <c r="D20" s="23">
        <v>1934</v>
      </c>
      <c r="E20" s="24">
        <f t="shared" ref="E20:E42" si="5">C20-D20</f>
        <v>-1610</v>
      </c>
      <c r="F20" s="23">
        <v>43068</v>
      </c>
      <c r="G20" s="23">
        <v>89981</v>
      </c>
      <c r="H20" s="24">
        <f t="shared" ref="H20:H42" si="6">F20-G20</f>
        <v>-46913</v>
      </c>
      <c r="I20" s="4"/>
      <c r="J20" s="4"/>
    </row>
    <row r="21" spans="1:10">
      <c r="A21" s="46" t="s">
        <v>209</v>
      </c>
      <c r="B21" s="22" t="s">
        <v>163</v>
      </c>
      <c r="C21" s="23">
        <v>0</v>
      </c>
      <c r="D21" s="23">
        <v>2752</v>
      </c>
      <c r="E21" s="24">
        <f t="shared" si="5"/>
        <v>-2752</v>
      </c>
      <c r="F21" s="23">
        <v>0</v>
      </c>
      <c r="G21" s="23">
        <v>177257</v>
      </c>
      <c r="H21" s="24">
        <f t="shared" si="6"/>
        <v>-177257</v>
      </c>
      <c r="I21" s="4"/>
      <c r="J21" s="4"/>
    </row>
    <row r="22" spans="1:10">
      <c r="A22" s="46">
        <v>87149120007</v>
      </c>
      <c r="B22" s="22" t="s">
        <v>164</v>
      </c>
      <c r="C22" s="23">
        <f>VLOOKUP(A22,[9]進出口值表查詢結果!$A$2:$D$18,4,0)</f>
        <v>81094</v>
      </c>
      <c r="D22" s="23">
        <f>VLOOKUP(A22,[10]進出口值表查詢結果!$A$2:$D$19,4,0)</f>
        <v>468608</v>
      </c>
      <c r="E22" s="24">
        <f t="shared" si="5"/>
        <v>-387514</v>
      </c>
      <c r="F22" s="23">
        <f>VLOOKUP(A22,[9]進出口值表查詢結果!$A$2:$D$18,3,0)</f>
        <v>4153157</v>
      </c>
      <c r="G22" s="23">
        <f>VLOOKUP(A22,[10]進出口值表查詢結果!$A$2:$D$19,3,0)</f>
        <v>27857628</v>
      </c>
      <c r="H22" s="24">
        <f t="shared" si="6"/>
        <v>-23704471</v>
      </c>
      <c r="I22" s="4"/>
      <c r="J22" s="4"/>
    </row>
    <row r="23" spans="1:10">
      <c r="A23" s="46">
        <v>87149200108</v>
      </c>
      <c r="B23" s="22" t="s">
        <v>165</v>
      </c>
      <c r="C23" s="23">
        <f>VLOOKUP(A23,[9]進出口值表查詢結果!$A$2:$D$18,4,0)</f>
        <v>12296</v>
      </c>
      <c r="D23" s="23">
        <f>VLOOKUP(A23,[10]進出口值表查詢結果!$A$2:$D$19,4,0)</f>
        <v>76569</v>
      </c>
      <c r="E23" s="24">
        <f t="shared" si="5"/>
        <v>-64273</v>
      </c>
      <c r="F23" s="23">
        <f>VLOOKUP(A23,[9]進出口值表查詢結果!$A$2:$D$18,3,0)</f>
        <v>212090</v>
      </c>
      <c r="G23" s="23">
        <f>VLOOKUP(A23,[10]進出口值表查詢結果!$A$2:$D$19,3,0)</f>
        <v>5475202</v>
      </c>
      <c r="H23" s="24">
        <f t="shared" si="6"/>
        <v>-5263112</v>
      </c>
      <c r="I23" s="4"/>
      <c r="J23" s="4"/>
    </row>
    <row r="24" spans="1:10">
      <c r="A24" s="46">
        <v>87149200206</v>
      </c>
      <c r="B24" s="22" t="s">
        <v>166</v>
      </c>
      <c r="C24" s="23">
        <f>VLOOKUP(A24,[9]進出口值表查詢結果!$A$2:$D$18,4,0)</f>
        <v>8942</v>
      </c>
      <c r="D24" s="23">
        <f>VLOOKUP(A24,[10]進出口值表查詢結果!$A$2:$D$19,4,0)</f>
        <v>5524</v>
      </c>
      <c r="E24" s="24">
        <f t="shared" si="5"/>
        <v>3418</v>
      </c>
      <c r="F24" s="23">
        <f>VLOOKUP(A24,[9]進出口值表查詢結果!$A$2:$D$18,3,0)</f>
        <v>289553</v>
      </c>
      <c r="G24" s="23">
        <f>VLOOKUP(A24,[10]進出口值表查詢結果!$A$2:$D$19,3,0)</f>
        <v>48916</v>
      </c>
      <c r="H24" s="24">
        <f t="shared" si="6"/>
        <v>240637</v>
      </c>
      <c r="I24" s="4"/>
      <c r="J24" s="4"/>
    </row>
    <row r="25" spans="1:10">
      <c r="A25" s="46">
        <v>87149200304</v>
      </c>
      <c r="B25" s="22" t="s">
        <v>167</v>
      </c>
      <c r="C25" s="23">
        <f>VLOOKUP(A25,[9]進出口值表查詢結果!$A$2:$D$18,4,0)</f>
        <v>1675</v>
      </c>
      <c r="D25" s="23">
        <f>VLOOKUP(A25,[10]進出口值表查詢結果!$A$2:$D$19,4,0)</f>
        <v>9667</v>
      </c>
      <c r="E25" s="24">
        <f t="shared" si="5"/>
        <v>-7992</v>
      </c>
      <c r="F25" s="23">
        <f>VLOOKUP(A25,[9]進出口值表查詢結果!$A$2:$D$18,3,0)</f>
        <v>129536</v>
      </c>
      <c r="G25" s="23">
        <f>VLOOKUP(A25,[10]進出口值表查詢結果!$A$2:$D$19,3,0)</f>
        <v>113298</v>
      </c>
      <c r="H25" s="24">
        <f t="shared" si="6"/>
        <v>16238</v>
      </c>
      <c r="I25" s="4"/>
      <c r="J25" s="4"/>
    </row>
    <row r="26" spans="1:10">
      <c r="A26" s="46">
        <v>87149310007</v>
      </c>
      <c r="B26" s="22" t="s">
        <v>168</v>
      </c>
      <c r="C26" s="23">
        <f>VLOOKUP(A26,[9]進出口值表查詢結果!$A$2:$D$18,4,0)</f>
        <v>3795</v>
      </c>
      <c r="D26" s="23">
        <f>VLOOKUP(A26,[10]進出口值表查詢結果!$A$2:$D$19,4,0)</f>
        <v>75972</v>
      </c>
      <c r="E26" s="24">
        <f t="shared" si="5"/>
        <v>-72177</v>
      </c>
      <c r="F26" s="23">
        <f>VLOOKUP(A26,[9]進出口值表查詢結果!$A$2:$D$18,3,0)</f>
        <v>145665</v>
      </c>
      <c r="G26" s="23">
        <f>VLOOKUP(A26,[10]進出口值表查詢結果!$A$2:$D$19,3,0)</f>
        <v>2702467</v>
      </c>
      <c r="H26" s="24">
        <f t="shared" si="6"/>
        <v>-2556802</v>
      </c>
      <c r="I26" s="4"/>
      <c r="J26" s="4"/>
    </row>
    <row r="27" spans="1:10">
      <c r="A27" s="46">
        <v>87149320103</v>
      </c>
      <c r="B27" s="22" t="s">
        <v>169</v>
      </c>
      <c r="C27" s="23">
        <f>VLOOKUP(A27,[9]進出口值表查詢結果!$A$2:$D$18,4,0)</f>
        <v>126</v>
      </c>
      <c r="D27" s="23">
        <f>VLOOKUP(A27,[10]進出口值表查詢結果!$A$2:$D$19,4,0)</f>
        <v>205</v>
      </c>
      <c r="E27" s="24">
        <f t="shared" si="5"/>
        <v>-79</v>
      </c>
      <c r="F27" s="23">
        <f>VLOOKUP(A27,[9]進出口值表查詢結果!$A$2:$D$18,3,0)</f>
        <v>1840</v>
      </c>
      <c r="G27" s="23">
        <f>VLOOKUP(A27,[10]進出口值表查詢結果!$A$2:$D$19,3,0)</f>
        <v>2464</v>
      </c>
      <c r="H27" s="24">
        <f t="shared" si="6"/>
        <v>-624</v>
      </c>
      <c r="I27" s="4"/>
      <c r="J27" s="4"/>
    </row>
    <row r="28" spans="1:10">
      <c r="A28" s="46">
        <v>87149410006</v>
      </c>
      <c r="B28" s="22" t="s">
        <v>170</v>
      </c>
      <c r="C28" s="23">
        <v>0</v>
      </c>
      <c r="D28" s="23">
        <f>VLOOKUP(A28,[10]進出口值表查詢結果!$A$2:$D$19,4,0)</f>
        <v>2712</v>
      </c>
      <c r="E28" s="24">
        <f t="shared" si="5"/>
        <v>-2712</v>
      </c>
      <c r="F28" s="23">
        <v>0</v>
      </c>
      <c r="G28" s="23">
        <f>VLOOKUP(A28,[10]進出口值表查詢結果!$A$2:$D$19,3,0)</f>
        <v>37221</v>
      </c>
      <c r="H28" s="24">
        <f t="shared" si="6"/>
        <v>-37221</v>
      </c>
      <c r="I28" s="4"/>
      <c r="J28" s="4"/>
    </row>
    <row r="29" spans="1:10">
      <c r="A29" s="46">
        <v>87149490009</v>
      </c>
      <c r="B29" s="22" t="s">
        <v>171</v>
      </c>
      <c r="C29" s="23">
        <f>VLOOKUP(A29,[9]進出口值表查詢結果!$A$2:$D$18,4,0)</f>
        <v>48813</v>
      </c>
      <c r="D29" s="23">
        <f>VLOOKUP(A29,[10]進出口值表查詢結果!$A$2:$D$19,4,0)</f>
        <v>55527</v>
      </c>
      <c r="E29" s="24">
        <f t="shared" si="5"/>
        <v>-6714</v>
      </c>
      <c r="F29" s="23">
        <f>VLOOKUP(A29,[9]進出口值表查詢結果!$A$2:$D$18,3,0)</f>
        <v>2476609</v>
      </c>
      <c r="G29" s="23">
        <f>VLOOKUP(A29,[10]進出口值表查詢結果!$A$2:$D$19,3,0)</f>
        <v>891918</v>
      </c>
      <c r="H29" s="24">
        <f t="shared" si="6"/>
        <v>1584691</v>
      </c>
      <c r="I29" s="4"/>
      <c r="J29" s="4"/>
    </row>
    <row r="30" spans="1:10">
      <c r="A30" s="46">
        <v>87149500007</v>
      </c>
      <c r="B30" s="22" t="s">
        <v>172</v>
      </c>
      <c r="C30" s="23">
        <f>VLOOKUP(A30,[9]進出口值表查詢結果!$A$2:$D$18,4,0)</f>
        <v>1949</v>
      </c>
      <c r="D30" s="23">
        <f>VLOOKUP(A30,[10]進出口值表查詢結果!$A$2:$D$19,4,0)</f>
        <v>66746</v>
      </c>
      <c r="E30" s="24">
        <f t="shared" si="5"/>
        <v>-64797</v>
      </c>
      <c r="F30" s="23">
        <f>VLOOKUP(A30,[9]進出口值表查詢結果!$A$2:$D$18,3,0)</f>
        <v>92707</v>
      </c>
      <c r="G30" s="23">
        <f>VLOOKUP(A30,[10]進出口值表查詢結果!$A$2:$D$19,3,0)</f>
        <v>716931</v>
      </c>
      <c r="H30" s="24">
        <f t="shared" si="6"/>
        <v>-624224</v>
      </c>
      <c r="I30" s="4"/>
      <c r="J30" s="4"/>
    </row>
    <row r="31" spans="1:10">
      <c r="A31" s="46">
        <v>87149610004</v>
      </c>
      <c r="B31" s="22" t="s">
        <v>173</v>
      </c>
      <c r="C31" s="23">
        <f>VLOOKUP(A31,[9]進出口值表查詢結果!$A$2:$D$18,4,0)</f>
        <v>5944</v>
      </c>
      <c r="D31" s="23">
        <f>VLOOKUP(A31,[10]進出口值表查詢結果!$A$2:$D$19,4,0)</f>
        <v>25345</v>
      </c>
      <c r="E31" s="24">
        <f t="shared" si="5"/>
        <v>-19401</v>
      </c>
      <c r="F31" s="23">
        <f>VLOOKUP(A31,[9]進出口值表查詢結果!$A$2:$D$18,3,0)</f>
        <v>43199</v>
      </c>
      <c r="G31" s="23">
        <f>VLOOKUP(A31,[10]進出口值表查詢結果!$A$2:$D$19,3,0)</f>
        <v>122592</v>
      </c>
      <c r="H31" s="24">
        <f t="shared" si="6"/>
        <v>-79393</v>
      </c>
      <c r="I31" s="4"/>
      <c r="J31" s="4"/>
    </row>
    <row r="32" spans="1:10">
      <c r="A32" s="46">
        <v>87149620002</v>
      </c>
      <c r="B32" s="22" t="s">
        <v>174</v>
      </c>
      <c r="C32" s="23">
        <f>VLOOKUP(A32,[9]進出口值表查詢結果!$A$2:$D$18,4,0)</f>
        <v>27887</v>
      </c>
      <c r="D32" s="23">
        <f>VLOOKUP(A32,[10]進出口值表查詢結果!$A$2:$D$19,4,0)</f>
        <v>62680</v>
      </c>
      <c r="E32" s="24">
        <f t="shared" si="5"/>
        <v>-34793</v>
      </c>
      <c r="F32" s="23">
        <f>VLOOKUP(A32,[9]進出口值表查詢結果!$A$2:$D$18,3,0)</f>
        <v>1278220</v>
      </c>
      <c r="G32" s="23">
        <f>VLOOKUP(A32,[10]進出口值表查詢結果!$A$2:$D$19,3,0)</f>
        <v>822802</v>
      </c>
      <c r="H32" s="24">
        <f t="shared" si="6"/>
        <v>455418</v>
      </c>
      <c r="I32" s="4"/>
      <c r="J32" s="4"/>
    </row>
    <row r="33" spans="1:10">
      <c r="A33" s="46" t="s">
        <v>210</v>
      </c>
      <c r="B33" s="22" t="s">
        <v>175</v>
      </c>
      <c r="C33" s="23">
        <v>11218</v>
      </c>
      <c r="D33" s="23">
        <v>68572</v>
      </c>
      <c r="E33" s="24">
        <f t="shared" si="5"/>
        <v>-57354</v>
      </c>
      <c r="F33" s="23">
        <v>289456</v>
      </c>
      <c r="G33" s="23">
        <v>304732</v>
      </c>
      <c r="H33" s="24">
        <f t="shared" si="6"/>
        <v>-15276</v>
      </c>
      <c r="I33" s="4"/>
      <c r="J33" s="4"/>
    </row>
    <row r="34" spans="1:10">
      <c r="A34" s="46">
        <v>87149990111</v>
      </c>
      <c r="B34" s="22" t="s">
        <v>176</v>
      </c>
      <c r="C34" s="23">
        <f>VLOOKUP(A34,[9]進出口值表查詢結果!$A$2:$D$18,4,0)</f>
        <v>19562</v>
      </c>
      <c r="D34" s="23">
        <f>VLOOKUP(A34,[10]進出口值表查詢結果!$A$2:$D$19,4,0)</f>
        <v>16185</v>
      </c>
      <c r="E34" s="24">
        <f t="shared" si="5"/>
        <v>3377</v>
      </c>
      <c r="F34" s="23">
        <f>VLOOKUP(A34,[9]進出口值表查詢結果!$A$2:$D$18,3,0)</f>
        <v>1760119</v>
      </c>
      <c r="G34" s="23">
        <f>VLOOKUP(A34,[10]進出口值表查詢結果!$A$2:$D$19,3,0)</f>
        <v>377857</v>
      </c>
      <c r="H34" s="24">
        <f t="shared" si="6"/>
        <v>1382262</v>
      </c>
      <c r="I34" s="4"/>
      <c r="J34" s="4"/>
    </row>
    <row r="35" spans="1:10">
      <c r="A35" s="46">
        <v>87149320906</v>
      </c>
      <c r="B35" s="22" t="s">
        <v>177</v>
      </c>
      <c r="C35" s="23">
        <f>VLOOKUP(A35,[9]進出口值表查詢結果!$A$2:$D$18,4,0)</f>
        <v>27297</v>
      </c>
      <c r="D35" s="23">
        <f>VLOOKUP(A35,[10]進出口值表查詢結果!$A$2:$D$19,4,0)</f>
        <v>25350</v>
      </c>
      <c r="E35" s="24">
        <f t="shared" si="5"/>
        <v>1947</v>
      </c>
      <c r="F35" s="23">
        <f>VLOOKUP(A35,[9]進出口值表查詢結果!$A$2:$D$18,3,0)</f>
        <v>1012750</v>
      </c>
      <c r="G35" s="23">
        <f>VLOOKUP(A35,[10]進出口值表查詢結果!$A$2:$D$19,3,0)</f>
        <v>321815</v>
      </c>
      <c r="H35" s="24">
        <f t="shared" si="6"/>
        <v>690935</v>
      </c>
      <c r="I35" s="4"/>
      <c r="J35" s="4"/>
    </row>
    <row r="36" spans="1:10">
      <c r="A36" s="46">
        <v>87149990139</v>
      </c>
      <c r="B36" s="22" t="s">
        <v>178</v>
      </c>
      <c r="C36" s="23">
        <f>VLOOKUP(A36,[9]進出口值表查詢結果!$A$2:$D$18,4,0)</f>
        <v>2482</v>
      </c>
      <c r="D36" s="23">
        <f>VLOOKUP(A36,[10]進出口值表查詢結果!$A$2:$D$19,4,0)</f>
        <v>4838</v>
      </c>
      <c r="E36" s="24">
        <f t="shared" si="5"/>
        <v>-2356</v>
      </c>
      <c r="F36" s="23">
        <f>VLOOKUP(A36,[9]進出口值表查詢結果!$A$2:$D$18,3,0)</f>
        <v>29468</v>
      </c>
      <c r="G36" s="23">
        <f>VLOOKUP(A36,[10]進出口值表查詢結果!$A$2:$D$19,3,0)</f>
        <v>15045</v>
      </c>
      <c r="H36" s="24">
        <f t="shared" si="6"/>
        <v>14423</v>
      </c>
      <c r="I36" s="4"/>
      <c r="J36" s="4"/>
    </row>
    <row r="37" spans="1:10">
      <c r="A37" s="46">
        <v>87149990148</v>
      </c>
      <c r="B37" s="22" t="s">
        <v>179</v>
      </c>
      <c r="C37" s="23">
        <f>VLOOKUP(A37,[9]進出口值表查詢結果!$A$2:$D$18,4,0)</f>
        <v>1799</v>
      </c>
      <c r="D37" s="23">
        <f>VLOOKUP(A37,[10]進出口值表查詢結果!$A$2:$D$19,4,0)</f>
        <v>9532</v>
      </c>
      <c r="E37" s="24">
        <f>C37-D37</f>
        <v>-7733</v>
      </c>
      <c r="F37" s="23">
        <f>VLOOKUP(A37,[9]進出口值表查詢結果!$A$2:$D$18,3,0)</f>
        <v>83246</v>
      </c>
      <c r="G37" s="23">
        <f>VLOOKUP(A37,[10]進出口值表查詢結果!$A$2:$D$19,3,0)</f>
        <v>284740</v>
      </c>
      <c r="H37" s="24">
        <f t="shared" si="6"/>
        <v>-201494</v>
      </c>
      <c r="I37" s="4"/>
      <c r="J37" s="4"/>
    </row>
    <row r="38" spans="1:10">
      <c r="A38" s="46">
        <v>87149990157</v>
      </c>
      <c r="B38" s="22" t="s">
        <v>180</v>
      </c>
      <c r="C38" s="23">
        <f>VLOOKUP(A38,[9]進出口值表查詢結果!$A$2:$D$18,4,0)</f>
        <v>4709</v>
      </c>
      <c r="D38" s="23">
        <f>VLOOKUP(A38,[10]進出口值表查詢結果!$A$2:$D$19,4,0)</f>
        <v>25188</v>
      </c>
      <c r="E38" s="24">
        <f t="shared" si="5"/>
        <v>-20479</v>
      </c>
      <c r="F38" s="23">
        <f>VLOOKUP(A38,[9]進出口值表查詢結果!$A$2:$D$18,3,0)</f>
        <v>231177</v>
      </c>
      <c r="G38" s="23">
        <f>VLOOKUP(A38,[10]進出口值表查詢結果!$A$2:$D$19,3,0)</f>
        <v>967335</v>
      </c>
      <c r="H38" s="24">
        <f t="shared" si="6"/>
        <v>-736158</v>
      </c>
      <c r="I38" s="4"/>
      <c r="J38" s="4"/>
    </row>
    <row r="39" spans="1:10">
      <c r="A39" s="46">
        <v>87149990166</v>
      </c>
      <c r="B39" s="22" t="s">
        <v>181</v>
      </c>
      <c r="C39" s="23">
        <f>VLOOKUP(A39,[9]進出口值表查詢結果!$A$2:$D$18,4,0)</f>
        <v>3974</v>
      </c>
      <c r="D39" s="23">
        <f>VLOOKUP(A39,[10]進出口值表查詢結果!$A$2:$D$19,4,0)</f>
        <v>44988</v>
      </c>
      <c r="E39" s="24">
        <f t="shared" si="5"/>
        <v>-41014</v>
      </c>
      <c r="F39" s="23">
        <f>VLOOKUP(A39,[9]進出口值表查詢結果!$A$2:$D$18,3,0)</f>
        <v>182589</v>
      </c>
      <c r="G39" s="23">
        <f>VLOOKUP(A39,[10]進出口值表查詢結果!$A$2:$D$19,3,0)</f>
        <v>1669061</v>
      </c>
      <c r="H39" s="24">
        <f t="shared" si="6"/>
        <v>-1486472</v>
      </c>
      <c r="I39" s="4"/>
      <c r="J39" s="4"/>
    </row>
    <row r="40" spans="1:10">
      <c r="A40" s="46" t="s">
        <v>211</v>
      </c>
      <c r="B40" s="22" t="s">
        <v>182</v>
      </c>
      <c r="C40" s="23">
        <v>33752</v>
      </c>
      <c r="D40" s="23">
        <v>65199</v>
      </c>
      <c r="E40" s="24">
        <f t="shared" si="5"/>
        <v>-31447</v>
      </c>
      <c r="F40" s="23">
        <v>677892</v>
      </c>
      <c r="G40" s="23">
        <v>450987</v>
      </c>
      <c r="H40" s="24">
        <f t="shared" si="6"/>
        <v>226905</v>
      </c>
      <c r="I40" s="4"/>
      <c r="J40" s="4"/>
    </row>
    <row r="41" spans="1:10">
      <c r="A41" s="46" t="s">
        <v>212</v>
      </c>
      <c r="B41" s="22" t="s">
        <v>183</v>
      </c>
      <c r="C41" s="23">
        <v>1201</v>
      </c>
      <c r="D41" s="23">
        <v>22509</v>
      </c>
      <c r="E41" s="24">
        <f t="shared" si="5"/>
        <v>-21308</v>
      </c>
      <c r="F41" s="23">
        <v>13304</v>
      </c>
      <c r="G41" s="23">
        <v>131557</v>
      </c>
      <c r="H41" s="24">
        <f t="shared" si="6"/>
        <v>-118253</v>
      </c>
      <c r="I41" s="4"/>
      <c r="J41" s="4"/>
    </row>
    <row r="42" spans="1:10" ht="18.75" customHeight="1" thickBot="1">
      <c r="A42" s="132" t="s">
        <v>160</v>
      </c>
      <c r="B42" s="133"/>
      <c r="C42" s="50">
        <f>SUM(C20:C41)</f>
        <v>298839</v>
      </c>
      <c r="D42" s="50">
        <f>SUM(D20:D41)</f>
        <v>1136602</v>
      </c>
      <c r="E42" s="51">
        <f t="shared" si="5"/>
        <v>-837763</v>
      </c>
      <c r="F42" s="50">
        <f>SUM(F20:F41)</f>
        <v>13145645</v>
      </c>
      <c r="G42" s="50">
        <f>SUM(G20:G41)</f>
        <v>43581806</v>
      </c>
      <c r="H42" s="51">
        <f t="shared" si="6"/>
        <v>-30436161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0.39997558519241921"/>
    <pageSetUpPr fitToPage="1"/>
  </sheetPr>
  <dimension ref="A1:K46"/>
  <sheetViews>
    <sheetView zoomScaleNormal="100" workbookViewId="0">
      <selection activeCell="F36" sqref="F36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3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21" customHeight="1">
      <c r="A1" s="134" t="s">
        <v>199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137</v>
      </c>
      <c r="B3" s="6" t="s">
        <v>138</v>
      </c>
      <c r="C3" s="7" t="s">
        <v>184</v>
      </c>
      <c r="D3" s="7" t="s">
        <v>185</v>
      </c>
      <c r="E3" s="9" t="s">
        <v>186</v>
      </c>
      <c r="F3" s="74" t="s">
        <v>184</v>
      </c>
      <c r="G3" s="74" t="s">
        <v>185</v>
      </c>
      <c r="H3" s="9" t="s">
        <v>186</v>
      </c>
      <c r="I3" s="56" t="s">
        <v>187</v>
      </c>
      <c r="J3" s="56" t="s">
        <v>188</v>
      </c>
      <c r="K3" s="57" t="s">
        <v>189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14" t="s">
        <v>7</v>
      </c>
      <c r="K4" s="59" t="s">
        <v>194</v>
      </c>
    </row>
    <row r="5" spans="1:11" ht="16.5">
      <c r="A5" s="21" t="s">
        <v>206</v>
      </c>
      <c r="B5" s="22" t="s">
        <v>147</v>
      </c>
      <c r="C5" s="23">
        <v>16580</v>
      </c>
      <c r="D5" s="23">
        <v>138</v>
      </c>
      <c r="E5" s="89">
        <f>IF(D5,(C5-D5)/D5,0)</f>
        <v>119.14492753623189</v>
      </c>
      <c r="F5" s="76">
        <v>3656744</v>
      </c>
      <c r="G5" s="76">
        <v>80275</v>
      </c>
      <c r="H5" s="90">
        <f>IF(G5,(F5-G5)/G5,0)</f>
        <v>44.552712550607289</v>
      </c>
      <c r="I5" s="25">
        <f>IF(C5,F5/C5,0)</f>
        <v>220.55150784077202</v>
      </c>
      <c r="J5" s="25">
        <f>IF(D5,G5/D5,0)</f>
        <v>581.70289855072463</v>
      </c>
      <c r="K5" s="89">
        <f t="shared" ref="K5:K14" si="0">IF(J5,(I5-J5)/J5,0)</f>
        <v>-0.62085197032667028</v>
      </c>
    </row>
    <row r="6" spans="1:11" ht="16.5">
      <c r="A6" s="26" t="s">
        <v>205</v>
      </c>
      <c r="B6" s="27" t="s">
        <v>148</v>
      </c>
      <c r="C6" s="23">
        <v>578</v>
      </c>
      <c r="D6" s="23">
        <v>525</v>
      </c>
      <c r="E6" s="89">
        <f t="shared" ref="E6:E14" si="1">IF(D6,(C6-D6)/D6,0)</f>
        <v>0.10095238095238095</v>
      </c>
      <c r="F6" s="76">
        <v>597090</v>
      </c>
      <c r="G6" s="76">
        <v>472424</v>
      </c>
      <c r="H6" s="90">
        <f t="shared" ref="H6:H14" si="2">IF(G6,(F6-G6)/G6,0)</f>
        <v>0.26388583137181854</v>
      </c>
      <c r="I6" s="25">
        <f t="shared" ref="I6:J11" si="3">IF(C6,F6/C6,0)</f>
        <v>1033.0276816608996</v>
      </c>
      <c r="J6" s="25">
        <f t="shared" si="3"/>
        <v>899.85523809523806</v>
      </c>
      <c r="K6" s="89">
        <f t="shared" si="0"/>
        <v>0.14799318593461022</v>
      </c>
    </row>
    <row r="7" spans="1:11" ht="16.5">
      <c r="A7" s="21" t="s">
        <v>149</v>
      </c>
      <c r="B7" s="28" t="s">
        <v>150</v>
      </c>
      <c r="C7" s="23">
        <v>0</v>
      </c>
      <c r="D7" s="23">
        <v>25</v>
      </c>
      <c r="E7" s="89">
        <f t="shared" si="1"/>
        <v>-1</v>
      </c>
      <c r="F7" s="76">
        <v>0</v>
      </c>
      <c r="G7" s="76">
        <v>4460</v>
      </c>
      <c r="H7" s="90">
        <f t="shared" si="2"/>
        <v>-1</v>
      </c>
      <c r="I7" s="25">
        <f t="shared" si="3"/>
        <v>0</v>
      </c>
      <c r="J7" s="25">
        <f t="shared" si="3"/>
        <v>178.4</v>
      </c>
      <c r="K7" s="89">
        <f t="shared" si="0"/>
        <v>-1</v>
      </c>
    </row>
    <row r="8" spans="1:11" ht="16.5">
      <c r="A8" s="21" t="s">
        <v>151</v>
      </c>
      <c r="B8" s="28" t="s">
        <v>152</v>
      </c>
      <c r="C8" s="23">
        <v>307</v>
      </c>
      <c r="D8" s="23">
        <v>0</v>
      </c>
      <c r="E8" s="89">
        <f t="shared" si="1"/>
        <v>0</v>
      </c>
      <c r="F8" s="76">
        <v>176367</v>
      </c>
      <c r="G8" s="76">
        <v>0</v>
      </c>
      <c r="H8" s="90">
        <f t="shared" si="2"/>
        <v>0</v>
      </c>
      <c r="I8" s="25">
        <f t="shared" si="3"/>
        <v>574.48534201954396</v>
      </c>
      <c r="J8" s="25">
        <f t="shared" si="3"/>
        <v>0</v>
      </c>
      <c r="K8" s="89">
        <f t="shared" si="0"/>
        <v>0</v>
      </c>
    </row>
    <row r="9" spans="1:11" ht="16.5">
      <c r="A9" s="21" t="s">
        <v>153</v>
      </c>
      <c r="B9" s="28" t="s">
        <v>154</v>
      </c>
      <c r="C9" s="23">
        <v>14849</v>
      </c>
      <c r="D9" s="23">
        <v>1863</v>
      </c>
      <c r="E9" s="89">
        <f t="shared" si="1"/>
        <v>6.9704777241009124</v>
      </c>
      <c r="F9" s="76">
        <v>6674972</v>
      </c>
      <c r="G9" s="76">
        <v>2313981</v>
      </c>
      <c r="H9" s="90">
        <f t="shared" si="2"/>
        <v>1.8846269697115059</v>
      </c>
      <c r="I9" s="25">
        <f t="shared" si="3"/>
        <v>449.52333490470738</v>
      </c>
      <c r="J9" s="25">
        <f t="shared" si="3"/>
        <v>1242.072463768116</v>
      </c>
      <c r="K9" s="89">
        <f t="shared" si="0"/>
        <v>-0.63808606340005825</v>
      </c>
    </row>
    <row r="10" spans="1:11" ht="16.5">
      <c r="A10" s="21" t="s">
        <v>155</v>
      </c>
      <c r="B10" s="28" t="s">
        <v>156</v>
      </c>
      <c r="C10" s="23">
        <v>18408</v>
      </c>
      <c r="D10" s="23">
        <v>5772</v>
      </c>
      <c r="E10" s="89">
        <f t="shared" si="1"/>
        <v>2.189189189189189</v>
      </c>
      <c r="F10" s="76">
        <v>26305163</v>
      </c>
      <c r="G10" s="76">
        <v>8087923</v>
      </c>
      <c r="H10" s="90">
        <f t="shared" si="2"/>
        <v>2.2524002763132143</v>
      </c>
      <c r="I10" s="25">
        <f t="shared" si="3"/>
        <v>1429.0071164710996</v>
      </c>
      <c r="J10" s="25">
        <f t="shared" si="3"/>
        <v>1401.234060984061</v>
      </c>
      <c r="K10" s="89">
        <f t="shared" si="0"/>
        <v>1.9820425623635007E-2</v>
      </c>
    </row>
    <row r="11" spans="1:11" ht="17.25" thickBot="1">
      <c r="A11" s="30" t="s">
        <v>157</v>
      </c>
      <c r="B11" s="70" t="s">
        <v>158</v>
      </c>
      <c r="C11" s="63">
        <f>SUM(C5:C10)</f>
        <v>50722</v>
      </c>
      <c r="D11" s="63">
        <f>SUM(D5:D10)</f>
        <v>8323</v>
      </c>
      <c r="E11" s="91">
        <f t="shared" si="1"/>
        <v>5.094196804037006</v>
      </c>
      <c r="F11" s="77">
        <f>SUM(F5:F10)</f>
        <v>37410336</v>
      </c>
      <c r="G11" s="77">
        <f>SUM(G5:G10)</f>
        <v>10959063</v>
      </c>
      <c r="H11" s="91">
        <f t="shared" si="2"/>
        <v>2.4136436664338912</v>
      </c>
      <c r="I11" s="71">
        <f t="shared" si="3"/>
        <v>737.55640550451483</v>
      </c>
      <c r="J11" s="72">
        <f t="shared" si="3"/>
        <v>1316.7202931635227</v>
      </c>
      <c r="K11" s="91">
        <f t="shared" si="0"/>
        <v>-0.43985339230059384</v>
      </c>
    </row>
    <row r="12" spans="1:11" ht="11.25" customHeight="1" thickTop="1">
      <c r="A12" s="33"/>
      <c r="B12" s="34"/>
      <c r="E12" s="68"/>
      <c r="F12" s="78"/>
      <c r="G12" s="78"/>
      <c r="H12" s="68"/>
      <c r="I12" s="35"/>
      <c r="J12" s="69"/>
      <c r="K12" s="61"/>
    </row>
    <row r="13" spans="1:11" ht="16.5">
      <c r="A13" s="21" t="s">
        <v>207</v>
      </c>
      <c r="B13" s="22" t="s">
        <v>159</v>
      </c>
      <c r="C13" s="23">
        <v>6</v>
      </c>
      <c r="D13" s="23">
        <v>8</v>
      </c>
      <c r="E13" s="89">
        <f t="shared" si="1"/>
        <v>-0.25</v>
      </c>
      <c r="F13" s="76">
        <v>10252</v>
      </c>
      <c r="G13" s="76">
        <v>6532</v>
      </c>
      <c r="H13" s="92">
        <f t="shared" si="2"/>
        <v>0.56950398040416417</v>
      </c>
      <c r="I13" s="25">
        <f t="shared" ref="I13:J13" si="4">IF(C13,F13/C13,0)</f>
        <v>1708.6666666666667</v>
      </c>
      <c r="J13" s="25">
        <f t="shared" si="4"/>
        <v>816.5</v>
      </c>
      <c r="K13" s="89">
        <f t="shared" si="0"/>
        <v>1.0926719738722188</v>
      </c>
    </row>
    <row r="14" spans="1:11" ht="17.25" thickBot="1">
      <c r="A14" s="106" t="s">
        <v>160</v>
      </c>
      <c r="B14" s="105" t="s">
        <v>80</v>
      </c>
      <c r="C14" s="109">
        <f>C11+C13</f>
        <v>50728</v>
      </c>
      <c r="D14" s="31">
        <f>D11+D13</f>
        <v>8331</v>
      </c>
      <c r="E14" s="91">
        <f t="shared" si="1"/>
        <v>5.0890649381826911</v>
      </c>
      <c r="F14" s="77">
        <f>F11+F13</f>
        <v>37420588</v>
      </c>
      <c r="G14" s="108">
        <f>G11+G13</f>
        <v>10965595</v>
      </c>
      <c r="H14" s="93">
        <f t="shared" si="2"/>
        <v>2.412545146888974</v>
      </c>
      <c r="I14" s="102">
        <f>F14/C14</f>
        <v>737.67126636177261</v>
      </c>
      <c r="J14" s="72">
        <f>G14/D14</f>
        <v>1316.2399471852118</v>
      </c>
      <c r="K14" s="91">
        <f t="shared" si="0"/>
        <v>-0.43956170914027665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200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184</v>
      </c>
      <c r="D18" s="7" t="s">
        <v>185</v>
      </c>
      <c r="E18" s="9" t="s">
        <v>186</v>
      </c>
      <c r="F18" s="74" t="s">
        <v>184</v>
      </c>
      <c r="G18" s="74" t="s">
        <v>185</v>
      </c>
      <c r="H18" s="9" t="s">
        <v>186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196</v>
      </c>
      <c r="I19" s="45"/>
      <c r="J19" s="44"/>
    </row>
    <row r="20" spans="1:10">
      <c r="A20" s="46" t="s">
        <v>208</v>
      </c>
      <c r="B20" s="22" t="s">
        <v>162</v>
      </c>
      <c r="C20" s="23">
        <v>1392</v>
      </c>
      <c r="D20" s="23">
        <v>3000</v>
      </c>
      <c r="E20" s="90">
        <f t="shared" ref="E20:E42" si="5">IF(D20,(C20-D20)/D20,0)</f>
        <v>-0.53600000000000003</v>
      </c>
      <c r="F20" s="76">
        <v>173942</v>
      </c>
      <c r="G20" s="76">
        <v>312161</v>
      </c>
      <c r="H20" s="94">
        <f t="shared" ref="H20:H42" si="6">IF(G20,(F20-G20)/G20,0)</f>
        <v>-0.44278112896870525</v>
      </c>
      <c r="I20" s="4"/>
      <c r="J20" s="4"/>
    </row>
    <row r="21" spans="1:10">
      <c r="A21" s="46" t="s">
        <v>209</v>
      </c>
      <c r="B21" s="22" t="s">
        <v>163</v>
      </c>
      <c r="C21" s="23">
        <v>911</v>
      </c>
      <c r="D21" s="23">
        <v>105</v>
      </c>
      <c r="E21" s="90">
        <f t="shared" si="5"/>
        <v>7.6761904761904765</v>
      </c>
      <c r="F21" s="76">
        <v>134659</v>
      </c>
      <c r="G21" s="76">
        <v>4135</v>
      </c>
      <c r="H21" s="94">
        <f t="shared" si="6"/>
        <v>31.56565900846433</v>
      </c>
      <c r="I21" s="4"/>
      <c r="J21" s="4"/>
    </row>
    <row r="22" spans="1:10">
      <c r="A22" s="46">
        <v>87149120007</v>
      </c>
      <c r="B22" s="22" t="s">
        <v>164</v>
      </c>
      <c r="C22" s="23">
        <f>VLOOKUP(A22,[11]進出口值表查詢結果!$A$2:$D$18,4,0)</f>
        <v>353109</v>
      </c>
      <c r="D22" s="23">
        <f>VLOOKUP(A22,[12]進出口值表查詢結果!$A$2:$D$20,4,0)</f>
        <v>742269</v>
      </c>
      <c r="E22" s="90">
        <f t="shared" si="5"/>
        <v>-0.52428432279941639</v>
      </c>
      <c r="F22" s="76">
        <f>VLOOKUP(A22,[11]進出口值表查詢結果!$A$2:$D$18,3,0)</f>
        <v>16963363</v>
      </c>
      <c r="G22" s="76">
        <f>VLOOKUP(A22,[12]進出口值表查詢結果!$A$2:$D$20,3,0)</f>
        <v>26166763</v>
      </c>
      <c r="H22" s="94">
        <f t="shared" si="6"/>
        <v>-0.35172099812269481</v>
      </c>
      <c r="I22" s="4"/>
      <c r="J22" s="4"/>
    </row>
    <row r="23" spans="1:10">
      <c r="A23" s="46">
        <v>87149200108</v>
      </c>
      <c r="B23" s="22" t="s">
        <v>165</v>
      </c>
      <c r="C23" s="23">
        <f>VLOOKUP(A23,[11]進出口值表查詢結果!$A$2:$D$18,4,0)</f>
        <v>37921</v>
      </c>
      <c r="D23" s="23">
        <f>VLOOKUP(A23,[12]進出口值表查詢結果!$A$2:$D$20,4,0)</f>
        <v>59724</v>
      </c>
      <c r="E23" s="90">
        <f t="shared" si="5"/>
        <v>-0.36506262139173534</v>
      </c>
      <c r="F23" s="76">
        <f>VLOOKUP(A23,[11]進出口值表查詢結果!$A$2:$D$18,3,0)</f>
        <v>574344</v>
      </c>
      <c r="G23" s="76">
        <f>VLOOKUP(A23,[12]進出口值表查詢結果!$A$2:$D$20,3,0)</f>
        <v>658563</v>
      </c>
      <c r="H23" s="94">
        <f t="shared" si="6"/>
        <v>-0.12788298158262762</v>
      </c>
      <c r="I23" s="4"/>
      <c r="J23" s="4"/>
    </row>
    <row r="24" spans="1:10">
      <c r="A24" s="46">
        <v>87149200206</v>
      </c>
      <c r="B24" s="22" t="s">
        <v>166</v>
      </c>
      <c r="C24" s="23">
        <f>VLOOKUP(A24,[11]進出口值表查詢結果!$A$2:$D$18,4,0)</f>
        <v>21671</v>
      </c>
      <c r="D24" s="23">
        <f>VLOOKUP(A24,[12]進出口值表查詢結果!$A$2:$D$20,4,0)</f>
        <v>39238</v>
      </c>
      <c r="E24" s="90">
        <f t="shared" si="5"/>
        <v>-0.44770375656251593</v>
      </c>
      <c r="F24" s="76">
        <f>VLOOKUP(A24,[11]進出口值表查詢結果!$A$2:$D$18,3,0)</f>
        <v>624740</v>
      </c>
      <c r="G24" s="76">
        <f>VLOOKUP(A24,[12]進出口值表查詢結果!$A$2:$D$20,3,0)</f>
        <v>952359</v>
      </c>
      <c r="H24" s="94">
        <f t="shared" si="6"/>
        <v>-0.34400787938161975</v>
      </c>
      <c r="I24" s="4"/>
      <c r="J24" s="4"/>
    </row>
    <row r="25" spans="1:10">
      <c r="A25" s="46">
        <v>87149200304</v>
      </c>
      <c r="B25" s="22" t="s">
        <v>167</v>
      </c>
      <c r="C25" s="23">
        <f>VLOOKUP(A25,[11]進出口值表查詢結果!$A$2:$D$18,4,0)</f>
        <v>11609</v>
      </c>
      <c r="D25" s="23">
        <f>VLOOKUP(A25,[12]進出口值表查詢結果!$A$2:$D$20,4,0)</f>
        <v>8749</v>
      </c>
      <c r="E25" s="90">
        <f t="shared" si="5"/>
        <v>0.32689450222882616</v>
      </c>
      <c r="F25" s="76">
        <f>VLOOKUP(A25,[11]進出口值表查詢結果!$A$2:$D$18,3,0)</f>
        <v>1142191</v>
      </c>
      <c r="G25" s="76">
        <f>VLOOKUP(A25,[12]進出口值表查詢結果!$A$2:$D$20,3,0)</f>
        <v>771301</v>
      </c>
      <c r="H25" s="94">
        <f t="shared" si="6"/>
        <v>0.48086285380156385</v>
      </c>
      <c r="I25" s="4"/>
      <c r="J25" s="4"/>
    </row>
    <row r="26" spans="1:10">
      <c r="A26" s="46">
        <v>87149310007</v>
      </c>
      <c r="B26" s="22" t="s">
        <v>168</v>
      </c>
      <c r="C26" s="23">
        <f>VLOOKUP(A26,[11]進出口值表查詢結果!$A$2:$D$18,4,0)</f>
        <v>17025</v>
      </c>
      <c r="D26" s="23">
        <f>VLOOKUP(A26,[12]進出口值表查詢結果!$A$2:$D$20,4,0)</f>
        <v>29387</v>
      </c>
      <c r="E26" s="90">
        <f t="shared" si="5"/>
        <v>-0.42066219757035422</v>
      </c>
      <c r="F26" s="76">
        <f>VLOOKUP(A26,[11]進出口值表查詢結果!$A$2:$D$18,3,0)</f>
        <v>1277606</v>
      </c>
      <c r="G26" s="76">
        <f>VLOOKUP(A26,[12]進出口值表查詢結果!$A$2:$D$20,3,0)</f>
        <v>2203850</v>
      </c>
      <c r="H26" s="94">
        <f t="shared" si="6"/>
        <v>-0.42028450212128776</v>
      </c>
      <c r="I26" s="4"/>
      <c r="J26" s="4"/>
    </row>
    <row r="27" spans="1:10">
      <c r="A27" s="46">
        <v>87149320103</v>
      </c>
      <c r="B27" s="22" t="s">
        <v>169</v>
      </c>
      <c r="C27" s="23">
        <f>VLOOKUP(A27,[11]進出口值表查詢結果!$A$2:$D$18,4,0)</f>
        <v>2878</v>
      </c>
      <c r="D27" s="23">
        <v>0</v>
      </c>
      <c r="E27" s="90">
        <f t="shared" si="5"/>
        <v>0</v>
      </c>
      <c r="F27" s="76">
        <f>VLOOKUP(A27,[11]進出口值表查詢結果!$A$2:$D$18,3,0)</f>
        <v>127264</v>
      </c>
      <c r="G27" s="76">
        <v>0</v>
      </c>
      <c r="H27" s="94">
        <f t="shared" si="6"/>
        <v>0</v>
      </c>
      <c r="I27" s="4"/>
      <c r="J27" s="4"/>
    </row>
    <row r="28" spans="1:10">
      <c r="A28" s="46">
        <v>87149410006</v>
      </c>
      <c r="B28" s="22" t="s">
        <v>170</v>
      </c>
      <c r="C28" s="23">
        <f>VLOOKUP(A28,[11]進出口值表查詢結果!$A$2:$D$18,4,0)</f>
        <v>443</v>
      </c>
      <c r="D28" s="23">
        <f>VLOOKUP(A28,[12]進出口值表查詢結果!$A$2:$D$20,4,0)</f>
        <v>364</v>
      </c>
      <c r="E28" s="90">
        <f t="shared" si="5"/>
        <v>0.21703296703296704</v>
      </c>
      <c r="F28" s="76">
        <f>VLOOKUP(A28,[11]進出口值表查詢結果!$A$2:$D$18,3,0)</f>
        <v>9871</v>
      </c>
      <c r="G28" s="76">
        <f>VLOOKUP(A28,[12]進出口值表查詢結果!$A$2:$D$20,3,0)</f>
        <v>7595</v>
      </c>
      <c r="H28" s="94">
        <f t="shared" si="6"/>
        <v>0.29967083607636602</v>
      </c>
      <c r="I28" s="4"/>
      <c r="J28" s="4"/>
    </row>
    <row r="29" spans="1:10">
      <c r="A29" s="46">
        <v>87149490009</v>
      </c>
      <c r="B29" s="22" t="s">
        <v>171</v>
      </c>
      <c r="C29" s="23">
        <f>VLOOKUP(A29,[11]進出口值表查詢結果!$A$2:$D$18,4,0)</f>
        <v>205581</v>
      </c>
      <c r="D29" s="23">
        <f>VLOOKUP(A29,[12]進出口值表查詢結果!$A$2:$D$20,4,0)</f>
        <v>693363</v>
      </c>
      <c r="E29" s="90">
        <f t="shared" si="5"/>
        <v>-0.70350162901683533</v>
      </c>
      <c r="F29" s="76">
        <f>VLOOKUP(A29,[11]進出口值表查詢結果!$A$2:$D$18,3,0)</f>
        <v>9588381</v>
      </c>
      <c r="G29" s="76">
        <f>VLOOKUP(A29,[12]進出口值表查詢結果!$A$2:$D$20,3,0)</f>
        <v>22784671</v>
      </c>
      <c r="H29" s="94">
        <f t="shared" si="6"/>
        <v>-0.57917404205660905</v>
      </c>
      <c r="I29" s="4"/>
      <c r="J29" s="4"/>
    </row>
    <row r="30" spans="1:10">
      <c r="A30" s="46">
        <v>87149500007</v>
      </c>
      <c r="B30" s="22" t="s">
        <v>172</v>
      </c>
      <c r="C30" s="23">
        <f>VLOOKUP(A30,[11]進出口值表查詢結果!$A$2:$D$18,4,0)</f>
        <v>9402</v>
      </c>
      <c r="D30" s="23">
        <f>VLOOKUP(A30,[12]進出口值表查詢結果!$A$2:$D$20,4,0)</f>
        <v>10753</v>
      </c>
      <c r="E30" s="90">
        <f t="shared" si="5"/>
        <v>-0.1256393564586627</v>
      </c>
      <c r="F30" s="76">
        <f>VLOOKUP(A30,[11]進出口值表查詢結果!$A$2:$D$18,3,0)</f>
        <v>342612</v>
      </c>
      <c r="G30" s="76">
        <f>VLOOKUP(A30,[12]進出口值表查詢結果!$A$2:$D$20,3,0)</f>
        <v>371272</v>
      </c>
      <c r="H30" s="94">
        <f t="shared" si="6"/>
        <v>-7.719407873472818E-2</v>
      </c>
      <c r="I30" s="4"/>
      <c r="J30" s="4"/>
    </row>
    <row r="31" spans="1:10">
      <c r="A31" s="46">
        <v>87149610004</v>
      </c>
      <c r="B31" s="22" t="s">
        <v>173</v>
      </c>
      <c r="C31" s="23">
        <f>VLOOKUP(A31,[11]進出口值表查詢結果!$A$2:$D$18,4,0)</f>
        <v>25071</v>
      </c>
      <c r="D31" s="23">
        <f>VLOOKUP(A31,[12]進出口值表查詢結果!$A$2:$D$20,4,0)</f>
        <v>79780</v>
      </c>
      <c r="E31" s="90">
        <f t="shared" si="5"/>
        <v>-0.68574830784657814</v>
      </c>
      <c r="F31" s="76">
        <f>VLOOKUP(A31,[11]進出口值表查詢結果!$A$2:$D$18,3,0)</f>
        <v>331769</v>
      </c>
      <c r="G31" s="76">
        <f>VLOOKUP(A31,[12]進出口值表查詢結果!$A$2:$D$20,3,0)</f>
        <v>1266915</v>
      </c>
      <c r="H31" s="94">
        <f t="shared" si="6"/>
        <v>-0.73812844587048065</v>
      </c>
      <c r="I31" s="4"/>
      <c r="J31" s="4"/>
    </row>
    <row r="32" spans="1:10">
      <c r="A32" s="46">
        <v>87149620002</v>
      </c>
      <c r="B32" s="22" t="s">
        <v>174</v>
      </c>
      <c r="C32" s="23">
        <f>VLOOKUP(A32,[11]進出口值表查詢結果!$A$2:$D$18,4,0)</f>
        <v>80928</v>
      </c>
      <c r="D32" s="23">
        <f>VLOOKUP(A32,[12]進出口值表查詢結果!$A$2:$D$20,4,0)</f>
        <v>119633</v>
      </c>
      <c r="E32" s="90">
        <f t="shared" si="5"/>
        <v>-0.32353113271421763</v>
      </c>
      <c r="F32" s="76">
        <f>VLOOKUP(A32,[11]進出口值表查詢結果!$A$2:$D$18,3,0)</f>
        <v>3624711</v>
      </c>
      <c r="G32" s="76">
        <f>VLOOKUP(A32,[12]進出口值表查詢結果!$A$2:$D$20,3,0)</f>
        <v>4414022</v>
      </c>
      <c r="H32" s="94">
        <f t="shared" si="6"/>
        <v>-0.17881899999592207</v>
      </c>
      <c r="I32" s="4"/>
      <c r="J32" s="4"/>
    </row>
    <row r="33" spans="1:10">
      <c r="A33" s="46" t="s">
        <v>210</v>
      </c>
      <c r="B33" s="22" t="s">
        <v>175</v>
      </c>
      <c r="C33" s="23">
        <v>29573</v>
      </c>
      <c r="D33" s="23">
        <v>36236</v>
      </c>
      <c r="E33" s="90">
        <f t="shared" si="5"/>
        <v>-0.18387791146925708</v>
      </c>
      <c r="F33" s="76">
        <v>813939</v>
      </c>
      <c r="G33" s="76">
        <v>789113</v>
      </c>
      <c r="H33" s="94">
        <f t="shared" si="6"/>
        <v>3.1460639984387535E-2</v>
      </c>
      <c r="I33" s="4"/>
      <c r="J33" s="4"/>
    </row>
    <row r="34" spans="1:10">
      <c r="A34" s="46">
        <v>87149990111</v>
      </c>
      <c r="B34" s="22" t="s">
        <v>176</v>
      </c>
      <c r="C34" s="23">
        <f>VLOOKUP(A34,[11]進出口值表查詢結果!$A$2:$D$18,4,0)</f>
        <v>58490</v>
      </c>
      <c r="D34" s="23">
        <f>VLOOKUP(A34,[12]進出口值表查詢結果!$A$2:$D$20,4,0)</f>
        <v>57179</v>
      </c>
      <c r="E34" s="90">
        <f t="shared" si="5"/>
        <v>2.2927998041238917E-2</v>
      </c>
      <c r="F34" s="76">
        <f>VLOOKUP(A34,[11]進出口值表查詢結果!$A$2:$D$18,3,0)</f>
        <v>5566996</v>
      </c>
      <c r="G34" s="76">
        <f>VLOOKUP(A34,[12]進出口值表查詢結果!$A$2:$D$20,3,0)</f>
        <v>5042914</v>
      </c>
      <c r="H34" s="94">
        <f t="shared" si="6"/>
        <v>0.10392443733920508</v>
      </c>
      <c r="I34" s="4"/>
      <c r="J34" s="4"/>
    </row>
    <row r="35" spans="1:10">
      <c r="A35" s="46">
        <v>87149320906</v>
      </c>
      <c r="B35" s="22" t="s">
        <v>177</v>
      </c>
      <c r="C35" s="23">
        <f>VLOOKUP(A35,[11]進出口值表查詢結果!$A$2:$D$18,4,0)</f>
        <v>112815</v>
      </c>
      <c r="D35" s="23">
        <f>VLOOKUP(A35,[12]進出口值表查詢結果!$A$2:$D$20,4,0)</f>
        <v>13955</v>
      </c>
      <c r="E35" s="90">
        <f t="shared" si="5"/>
        <v>7.0841992117520602</v>
      </c>
      <c r="F35" s="76">
        <f>VLOOKUP(A35,[11]進出口值表查詢結果!$A$2:$D$18,3,0)</f>
        <v>3691829</v>
      </c>
      <c r="G35" s="76">
        <f>VLOOKUP(A35,[12]進出口值表查詢結果!$A$2:$D$20,3,0)</f>
        <v>342591</v>
      </c>
      <c r="H35" s="94">
        <f t="shared" si="6"/>
        <v>9.7761996082792599</v>
      </c>
      <c r="I35" s="4"/>
      <c r="J35" s="4"/>
    </row>
    <row r="36" spans="1:10">
      <c r="A36" s="46">
        <v>87149990139</v>
      </c>
      <c r="B36" s="22" t="s">
        <v>178</v>
      </c>
      <c r="C36" s="23">
        <f>VLOOKUP(A36,[11]進出口值表查詢結果!$A$2:$D$19,4,0)</f>
        <v>5429</v>
      </c>
      <c r="D36" s="23">
        <f>VLOOKUP(A36,[12]進出口值表查詢結果!$A$2:$D$20,4,0)</f>
        <v>7604</v>
      </c>
      <c r="E36" s="90">
        <f t="shared" si="5"/>
        <v>-0.28603366649132034</v>
      </c>
      <c r="F36" s="76">
        <f>VLOOKUP(A36,[11]進出口值表查詢結果!$A$2:$D$19,3,0)</f>
        <v>90789</v>
      </c>
      <c r="G36" s="76">
        <f>VLOOKUP(A36,[12]進出口值表查詢結果!$A$2:$D$20,3,0)</f>
        <v>178897</v>
      </c>
      <c r="H36" s="94">
        <f t="shared" si="6"/>
        <v>-0.49250686149013118</v>
      </c>
      <c r="I36" s="4"/>
      <c r="J36" s="4"/>
    </row>
    <row r="37" spans="1:10">
      <c r="A37" s="46">
        <v>87149990148</v>
      </c>
      <c r="B37" s="22" t="s">
        <v>179</v>
      </c>
      <c r="C37" s="23">
        <f>VLOOKUP(A37,[11]進出口值表查詢結果!$A$2:$D$18,4,0)</f>
        <v>8709</v>
      </c>
      <c r="D37" s="23">
        <f>VLOOKUP(A37,[12]進出口值表查詢結果!$A$2:$D$20,4,0)</f>
        <v>28742</v>
      </c>
      <c r="E37" s="90">
        <f t="shared" si="5"/>
        <v>-0.69699394614153498</v>
      </c>
      <c r="F37" s="76">
        <f>VLOOKUP(A37,[11]進出口值表查詢結果!$A$2:$D$18,3,0)</f>
        <v>373835</v>
      </c>
      <c r="G37" s="76">
        <f>VLOOKUP(A37,[12]進出口值表查詢結果!$A$2:$D$20,3,0)</f>
        <v>746701</v>
      </c>
      <c r="H37" s="94">
        <f t="shared" si="6"/>
        <v>-0.49935114590713015</v>
      </c>
      <c r="I37" s="4"/>
      <c r="J37" s="4"/>
    </row>
    <row r="38" spans="1:10">
      <c r="A38" s="46">
        <v>87149990157</v>
      </c>
      <c r="B38" s="22" t="s">
        <v>180</v>
      </c>
      <c r="C38" s="23">
        <f>VLOOKUP(A38,[11]進出口值表查詢結果!$A$2:$D$18,4,0)</f>
        <v>14858</v>
      </c>
      <c r="D38" s="23">
        <f>VLOOKUP(A38,[12]進出口值表查詢結果!$A$2:$D$20,4,0)</f>
        <v>21625</v>
      </c>
      <c r="E38" s="90">
        <f t="shared" si="5"/>
        <v>-0.31292485549132948</v>
      </c>
      <c r="F38" s="76">
        <f>VLOOKUP(A38,[11]進出口值表查詢結果!$A$2:$D$18,3,0)</f>
        <v>610885</v>
      </c>
      <c r="G38" s="76">
        <f>VLOOKUP(A38,[12]進出口值表查詢結果!$A$2:$D$20,3,0)</f>
        <v>1045777</v>
      </c>
      <c r="H38" s="94">
        <f t="shared" si="6"/>
        <v>-0.41585538790774706</v>
      </c>
      <c r="I38" s="4"/>
      <c r="J38" s="4"/>
    </row>
    <row r="39" spans="1:10">
      <c r="A39" s="46">
        <v>87149990166</v>
      </c>
      <c r="B39" s="22" t="s">
        <v>181</v>
      </c>
      <c r="C39" s="23">
        <f>VLOOKUP(A39,[11]進出口值表查詢結果!$A$2:$D$18,4,0)</f>
        <v>23358</v>
      </c>
      <c r="D39" s="23">
        <f>VLOOKUP(A39,[12]進出口值表查詢結果!$A$2:$D$20,4,0)</f>
        <v>34742</v>
      </c>
      <c r="E39" s="90">
        <f t="shared" si="5"/>
        <v>-0.32767255771112774</v>
      </c>
      <c r="F39" s="76">
        <f>VLOOKUP(A39,[11]進出口值表查詢結果!$A$2:$D$18,3,0)</f>
        <v>857949</v>
      </c>
      <c r="G39" s="76">
        <f>VLOOKUP(A39,[12]進出口值表查詢結果!$A$2:$D$20,3,0)</f>
        <v>776128</v>
      </c>
      <c r="H39" s="94">
        <f t="shared" si="6"/>
        <v>0.1054220437865919</v>
      </c>
      <c r="I39" s="4"/>
      <c r="J39" s="4"/>
    </row>
    <row r="40" spans="1:10">
      <c r="A40" s="46" t="s">
        <v>211</v>
      </c>
      <c r="B40" s="22" t="s">
        <v>182</v>
      </c>
      <c r="C40" s="23">
        <v>145207</v>
      </c>
      <c r="D40" s="23">
        <v>262618</v>
      </c>
      <c r="E40" s="90">
        <f t="shared" si="5"/>
        <v>-0.44707902733247529</v>
      </c>
      <c r="F40" s="76">
        <v>2583375</v>
      </c>
      <c r="G40" s="76">
        <v>4856764</v>
      </c>
      <c r="H40" s="94">
        <f t="shared" si="6"/>
        <v>-0.46808718727119542</v>
      </c>
      <c r="I40" s="4"/>
      <c r="J40" s="4"/>
    </row>
    <row r="41" spans="1:10">
      <c r="A41" s="46" t="s">
        <v>212</v>
      </c>
      <c r="B41" s="22" t="s">
        <v>183</v>
      </c>
      <c r="C41" s="23">
        <v>3418</v>
      </c>
      <c r="D41" s="23">
        <v>12785</v>
      </c>
      <c r="E41" s="90">
        <f t="shared" si="5"/>
        <v>-0.73265545561204537</v>
      </c>
      <c r="F41" s="76">
        <v>43334</v>
      </c>
      <c r="G41" s="76">
        <v>211408</v>
      </c>
      <c r="H41" s="94">
        <f t="shared" si="6"/>
        <v>-0.795021948081435</v>
      </c>
      <c r="I41" s="4"/>
      <c r="J41" s="4"/>
    </row>
    <row r="42" spans="1:10" ht="18.75" customHeight="1" thickBot="1">
      <c r="A42" s="132" t="s">
        <v>160</v>
      </c>
      <c r="B42" s="133"/>
      <c r="C42" s="63">
        <f>SUM(C20:C41)</f>
        <v>1169798</v>
      </c>
      <c r="D42" s="63">
        <f>SUM(D20:D41)</f>
        <v>2261851</v>
      </c>
      <c r="E42" s="91">
        <f t="shared" si="5"/>
        <v>-0.48281385467035626</v>
      </c>
      <c r="F42" s="77">
        <f>SUM(F20:F41)</f>
        <v>49548384</v>
      </c>
      <c r="G42" s="77">
        <f>SUM(G20:G41)</f>
        <v>73903900</v>
      </c>
      <c r="H42" s="91">
        <f t="shared" si="6"/>
        <v>-0.32955657279250489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133" priority="9" operator="greaterThanOrEqual">
      <formula>0</formula>
    </cfRule>
    <cfRule type="cellIs" dxfId="132" priority="10" operator="lessThan">
      <formula>0</formula>
    </cfRule>
  </conditionalFormatting>
  <conditionalFormatting sqref="E13">
    <cfRule type="cellIs" dxfId="131" priority="5" operator="greaterThanOrEqual">
      <formula>0</formula>
    </cfRule>
    <cfRule type="cellIs" dxfId="130" priority="6" operator="lessThan">
      <formula>0</formula>
    </cfRule>
  </conditionalFormatting>
  <conditionalFormatting sqref="E20:E41">
    <cfRule type="cellIs" dxfId="129" priority="13" operator="greaterThanOrEqual">
      <formula>0</formula>
    </cfRule>
    <cfRule type="cellIs" dxfId="128" priority="14" operator="lessThan">
      <formula>0</formula>
    </cfRule>
  </conditionalFormatting>
  <conditionalFormatting sqref="H5:H10">
    <cfRule type="cellIs" dxfId="127" priority="11" operator="greaterThanOrEqual">
      <formula>0</formula>
    </cfRule>
    <cfRule type="cellIs" dxfId="126" priority="12" operator="lessThan">
      <formula>0</formula>
    </cfRule>
  </conditionalFormatting>
  <conditionalFormatting sqref="H13">
    <cfRule type="cellIs" dxfId="125" priority="3" operator="greaterThanOrEqual">
      <formula>0</formula>
    </cfRule>
    <cfRule type="cellIs" dxfId="124" priority="4" operator="lessThan">
      <formula>0</formula>
    </cfRule>
  </conditionalFormatting>
  <conditionalFormatting sqref="K5:K10">
    <cfRule type="cellIs" dxfId="123" priority="7" operator="greaterThanOrEqual">
      <formula>0</formula>
    </cfRule>
    <cfRule type="cellIs" dxfId="122" priority="8" operator="lessThan">
      <formula>0</formula>
    </cfRule>
  </conditionalFormatting>
  <conditionalFormatting sqref="K13">
    <cfRule type="cellIs" dxfId="121" priority="1" operator="greaterThanOrEqual">
      <formula>0</formula>
    </cfRule>
    <cfRule type="cellIs" dxfId="120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3999755851924192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131" t="s">
        <v>201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137</v>
      </c>
      <c r="B3" s="6" t="s">
        <v>138</v>
      </c>
      <c r="C3" s="7" t="s">
        <v>184</v>
      </c>
      <c r="D3" s="7" t="s">
        <v>185</v>
      </c>
      <c r="E3" s="9" t="s">
        <v>197</v>
      </c>
      <c r="F3" s="74" t="s">
        <v>184</v>
      </c>
      <c r="G3" s="74" t="s">
        <v>185</v>
      </c>
      <c r="H3" s="9" t="s">
        <v>197</v>
      </c>
      <c r="I3" s="56" t="s">
        <v>187</v>
      </c>
      <c r="J3" s="56" t="s">
        <v>188</v>
      </c>
      <c r="K3" s="64" t="s">
        <v>198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65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11410</v>
      </c>
      <c r="D5" s="23">
        <v>7811</v>
      </c>
      <c r="E5" s="89">
        <f>IF(D5,(C5-D5)/D5,0)</f>
        <v>0.46076046600947385</v>
      </c>
      <c r="F5" s="76">
        <v>728943</v>
      </c>
      <c r="G5" s="76">
        <v>595673</v>
      </c>
      <c r="H5" s="90">
        <f t="shared" ref="H5:H14" si="0">(F5-G5)/G5</f>
        <v>0.22373013381502938</v>
      </c>
      <c r="I5" s="25">
        <f t="shared" ref="I5:J11" si="1">F5/C5</f>
        <v>63.886327782646802</v>
      </c>
      <c r="J5" s="25">
        <f t="shared" si="1"/>
        <v>76.260786070925619</v>
      </c>
      <c r="K5" s="89">
        <f t="shared" ref="K5:K14" si="2">(I5-J5)/J5</f>
        <v>-0.16226502408157803</v>
      </c>
    </row>
    <row r="6" spans="1:11" ht="16.5">
      <c r="A6" s="26" t="s">
        <v>205</v>
      </c>
      <c r="B6" s="27" t="s">
        <v>148</v>
      </c>
      <c r="C6" s="23">
        <v>8503</v>
      </c>
      <c r="D6" s="23">
        <v>11894</v>
      </c>
      <c r="E6" s="89">
        <f t="shared" ref="E6:E14" si="3">IF(D6,(C6-D6)/D6,0)</f>
        <v>-0.28510173196569699</v>
      </c>
      <c r="F6" s="76">
        <v>902677</v>
      </c>
      <c r="G6" s="76">
        <v>1308632</v>
      </c>
      <c r="H6" s="90">
        <f t="shared" si="0"/>
        <v>-0.31021326087089418</v>
      </c>
      <c r="I6" s="25">
        <f t="shared" si="1"/>
        <v>106.15982594378454</v>
      </c>
      <c r="J6" s="25">
        <f t="shared" si="1"/>
        <v>110.02455019337481</v>
      </c>
      <c r="K6" s="89">
        <f t="shared" si="2"/>
        <v>-3.5126017264308564E-2</v>
      </c>
    </row>
    <row r="7" spans="1:11" ht="16.5">
      <c r="A7" s="21" t="s">
        <v>149</v>
      </c>
      <c r="B7" s="28" t="s">
        <v>150</v>
      </c>
      <c r="C7" s="23">
        <v>11976</v>
      </c>
      <c r="D7" s="23">
        <v>8894</v>
      </c>
      <c r="E7" s="89">
        <f t="shared" si="3"/>
        <v>0.34652574769507533</v>
      </c>
      <c r="F7" s="76">
        <v>689326</v>
      </c>
      <c r="G7" s="76">
        <v>612634</v>
      </c>
      <c r="H7" s="90">
        <f t="shared" si="0"/>
        <v>0.12518404136890868</v>
      </c>
      <c r="I7" s="25">
        <f t="shared" si="1"/>
        <v>57.55895123580494</v>
      </c>
      <c r="J7" s="25">
        <f t="shared" si="1"/>
        <v>68.881718012143011</v>
      </c>
      <c r="K7" s="89">
        <f t="shared" si="2"/>
        <v>-0.16437985438083882</v>
      </c>
    </row>
    <row r="8" spans="1:11" ht="16.5">
      <c r="A8" s="21" t="s">
        <v>151</v>
      </c>
      <c r="B8" s="28" t="s">
        <v>152</v>
      </c>
      <c r="C8" s="23">
        <v>17859</v>
      </c>
      <c r="D8" s="23">
        <v>19419</v>
      </c>
      <c r="E8" s="89">
        <f t="shared" si="3"/>
        <v>-8.0333693805036299E-2</v>
      </c>
      <c r="F8" s="76">
        <v>1994188</v>
      </c>
      <c r="G8" s="76">
        <v>2579623</v>
      </c>
      <c r="H8" s="90">
        <f t="shared" si="0"/>
        <v>-0.22694595295514111</v>
      </c>
      <c r="I8" s="25">
        <f t="shared" si="1"/>
        <v>111.66291505683409</v>
      </c>
      <c r="J8" s="25">
        <f t="shared" si="1"/>
        <v>132.84015654771102</v>
      </c>
      <c r="K8" s="89">
        <f t="shared" si="2"/>
        <v>-0.15941897421109166</v>
      </c>
    </row>
    <row r="9" spans="1:11" ht="16.5">
      <c r="A9" s="21" t="s">
        <v>153</v>
      </c>
      <c r="B9" s="28" t="s">
        <v>154</v>
      </c>
      <c r="C9" s="23">
        <v>4148</v>
      </c>
      <c r="D9" s="23">
        <v>7427</v>
      </c>
      <c r="E9" s="89">
        <f t="shared" si="3"/>
        <v>-0.44149723980072708</v>
      </c>
      <c r="F9" s="76">
        <v>528938</v>
      </c>
      <c r="G9" s="76">
        <v>912696</v>
      </c>
      <c r="H9" s="90">
        <f t="shared" si="0"/>
        <v>-0.42046639845030548</v>
      </c>
      <c r="I9" s="25">
        <f t="shared" si="1"/>
        <v>127.51639344262296</v>
      </c>
      <c r="J9" s="25">
        <f t="shared" si="1"/>
        <v>122.88891880974822</v>
      </c>
      <c r="K9" s="89">
        <f t="shared" si="2"/>
        <v>3.7655751858626171E-2</v>
      </c>
    </row>
    <row r="10" spans="1:11" ht="16.5">
      <c r="A10" s="21" t="s">
        <v>155</v>
      </c>
      <c r="B10" s="28" t="s">
        <v>156</v>
      </c>
      <c r="C10" s="23">
        <v>5024</v>
      </c>
      <c r="D10" s="23">
        <v>4884</v>
      </c>
      <c r="E10" s="89">
        <f t="shared" si="3"/>
        <v>2.8665028665028666E-2</v>
      </c>
      <c r="F10" s="76">
        <v>929205</v>
      </c>
      <c r="G10" s="76">
        <v>1096710</v>
      </c>
      <c r="H10" s="90">
        <f t="shared" si="0"/>
        <v>-0.15273408649506251</v>
      </c>
      <c r="I10" s="25">
        <f t="shared" si="1"/>
        <v>184.953224522293</v>
      </c>
      <c r="J10" s="25">
        <f t="shared" si="1"/>
        <v>224.55159705159704</v>
      </c>
      <c r="K10" s="89">
        <f t="shared" si="2"/>
        <v>-0.17634420351152169</v>
      </c>
    </row>
    <row r="11" spans="1:11" ht="17.25" thickBot="1">
      <c r="A11" s="48" t="s">
        <v>157</v>
      </c>
      <c r="B11" s="70" t="s">
        <v>158</v>
      </c>
      <c r="C11" s="63">
        <f>SUM(C5:C10)</f>
        <v>58920</v>
      </c>
      <c r="D11" s="63">
        <f>SUM(D5:D10)</f>
        <v>60329</v>
      </c>
      <c r="E11" s="91">
        <f t="shared" si="3"/>
        <v>-2.3355268610452683E-2</v>
      </c>
      <c r="F11" s="77">
        <f>SUM(F5:F10)</f>
        <v>5773277</v>
      </c>
      <c r="G11" s="77">
        <f>SUM(G5:G10)</f>
        <v>7105968</v>
      </c>
      <c r="H11" s="91">
        <f t="shared" si="0"/>
        <v>-0.18754531402336741</v>
      </c>
      <c r="I11" s="102">
        <f t="shared" si="1"/>
        <v>97.985013577732516</v>
      </c>
      <c r="J11" s="72">
        <f t="shared" si="1"/>
        <v>117.78693497323012</v>
      </c>
      <c r="K11" s="91">
        <f t="shared" si="2"/>
        <v>-0.16811645026673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207</v>
      </c>
      <c r="B13" s="22" t="s">
        <v>159</v>
      </c>
      <c r="C13" s="23">
        <v>575</v>
      </c>
      <c r="D13" s="23">
        <v>114</v>
      </c>
      <c r="E13" s="89">
        <f t="shared" si="3"/>
        <v>4.0438596491228074</v>
      </c>
      <c r="F13" s="76">
        <v>29383</v>
      </c>
      <c r="G13" s="76">
        <v>23169</v>
      </c>
      <c r="H13" s="92">
        <f t="shared" si="0"/>
        <v>0.26820320255513835</v>
      </c>
      <c r="I13" s="25">
        <f>F13/C13</f>
        <v>51.100869565217394</v>
      </c>
      <c r="J13" s="25">
        <f>G13/D13</f>
        <v>203.23684210526315</v>
      </c>
      <c r="K13" s="89">
        <f t="shared" si="2"/>
        <v>-0.74856493027602478</v>
      </c>
    </row>
    <row r="14" spans="1:11" ht="17.25" thickBot="1">
      <c r="A14" s="48" t="s">
        <v>160</v>
      </c>
      <c r="B14" s="73" t="s">
        <v>80</v>
      </c>
      <c r="C14" s="109">
        <f>C11+C13</f>
        <v>59495</v>
      </c>
      <c r="D14" s="31">
        <f>D11+D13</f>
        <v>60443</v>
      </c>
      <c r="E14" s="91">
        <f t="shared" si="3"/>
        <v>-1.5684198335621992E-2</v>
      </c>
      <c r="F14" s="77">
        <f>F11+F13</f>
        <v>5802660</v>
      </c>
      <c r="G14" s="108">
        <f>G11+G13</f>
        <v>7129137</v>
      </c>
      <c r="H14" s="93">
        <f t="shared" si="0"/>
        <v>-0.18606417579014123</v>
      </c>
      <c r="I14" s="102">
        <f>F14/C14</f>
        <v>97.531893436423232</v>
      </c>
      <c r="J14" s="72">
        <f>G14/D14</f>
        <v>117.94809986268054</v>
      </c>
      <c r="K14" s="91">
        <f t="shared" si="2"/>
        <v>-0.17309483111662327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202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184</v>
      </c>
      <c r="D18" s="7" t="s">
        <v>185</v>
      </c>
      <c r="E18" s="9" t="s">
        <v>197</v>
      </c>
      <c r="F18" s="74" t="s">
        <v>184</v>
      </c>
      <c r="G18" s="74" t="s">
        <v>185</v>
      </c>
      <c r="H18" s="9" t="s">
        <v>197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193</v>
      </c>
      <c r="I19" s="4"/>
      <c r="J19" s="4"/>
    </row>
    <row r="20" spans="1:10">
      <c r="A20" s="46" t="s">
        <v>208</v>
      </c>
      <c r="B20" s="22" t="s">
        <v>162</v>
      </c>
      <c r="C20" s="23">
        <v>8821</v>
      </c>
      <c r="D20" s="23">
        <v>19230</v>
      </c>
      <c r="E20" s="90">
        <f>(C20-D20)/D20</f>
        <v>-0.54128965158606346</v>
      </c>
      <c r="F20" s="76">
        <v>473615</v>
      </c>
      <c r="G20" s="76">
        <v>1037533</v>
      </c>
      <c r="H20" s="94">
        <f t="shared" ref="H20:H24" si="4">IF(G20,(F20-G20)/G20,0)</f>
        <v>-0.54351813388104286</v>
      </c>
      <c r="I20" s="4"/>
      <c r="J20" s="4"/>
    </row>
    <row r="21" spans="1:10">
      <c r="A21" s="46" t="s">
        <v>209</v>
      </c>
      <c r="B21" s="22" t="s">
        <v>163</v>
      </c>
      <c r="C21" s="23">
        <v>8335</v>
      </c>
      <c r="D21" s="23">
        <v>12674</v>
      </c>
      <c r="E21" s="90">
        <f t="shared" ref="E21:E41" si="5">IF(D21,(C21-D21)/D21,0)</f>
        <v>-0.34235442638472463</v>
      </c>
      <c r="F21" s="76">
        <v>585319</v>
      </c>
      <c r="G21" s="76">
        <v>830874</v>
      </c>
      <c r="H21" s="94">
        <f t="shared" si="4"/>
        <v>-0.29553819231315459</v>
      </c>
      <c r="I21" s="4"/>
      <c r="J21" s="4"/>
    </row>
    <row r="22" spans="1:10">
      <c r="A22" s="46">
        <v>87149120007</v>
      </c>
      <c r="B22" s="22" t="s">
        <v>164</v>
      </c>
      <c r="C22" s="23">
        <f>VLOOKUP(A22,[13]進出口值表查詢結果!$A$2:$D$19,4,0)</f>
        <v>2196636</v>
      </c>
      <c r="D22" s="23">
        <f>VLOOKUP(A22,[14]進出口值表查詢結果!$A$2:$D$22,4,0)</f>
        <v>3547450</v>
      </c>
      <c r="E22" s="90">
        <f t="shared" si="5"/>
        <v>-0.38078450718121465</v>
      </c>
      <c r="F22" s="76">
        <f>VLOOKUP(A22,[13]進出口值表查詢結果!$A$2:$D$19,3,0)</f>
        <v>111632383</v>
      </c>
      <c r="G22" s="76">
        <f>VLOOKUP(A22,[14]進出口值表查詢結果!$A$2:$D$22,3,0)</f>
        <v>140256066</v>
      </c>
      <c r="H22" s="94">
        <f t="shared" si="4"/>
        <v>-0.20408160457031499</v>
      </c>
      <c r="I22" s="4"/>
      <c r="J22" s="4"/>
    </row>
    <row r="23" spans="1:10">
      <c r="A23" s="46">
        <v>87149200108</v>
      </c>
      <c r="B23" s="22" t="s">
        <v>165</v>
      </c>
      <c r="C23" s="23">
        <f>VLOOKUP(A23,[13]進出口值表查詢結果!$A$2:$D$19,4,0)</f>
        <v>312202</v>
      </c>
      <c r="D23" s="23">
        <f>VLOOKUP(A23,[14]進出口值表查詢結果!$A$2:$D$22,4,0)</f>
        <v>510982</v>
      </c>
      <c r="E23" s="90">
        <f t="shared" si="5"/>
        <v>-0.38901566004281951</v>
      </c>
      <c r="F23" s="76">
        <f>VLOOKUP(A23,[13]進出口值表查詢結果!$A$2:$D$19,3,0)</f>
        <v>21280221</v>
      </c>
      <c r="G23" s="76">
        <f>VLOOKUP(A23,[14]進出口值表查詢結果!$A$2:$D$22,3,0)</f>
        <v>24090376</v>
      </c>
      <c r="H23" s="94">
        <f t="shared" si="4"/>
        <v>-0.11665052467425166</v>
      </c>
      <c r="I23" s="4"/>
      <c r="J23" s="4"/>
    </row>
    <row r="24" spans="1:10">
      <c r="A24" s="46">
        <v>87149200206</v>
      </c>
      <c r="B24" s="22" t="s">
        <v>166</v>
      </c>
      <c r="C24" s="23">
        <f>VLOOKUP(A24,[13]進出口值表查詢結果!$A$2:$D$19,4,0)</f>
        <v>22731</v>
      </c>
      <c r="D24" s="23">
        <f>VLOOKUP(A24,[14]進出口值表查詢結果!$A$2:$D$22,4,0)</f>
        <v>37414</v>
      </c>
      <c r="E24" s="90">
        <f t="shared" si="5"/>
        <v>-0.39244667771422465</v>
      </c>
      <c r="F24" s="76">
        <f>VLOOKUP(A24,[13]進出口值表查詢結果!$A$2:$D$19,3,0)</f>
        <v>269303</v>
      </c>
      <c r="G24" s="76">
        <f>VLOOKUP(A24,[14]進出口值表查詢結果!$A$2:$D$22,3,0)</f>
        <v>646833</v>
      </c>
      <c r="H24" s="94">
        <f t="shared" si="4"/>
        <v>-0.58365915158935922</v>
      </c>
      <c r="I24" s="4"/>
      <c r="J24" s="4"/>
    </row>
    <row r="25" spans="1:10">
      <c r="A25" s="46">
        <v>87149200304</v>
      </c>
      <c r="B25" s="22" t="s">
        <v>167</v>
      </c>
      <c r="C25" s="23">
        <f>VLOOKUP(A25,[13]進出口值表查詢結果!$A$2:$D$19,4,0)</f>
        <v>42155</v>
      </c>
      <c r="D25" s="23">
        <f>VLOOKUP(A25,[14]進出口值表查詢結果!$A$2:$D$22,4,0)</f>
        <v>109235</v>
      </c>
      <c r="E25" s="90">
        <f t="shared" si="5"/>
        <v>-0.61408889092323893</v>
      </c>
      <c r="F25" s="76">
        <f>VLOOKUP(A25,[13]進出口值表查詢結果!$A$2:$D$19,3,0)</f>
        <v>610548</v>
      </c>
      <c r="G25" s="76">
        <f>VLOOKUP(A25,[14]進出口值表查詢結果!$A$2:$D$22,3,0)</f>
        <v>1286793</v>
      </c>
      <c r="H25" s="94">
        <f>IF(G25,(F25-G25)/G25,0)</f>
        <v>-0.52552741583145079</v>
      </c>
      <c r="I25" s="4"/>
      <c r="J25" s="4"/>
    </row>
    <row r="26" spans="1:10">
      <c r="A26" s="46">
        <v>87149310007</v>
      </c>
      <c r="B26" s="22" t="s">
        <v>168</v>
      </c>
      <c r="C26" s="23">
        <f>VLOOKUP(A26,[13]進出口值表查詢結果!$A$2:$D$19,4,0)</f>
        <v>373748</v>
      </c>
      <c r="D26" s="23">
        <f>VLOOKUP(A26,[14]進出口值表查詢結果!$A$2:$D$22,4,0)</f>
        <v>630492</v>
      </c>
      <c r="E26" s="90">
        <f t="shared" si="5"/>
        <v>-0.40721214543562806</v>
      </c>
      <c r="F26" s="76">
        <f>VLOOKUP(A26,[13]進出口值表查詢結果!$A$2:$D$19,3,0)</f>
        <v>10813125</v>
      </c>
      <c r="G26" s="76">
        <f>VLOOKUP(A26,[14]進出口值表查詢結果!$A$2:$D$22,3,0)</f>
        <v>12953722</v>
      </c>
      <c r="H26" s="94">
        <f t="shared" ref="H26:H41" si="6">IF(G26,(F26-G26)/G26,0)</f>
        <v>-0.16524957074113525</v>
      </c>
      <c r="I26" s="4"/>
      <c r="J26" s="4"/>
    </row>
    <row r="27" spans="1:10">
      <c r="A27" s="46">
        <v>87149320103</v>
      </c>
      <c r="B27" s="22" t="s">
        <v>169</v>
      </c>
      <c r="C27" s="23">
        <f>VLOOKUP(A27,[13]進出口值表查詢結果!$A$2:$D$19,4,0)</f>
        <v>2342</v>
      </c>
      <c r="D27" s="23">
        <f>VLOOKUP(A27,[14]進出口值表查詢結果!$A$2:$D$22,4,0)</f>
        <v>378</v>
      </c>
      <c r="E27" s="90">
        <f>IF(D27,(C27-D27)/D27,0)</f>
        <v>5.1957671957671954</v>
      </c>
      <c r="F27" s="76">
        <f>VLOOKUP(A27,[13]進出口值表查詢結果!$A$2:$D$19,3,0)</f>
        <v>20324</v>
      </c>
      <c r="G27" s="76">
        <f>VLOOKUP(A27,[14]進出口值表查詢結果!$A$2:$D$22,3,0)</f>
        <v>5970</v>
      </c>
      <c r="H27" s="94">
        <f t="shared" si="6"/>
        <v>2.4043551088777217</v>
      </c>
      <c r="I27" s="4"/>
      <c r="J27" s="4"/>
    </row>
    <row r="28" spans="1:10">
      <c r="A28" s="46">
        <v>87149410006</v>
      </c>
      <c r="B28" s="22" t="s">
        <v>170</v>
      </c>
      <c r="C28" s="23">
        <f>VLOOKUP(A28,[13]進出口值表查詢結果!$A$2:$D$19,4,0)</f>
        <v>22937</v>
      </c>
      <c r="D28" s="23">
        <f>VLOOKUP(A28,[14]進出口值表查詢結果!$A$2:$D$22,4,0)</f>
        <v>14327</v>
      </c>
      <c r="E28" s="90">
        <f t="shared" si="5"/>
        <v>0.60096321630487892</v>
      </c>
      <c r="F28" s="76">
        <f>VLOOKUP(A28,[13]進出口值表查詢結果!$A$2:$D$19,3,0)</f>
        <v>142621</v>
      </c>
      <c r="G28" s="76">
        <f>VLOOKUP(A28,[14]進出口值表查詢結果!$A$2:$D$22,3,0)</f>
        <v>258440</v>
      </c>
      <c r="H28" s="94">
        <f t="shared" si="6"/>
        <v>-0.44814657173812106</v>
      </c>
      <c r="I28" s="4"/>
      <c r="J28" s="4"/>
    </row>
    <row r="29" spans="1:10">
      <c r="A29" s="46">
        <v>87149490009</v>
      </c>
      <c r="B29" s="22" t="s">
        <v>171</v>
      </c>
      <c r="C29" s="23">
        <f>VLOOKUP(A29,[13]進出口值表查詢結果!$A$2:$D$19,4,0)</f>
        <v>253150</v>
      </c>
      <c r="D29" s="23">
        <f>VLOOKUP(A29,[14]進出口值表查詢結果!$A$2:$D$22,4,0)</f>
        <v>1039939</v>
      </c>
      <c r="E29" s="90">
        <f t="shared" si="5"/>
        <v>-0.75657226048835557</v>
      </c>
      <c r="F29" s="76">
        <f>VLOOKUP(A29,[13]進出口值表查詢結果!$A$2:$D$19,3,0)</f>
        <v>4609909</v>
      </c>
      <c r="G29" s="76">
        <f>VLOOKUP(A29,[14]進出口值表查詢結果!$A$2:$D$22,3,0)</f>
        <v>15641609</v>
      </c>
      <c r="H29" s="94">
        <f t="shared" si="6"/>
        <v>-0.70527910523783066</v>
      </c>
      <c r="I29" s="4"/>
      <c r="J29" s="4"/>
    </row>
    <row r="30" spans="1:10">
      <c r="A30" s="46">
        <v>87149500007</v>
      </c>
      <c r="B30" s="22" t="s">
        <v>172</v>
      </c>
      <c r="C30" s="23">
        <f>VLOOKUP(A30,[13]進出口值表查詢結果!$A$2:$D$19,4,0)</f>
        <v>247359</v>
      </c>
      <c r="D30" s="23">
        <f>VLOOKUP(A30,[14]進出口值表查詢結果!$A$2:$D$22,4,0)</f>
        <v>559651</v>
      </c>
      <c r="E30" s="90">
        <f t="shared" si="5"/>
        <v>-0.55801204679344807</v>
      </c>
      <c r="F30" s="76">
        <f>VLOOKUP(A30,[13]進出口值表查詢結果!$A$2:$D$19,3,0)</f>
        <v>2632794</v>
      </c>
      <c r="G30" s="76">
        <f>VLOOKUP(A30,[14]進出口值表查詢結果!$A$2:$D$22,3,0)</f>
        <v>7809079</v>
      </c>
      <c r="H30" s="94">
        <f t="shared" si="6"/>
        <v>-0.66285473613469659</v>
      </c>
      <c r="I30" s="4"/>
      <c r="J30" s="4"/>
    </row>
    <row r="31" spans="1:10">
      <c r="A31" s="46">
        <v>87149610004</v>
      </c>
      <c r="B31" s="22" t="s">
        <v>173</v>
      </c>
      <c r="C31" s="23">
        <f>VLOOKUP(A31,[13]進出口值表查詢結果!$A$2:$D$19,4,0)</f>
        <v>89337</v>
      </c>
      <c r="D31" s="23">
        <f>VLOOKUP(A31,[14]進出口值表查詢結果!$A$2:$D$22,4,0)</f>
        <v>348350</v>
      </c>
      <c r="E31" s="90">
        <f t="shared" si="5"/>
        <v>-0.74354241423855316</v>
      </c>
      <c r="F31" s="76">
        <f>VLOOKUP(A31,[13]進出口值表查詢結果!$A$2:$D$19,3,0)</f>
        <v>582303</v>
      </c>
      <c r="G31" s="76">
        <f>VLOOKUP(A31,[14]進出口值表查詢結果!$A$2:$D$22,3,0)</f>
        <v>3323433</v>
      </c>
      <c r="H31" s="94">
        <f t="shared" si="6"/>
        <v>-0.8247887049325201</v>
      </c>
      <c r="I31" s="4"/>
      <c r="J31" s="4"/>
    </row>
    <row r="32" spans="1:10">
      <c r="A32" s="46">
        <v>87149620002</v>
      </c>
      <c r="B32" s="22" t="s">
        <v>174</v>
      </c>
      <c r="C32" s="23">
        <f>VLOOKUP(A32,[13]進出口值表查詢結果!$A$2:$D$19,4,0)</f>
        <v>321244</v>
      </c>
      <c r="D32" s="23">
        <f>VLOOKUP(A32,[14]進出口值表查詢結果!$A$2:$D$22,4,0)</f>
        <v>690167</v>
      </c>
      <c r="E32" s="90">
        <f t="shared" si="5"/>
        <v>-0.53454163992193193</v>
      </c>
      <c r="F32" s="76">
        <f>VLOOKUP(A32,[13]進出口值表查詢結果!$A$2:$D$19,3,0)</f>
        <v>3472100</v>
      </c>
      <c r="G32" s="76">
        <f>VLOOKUP(A32,[14]進出口值表查詢結果!$A$2:$D$22,3,0)</f>
        <v>6957958</v>
      </c>
      <c r="H32" s="94">
        <f t="shared" si="6"/>
        <v>-0.50098865213040955</v>
      </c>
      <c r="I32" s="4"/>
      <c r="J32" s="4"/>
    </row>
    <row r="33" spans="1:10">
      <c r="A33" s="46" t="s">
        <v>210</v>
      </c>
      <c r="B33" s="22" t="s">
        <v>175</v>
      </c>
      <c r="C33" s="23">
        <v>162799</v>
      </c>
      <c r="D33" s="23">
        <v>411243</v>
      </c>
      <c r="E33" s="90">
        <f t="shared" si="5"/>
        <v>-0.60412943199033176</v>
      </c>
      <c r="F33" s="76">
        <v>732914</v>
      </c>
      <c r="G33" s="76">
        <v>1588416</v>
      </c>
      <c r="H33" s="94">
        <f t="shared" si="6"/>
        <v>-0.53858812804706069</v>
      </c>
      <c r="I33" s="4"/>
      <c r="J33" s="4"/>
    </row>
    <row r="34" spans="1:10">
      <c r="A34" s="46">
        <v>87149990111</v>
      </c>
      <c r="B34" s="22" t="s">
        <v>176</v>
      </c>
      <c r="C34" s="23">
        <f>VLOOKUP(A34,[13]進出口值表查詢結果!$A$2:$D$19,4,0)</f>
        <v>56908</v>
      </c>
      <c r="D34" s="23">
        <f>VLOOKUP(A34,[14]進出口值表查詢結果!$A$2:$D$22,4,0)</f>
        <v>263348</v>
      </c>
      <c r="E34" s="90">
        <f t="shared" si="5"/>
        <v>-0.78390570651761171</v>
      </c>
      <c r="F34" s="76">
        <f>VLOOKUP(A34,[13]進出口值表查詢結果!$A$2:$D$19,3,0)</f>
        <v>1384781</v>
      </c>
      <c r="G34" s="76">
        <f>VLOOKUP(A34,[14]進出口值表查詢結果!$A$2:$D$22,3,0)</f>
        <v>5342045</v>
      </c>
      <c r="H34" s="94">
        <f t="shared" si="6"/>
        <v>-0.74077698709014994</v>
      </c>
      <c r="I34" s="4"/>
      <c r="J34" s="4"/>
    </row>
    <row r="35" spans="1:10">
      <c r="A35" s="46">
        <v>87149320906</v>
      </c>
      <c r="B35" s="22" t="s">
        <v>177</v>
      </c>
      <c r="C35" s="23">
        <f>VLOOKUP(A35,[13]進出口值表查詢結果!$A$2:$D$19,4,0)</f>
        <v>110442</v>
      </c>
      <c r="D35" s="23">
        <f>VLOOKUP(A35,[14]進出口值表查詢結果!$A$2:$D$22,4,0)</f>
        <v>31985</v>
      </c>
      <c r="E35" s="90">
        <f t="shared" si="5"/>
        <v>2.4529310614350477</v>
      </c>
      <c r="F35" s="76">
        <f>VLOOKUP(A35,[13]進出口值表查詢結果!$A$2:$D$19,3,0)</f>
        <v>1500896</v>
      </c>
      <c r="G35" s="76">
        <f>VLOOKUP(A35,[14]進出口值表查詢結果!$A$2:$D$22,3,0)</f>
        <v>279972</v>
      </c>
      <c r="H35" s="94">
        <f t="shared" si="6"/>
        <v>4.3608789450373608</v>
      </c>
      <c r="I35" s="4"/>
      <c r="J35" s="4"/>
    </row>
    <row r="36" spans="1:10">
      <c r="A36" s="46">
        <v>87149990139</v>
      </c>
      <c r="B36" s="22" t="s">
        <v>178</v>
      </c>
      <c r="C36" s="23">
        <f>VLOOKUP(A36,[13]進出口值表查詢結果!$A$2:$D$19,4,0)</f>
        <v>11536</v>
      </c>
      <c r="D36" s="23">
        <f>VLOOKUP(A36,[14]進出口值表查詢結果!$A$2:$D$22,4,0)</f>
        <v>62698</v>
      </c>
      <c r="E36" s="90">
        <f t="shared" si="5"/>
        <v>-0.81600689017193528</v>
      </c>
      <c r="F36" s="76">
        <f>VLOOKUP(A36,[13]進出口值表查詢結果!$A$2:$D$19,3,0)</f>
        <v>49482</v>
      </c>
      <c r="G36" s="76">
        <f>VLOOKUP(A36,[14]進出口值表查詢結果!$A$2:$D$22,3,0)</f>
        <v>254918</v>
      </c>
      <c r="H36" s="94">
        <f t="shared" si="6"/>
        <v>-0.80589052165794495</v>
      </c>
      <c r="I36" s="4"/>
      <c r="J36" s="4"/>
    </row>
    <row r="37" spans="1:10">
      <c r="A37" s="46">
        <v>87149990148</v>
      </c>
      <c r="B37" s="22" t="s">
        <v>179</v>
      </c>
      <c r="C37" s="23">
        <f>VLOOKUP(A37,[13]進出口值表查詢結果!$A$2:$D$19,4,0)</f>
        <v>68952</v>
      </c>
      <c r="D37" s="23">
        <f>VLOOKUP(A37,[14]進出口值表查詢結果!$A$2:$D$22,4,0)</f>
        <v>170141</v>
      </c>
      <c r="E37" s="90">
        <f t="shared" si="5"/>
        <v>-0.59473613062107311</v>
      </c>
      <c r="F37" s="76">
        <f>VLOOKUP(A37,[13]進出口值表查詢結果!$A$2:$D$19,3,0)</f>
        <v>1513493</v>
      </c>
      <c r="G37" s="76">
        <f>VLOOKUP(A37,[14]進出口值表查詢結果!$A$2:$D$22,3,0)</f>
        <v>2844076</v>
      </c>
      <c r="H37" s="94">
        <f t="shared" si="6"/>
        <v>-0.46784368631499301</v>
      </c>
      <c r="I37" s="4"/>
      <c r="J37" s="4"/>
    </row>
    <row r="38" spans="1:10">
      <c r="A38" s="46">
        <v>87149990157</v>
      </c>
      <c r="B38" s="22" t="s">
        <v>180</v>
      </c>
      <c r="C38" s="23">
        <f>VLOOKUP(A38,[13]進出口值表查詢結果!$A$2:$D$19,4,0)</f>
        <v>148330</v>
      </c>
      <c r="D38" s="23">
        <f>VLOOKUP(A38,[14]進出口值表查詢結果!$A$2:$D$22,4,0)</f>
        <v>307799</v>
      </c>
      <c r="E38" s="90">
        <f t="shared" si="5"/>
        <v>-0.51809460069720825</v>
      </c>
      <c r="F38" s="76">
        <f>VLOOKUP(A38,[13]進出口值表查詢結果!$A$2:$D$19,3,0)</f>
        <v>4015224</v>
      </c>
      <c r="G38" s="76">
        <f>VLOOKUP(A38,[14]進出口值表查詢結果!$A$2:$D$22,3,0)</f>
        <v>5809895</v>
      </c>
      <c r="H38" s="94">
        <f t="shared" si="6"/>
        <v>-0.30889904206530411</v>
      </c>
      <c r="I38" s="4"/>
      <c r="J38" s="4"/>
    </row>
    <row r="39" spans="1:10">
      <c r="A39" s="46">
        <v>87149990166</v>
      </c>
      <c r="B39" s="22" t="s">
        <v>181</v>
      </c>
      <c r="C39" s="23">
        <f>VLOOKUP(A39,[13]進出口值表查詢結果!$A$2:$D$19,4,0)</f>
        <v>161244</v>
      </c>
      <c r="D39" s="23">
        <f>VLOOKUP(A39,[14]進出口值表查詢結果!$A$2:$D$22,4,0)</f>
        <v>269524</v>
      </c>
      <c r="E39" s="90">
        <f t="shared" si="5"/>
        <v>-0.40174529911992996</v>
      </c>
      <c r="F39" s="76">
        <f>VLOOKUP(A39,[13]進出口值表查詢結果!$A$2:$D$19,3,0)</f>
        <v>5800843</v>
      </c>
      <c r="G39" s="76">
        <f>VLOOKUP(A39,[14]進出口值表查詢結果!$A$2:$D$22,3,0)</f>
        <v>8625009</v>
      </c>
      <c r="H39" s="94">
        <f t="shared" si="6"/>
        <v>-0.3274391945562028</v>
      </c>
      <c r="I39" s="4"/>
      <c r="J39" s="4"/>
    </row>
    <row r="40" spans="1:10">
      <c r="A40" s="46" t="s">
        <v>211</v>
      </c>
      <c r="B40" s="22" t="s">
        <v>182</v>
      </c>
      <c r="C40" s="23">
        <v>319006</v>
      </c>
      <c r="D40" s="23">
        <v>461430</v>
      </c>
      <c r="E40" s="90">
        <f t="shared" si="5"/>
        <v>-0.30865786793229744</v>
      </c>
      <c r="F40" s="76">
        <v>2030011</v>
      </c>
      <c r="G40" s="76">
        <v>3231601</v>
      </c>
      <c r="H40" s="94">
        <f t="shared" si="6"/>
        <v>-0.37182498705749872</v>
      </c>
      <c r="I40" s="4"/>
      <c r="J40" s="4"/>
    </row>
    <row r="41" spans="1:10">
      <c r="A41" s="46" t="s">
        <v>212</v>
      </c>
      <c r="B41" s="22" t="s">
        <v>183</v>
      </c>
      <c r="C41" s="23">
        <v>94296</v>
      </c>
      <c r="D41" s="23">
        <v>181081</v>
      </c>
      <c r="E41" s="90">
        <f t="shared" si="5"/>
        <v>-0.47926066235552045</v>
      </c>
      <c r="F41" s="76">
        <v>568359</v>
      </c>
      <c r="G41" s="76">
        <v>967852</v>
      </c>
      <c r="H41" s="94">
        <f t="shared" si="6"/>
        <v>-0.41276248847964359</v>
      </c>
      <c r="I41" s="4"/>
      <c r="J41" s="4"/>
    </row>
    <row r="42" spans="1:10" ht="18.75" customHeight="1" thickBot="1">
      <c r="A42" s="132" t="s">
        <v>160</v>
      </c>
      <c r="B42" s="133"/>
      <c r="C42" s="63">
        <f>SUM(C20:C41)</f>
        <v>5034510</v>
      </c>
      <c r="D42" s="63">
        <f>SUM(D20:D41)</f>
        <v>9679538</v>
      </c>
      <c r="E42" s="91">
        <f t="shared" ref="E42" si="7">(C42-D42)/D42</f>
        <v>-0.4798811678821861</v>
      </c>
      <c r="F42" s="77">
        <f>SUM(F20:F41)</f>
        <v>174720568</v>
      </c>
      <c r="G42" s="77">
        <f>SUM(G20:G41)</f>
        <v>244042470</v>
      </c>
      <c r="H42" s="91">
        <f t="shared" ref="H42" si="8">(F42-G42)/G42</f>
        <v>-0.28405671357120749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119" priority="13" operator="greaterThanOrEqual">
      <formula>0</formula>
    </cfRule>
    <cfRule type="cellIs" dxfId="118" priority="14" operator="lessThan">
      <formula>0</formula>
    </cfRule>
  </conditionalFormatting>
  <conditionalFormatting sqref="E13">
    <cfRule type="cellIs" dxfId="117" priority="3" operator="greaterThanOrEqual">
      <formula>0</formula>
    </cfRule>
    <cfRule type="cellIs" dxfId="116" priority="4" operator="lessThan">
      <formula>0</formula>
    </cfRule>
  </conditionalFormatting>
  <conditionalFormatting sqref="E20:E41">
    <cfRule type="cellIs" dxfId="115" priority="1" operator="greaterThanOrEqual">
      <formula>0</formula>
    </cfRule>
    <cfRule type="cellIs" dxfId="114" priority="2" operator="lessThan">
      <formula>0</formula>
    </cfRule>
  </conditionalFormatting>
  <conditionalFormatting sqref="H5:H10">
    <cfRule type="cellIs" dxfId="113" priority="11" operator="greaterThanOrEqual">
      <formula>0</formula>
    </cfRule>
    <cfRule type="cellIs" dxfId="112" priority="12" operator="lessThan">
      <formula>0</formula>
    </cfRule>
  </conditionalFormatting>
  <conditionalFormatting sqref="H13">
    <cfRule type="cellIs" dxfId="111" priority="7" operator="greaterThanOrEqual">
      <formula>0</formula>
    </cfRule>
    <cfRule type="cellIs" dxfId="110" priority="8" operator="lessThan">
      <formula>0</formula>
    </cfRule>
  </conditionalFormatting>
  <conditionalFormatting sqref="K5:K10">
    <cfRule type="cellIs" dxfId="109" priority="9" operator="greaterThanOrEqual">
      <formula>0</formula>
    </cfRule>
    <cfRule type="cellIs" dxfId="108" priority="10" operator="lessThan">
      <formula>0</formula>
    </cfRule>
  </conditionalFormatting>
  <conditionalFormatting sqref="K13">
    <cfRule type="cellIs" dxfId="107" priority="5" operator="greaterThanOrEqual">
      <formula>0</formula>
    </cfRule>
    <cfRule type="cellIs" dxfId="106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-0.249977111117893"/>
    <pageSetUpPr fitToPage="1"/>
  </sheetPr>
  <dimension ref="A1:J89"/>
  <sheetViews>
    <sheetView zoomScale="80" zoomScaleNormal="80" workbookViewId="0">
      <selection activeCell="H44" sqref="H44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8.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3.25" customHeight="1">
      <c r="A1" s="130" t="s">
        <v>120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0</v>
      </c>
      <c r="B3" s="6" t="s">
        <v>1</v>
      </c>
      <c r="C3" s="98" t="s">
        <v>121</v>
      </c>
      <c r="D3" s="8" t="s">
        <v>122</v>
      </c>
      <c r="E3" s="9" t="s">
        <v>2</v>
      </c>
      <c r="F3" s="10" t="s">
        <v>123</v>
      </c>
      <c r="G3" s="99" t="s">
        <v>124</v>
      </c>
      <c r="H3" s="9" t="s">
        <v>3</v>
      </c>
      <c r="I3" s="12" t="s">
        <v>4</v>
      </c>
      <c r="J3" s="12" t="s">
        <v>5</v>
      </c>
    </row>
    <row r="4" spans="1:10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8</v>
      </c>
      <c r="B5" s="22" t="s">
        <v>9</v>
      </c>
      <c r="C5" s="23">
        <v>2614</v>
      </c>
      <c r="D5" s="23">
        <v>2204</v>
      </c>
      <c r="E5" s="101">
        <f>C5-D5</f>
        <v>410</v>
      </c>
      <c r="F5" s="23">
        <v>648381</v>
      </c>
      <c r="G5" s="23">
        <v>127184</v>
      </c>
      <c r="H5" s="84">
        <f>F5-G5</f>
        <v>521197</v>
      </c>
      <c r="I5" s="25">
        <f>IF(C5,F5/C5,0)</f>
        <v>248.04169854628921</v>
      </c>
      <c r="J5" s="25">
        <f>IF(D5,G5/D5,0)</f>
        <v>57.705989110707804</v>
      </c>
    </row>
    <row r="6" spans="1:10" ht="16.5">
      <c r="A6" s="26" t="s">
        <v>10</v>
      </c>
      <c r="B6" s="27" t="s">
        <v>11</v>
      </c>
      <c r="C6" s="23">
        <v>22</v>
      </c>
      <c r="D6" s="23">
        <v>1519</v>
      </c>
      <c r="E6" s="101">
        <f t="shared" ref="E6:E10" si="0">C6-D6</f>
        <v>-1497</v>
      </c>
      <c r="F6" s="23">
        <v>6019</v>
      </c>
      <c r="G6" s="23">
        <v>214720</v>
      </c>
      <c r="H6" s="84">
        <f t="shared" ref="H6:H10" si="1">F6-G6</f>
        <v>-208701</v>
      </c>
      <c r="I6" s="25">
        <f>IF(C6,F6/C6,0)</f>
        <v>273.59090909090907</v>
      </c>
      <c r="J6" s="25">
        <f t="shared" ref="J6:J10" si="2">IF(D6,G6/D6,0)</f>
        <v>141.35615536537196</v>
      </c>
    </row>
    <row r="7" spans="1:10" ht="16.5">
      <c r="A7" s="21" t="s">
        <v>12</v>
      </c>
      <c r="B7" s="28" t="s">
        <v>13</v>
      </c>
      <c r="C7" s="29">
        <v>0</v>
      </c>
      <c r="D7" s="23">
        <v>3709</v>
      </c>
      <c r="E7" s="101">
        <f t="shared" si="0"/>
        <v>-3709</v>
      </c>
      <c r="F7" s="23">
        <v>0</v>
      </c>
      <c r="G7" s="23">
        <v>226728</v>
      </c>
      <c r="H7" s="84">
        <f t="shared" si="1"/>
        <v>-226728</v>
      </c>
      <c r="I7" s="25">
        <f t="shared" ref="I7:I13" si="3">IF(C7,F7/C7,0)</f>
        <v>0</v>
      </c>
      <c r="J7" s="25">
        <f t="shared" si="2"/>
        <v>61.129145322189267</v>
      </c>
    </row>
    <row r="8" spans="1:10" ht="16.5">
      <c r="A8" s="21" t="s">
        <v>14</v>
      </c>
      <c r="B8" s="28" t="s">
        <v>15</v>
      </c>
      <c r="C8" s="23">
        <v>43</v>
      </c>
      <c r="D8" s="23">
        <v>4732</v>
      </c>
      <c r="E8" s="101">
        <f t="shared" si="0"/>
        <v>-4689</v>
      </c>
      <c r="F8" s="23">
        <v>32548</v>
      </c>
      <c r="G8" s="23">
        <v>520934</v>
      </c>
      <c r="H8" s="84">
        <f t="shared" si="1"/>
        <v>-488386</v>
      </c>
      <c r="I8" s="25">
        <f t="shared" si="3"/>
        <v>756.93023255813955</v>
      </c>
      <c r="J8" s="25">
        <f t="shared" si="2"/>
        <v>110.08748943364328</v>
      </c>
    </row>
    <row r="9" spans="1:10" ht="16.5">
      <c r="A9" s="21" t="s">
        <v>16</v>
      </c>
      <c r="B9" s="28" t="s">
        <v>17</v>
      </c>
      <c r="C9" s="23">
        <v>7644</v>
      </c>
      <c r="D9" s="23">
        <v>742</v>
      </c>
      <c r="E9" s="101">
        <f t="shared" si="0"/>
        <v>6902</v>
      </c>
      <c r="F9" s="23">
        <v>3007458</v>
      </c>
      <c r="G9" s="23">
        <v>101703</v>
      </c>
      <c r="H9" s="84">
        <f t="shared" si="1"/>
        <v>2905755</v>
      </c>
      <c r="I9" s="25">
        <f t="shared" si="3"/>
        <v>393.44034536891678</v>
      </c>
      <c r="J9" s="25">
        <f t="shared" si="2"/>
        <v>137.06603773584905</v>
      </c>
    </row>
    <row r="10" spans="1:10" ht="16.5">
      <c r="A10" s="21" t="s">
        <v>18</v>
      </c>
      <c r="B10" s="28" t="s">
        <v>19</v>
      </c>
      <c r="C10" s="23">
        <v>4943</v>
      </c>
      <c r="D10" s="23">
        <v>1607</v>
      </c>
      <c r="E10" s="101">
        <f t="shared" si="0"/>
        <v>3336</v>
      </c>
      <c r="F10" s="23">
        <v>7158980</v>
      </c>
      <c r="G10" s="23">
        <v>286131</v>
      </c>
      <c r="H10" s="84">
        <f t="shared" si="1"/>
        <v>6872849</v>
      </c>
      <c r="I10" s="25">
        <f t="shared" si="3"/>
        <v>1448.3066963382562</v>
      </c>
      <c r="J10" s="25">
        <f t="shared" si="2"/>
        <v>178.05289359054137</v>
      </c>
    </row>
    <row r="11" spans="1:10" ht="17.25" thickBot="1">
      <c r="A11" s="48" t="s">
        <v>20</v>
      </c>
      <c r="B11" s="70" t="s">
        <v>21</v>
      </c>
      <c r="C11" s="63">
        <v>15266</v>
      </c>
      <c r="D11" s="63">
        <v>14513</v>
      </c>
      <c r="E11" s="100">
        <f>C11-D11</f>
        <v>753</v>
      </c>
      <c r="F11" s="63">
        <v>10853386</v>
      </c>
      <c r="G11" s="63">
        <v>1477400</v>
      </c>
      <c r="H11" s="82">
        <f>F11-G11</f>
        <v>9375986</v>
      </c>
      <c r="I11" s="102">
        <f t="shared" si="3"/>
        <v>710.95152626752258</v>
      </c>
      <c r="J11" s="72">
        <f>IF(D11,G11/D11,0)</f>
        <v>101.79838765244953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22</v>
      </c>
      <c r="B13" s="22" t="s">
        <v>23</v>
      </c>
      <c r="C13" s="23">
        <v>2</v>
      </c>
      <c r="D13" s="23">
        <v>42</v>
      </c>
      <c r="E13" s="101">
        <f>C13-D13</f>
        <v>-40</v>
      </c>
      <c r="F13" s="23">
        <v>3926</v>
      </c>
      <c r="G13" s="23">
        <v>2513</v>
      </c>
      <c r="H13" s="103">
        <f t="shared" ref="H13" si="4">F13-G13</f>
        <v>1413</v>
      </c>
      <c r="I13" s="25">
        <f t="shared" si="3"/>
        <v>1963</v>
      </c>
      <c r="J13" s="25">
        <f t="shared" ref="J13" si="5">IF(D13,G13/D13,0)</f>
        <v>59.833333333333336</v>
      </c>
    </row>
    <row r="14" spans="1:10" ht="17.25" thickBot="1">
      <c r="A14" s="106" t="s">
        <v>24</v>
      </c>
      <c r="B14" s="105" t="s">
        <v>25</v>
      </c>
      <c r="C14" s="63">
        <f>SUM(C11:C13)</f>
        <v>15268</v>
      </c>
      <c r="D14" s="63">
        <f>SUM(D11:D13)</f>
        <v>14555</v>
      </c>
      <c r="E14" s="80">
        <f>C14-D14</f>
        <v>713</v>
      </c>
      <c r="F14" s="63">
        <f>SUM(F11:F13)</f>
        <v>10857312</v>
      </c>
      <c r="G14" s="63">
        <f>SUM(G11:G13)</f>
        <v>1479913</v>
      </c>
      <c r="H14" s="107">
        <f>F14-G14</f>
        <v>9377399</v>
      </c>
      <c r="I14" s="72">
        <v>663.54503669058943</v>
      </c>
      <c r="J14" s="104">
        <v>129.40604899411522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125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98" t="s">
        <v>121</v>
      </c>
      <c r="D18" s="8" t="s">
        <v>122</v>
      </c>
      <c r="E18" s="9" t="s">
        <v>2</v>
      </c>
      <c r="F18" s="10" t="s">
        <v>123</v>
      </c>
      <c r="G18" s="99" t="s">
        <v>124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28</v>
      </c>
      <c r="B20" s="22" t="s">
        <v>29</v>
      </c>
      <c r="C20" s="23">
        <v>622</v>
      </c>
      <c r="D20" s="23">
        <v>2239</v>
      </c>
      <c r="E20" s="24">
        <f>C20-D20</f>
        <v>-1617</v>
      </c>
      <c r="F20" s="23">
        <v>84756</v>
      </c>
      <c r="G20" s="23">
        <v>133901</v>
      </c>
      <c r="H20" s="24">
        <f>F20-G20</f>
        <v>-49145</v>
      </c>
      <c r="I20" s="4"/>
      <c r="J20" s="4"/>
    </row>
    <row r="21" spans="1:10">
      <c r="A21" s="46" t="s">
        <v>30</v>
      </c>
      <c r="B21" s="22" t="s">
        <v>31</v>
      </c>
      <c r="C21" s="23">
        <v>314</v>
      </c>
      <c r="D21" s="23">
        <v>2532</v>
      </c>
      <c r="E21" s="24">
        <f t="shared" ref="E21:E41" si="6">C21-D21</f>
        <v>-2218</v>
      </c>
      <c r="F21" s="23">
        <v>44652</v>
      </c>
      <c r="G21" s="23">
        <v>144914</v>
      </c>
      <c r="H21" s="24">
        <f t="shared" ref="H21:H41" si="7">F21-G21</f>
        <v>-100262</v>
      </c>
      <c r="I21" s="4"/>
      <c r="J21" s="4"/>
    </row>
    <row r="22" spans="1:10">
      <c r="A22" s="46" t="s">
        <v>32</v>
      </c>
      <c r="B22" s="22" t="s">
        <v>33</v>
      </c>
      <c r="C22" s="23">
        <f>VLOOKUP(A22,[15]進出口值表查詢結果!$A$2:$D$18,4,0)</f>
        <v>95689</v>
      </c>
      <c r="D22" s="23">
        <f>VLOOKUP(A22,[16]進出口值表查詢結果!$A$2:$D$18,4,0)</f>
        <v>619335</v>
      </c>
      <c r="E22" s="24">
        <f>C22-D22</f>
        <v>-523646</v>
      </c>
      <c r="F22" s="23">
        <f>VLOOKUP(A22,[15]進出口值表查詢結果!$A$2:$D$18,3,0)</f>
        <v>4991035</v>
      </c>
      <c r="G22" s="23">
        <f>VLOOKUP(A22,[16]進出口值表查詢結果!$A$2:$D$18,3,0)</f>
        <v>28968697</v>
      </c>
      <c r="H22" s="24">
        <f t="shared" si="7"/>
        <v>-23977662</v>
      </c>
      <c r="I22" s="4"/>
      <c r="J22" s="4"/>
    </row>
    <row r="23" spans="1:10">
      <c r="A23" s="46" t="s">
        <v>34</v>
      </c>
      <c r="B23" s="22" t="s">
        <v>35</v>
      </c>
      <c r="C23" s="23">
        <f>VLOOKUP(A23,[15]進出口值表查詢結果!$A$2:$D$18,4,0)</f>
        <v>8320</v>
      </c>
      <c r="D23" s="23">
        <f>VLOOKUP(A23,[16]進出口值表查詢結果!$A$2:$D$18,4,0)</f>
        <v>75502</v>
      </c>
      <c r="E23" s="24">
        <f>C23-D23</f>
        <v>-67182</v>
      </c>
      <c r="F23" s="23">
        <f>VLOOKUP(A23,[15]進出口值表查詢結果!$A$2:$D$18,3,0)</f>
        <v>131634</v>
      </c>
      <c r="G23" s="23">
        <f>VLOOKUP(A23,[16]進出口值表查詢結果!$A$2:$D$18,3,0)</f>
        <v>5984253</v>
      </c>
      <c r="H23" s="24">
        <f t="shared" si="7"/>
        <v>-5852619</v>
      </c>
      <c r="I23" s="4"/>
      <c r="J23" s="4"/>
    </row>
    <row r="24" spans="1:10">
      <c r="A24" s="46" t="s">
        <v>36</v>
      </c>
      <c r="B24" s="22" t="s">
        <v>37</v>
      </c>
      <c r="C24" s="23">
        <f>VLOOKUP(A24,[15]進出口值表查詢結果!$A$2:$D$18,4,0)</f>
        <v>5813</v>
      </c>
      <c r="D24" s="23">
        <f>VLOOKUP(A24,[16]進出口值表查詢結果!$A$2:$D$18,4,0)</f>
        <v>6248</v>
      </c>
      <c r="E24" s="24">
        <f t="shared" si="6"/>
        <v>-435</v>
      </c>
      <c r="F24" s="23">
        <f>VLOOKUP(A24,[15]進出口值表查詢結果!$A$2:$D$18,3,0)</f>
        <v>152863</v>
      </c>
      <c r="G24" s="23">
        <f>VLOOKUP(A24,[16]進出口值表查詢結果!$A$2:$D$18,3,0)</f>
        <v>65514</v>
      </c>
      <c r="H24" s="24">
        <f t="shared" si="7"/>
        <v>87349</v>
      </c>
      <c r="I24" s="4"/>
      <c r="J24" s="4"/>
    </row>
    <row r="25" spans="1:10">
      <c r="A25" s="46" t="s">
        <v>38</v>
      </c>
      <c r="B25" s="22" t="s">
        <v>39</v>
      </c>
      <c r="C25" s="23">
        <f>VLOOKUP(A25,[15]進出口值表查詢結果!$A$2:$D$18,4,0)</f>
        <v>1018</v>
      </c>
      <c r="D25" s="23">
        <f>VLOOKUP(A25,[16]進出口值表查詢結果!$A$2:$D$18,4,0)</f>
        <v>9886</v>
      </c>
      <c r="E25" s="24">
        <f t="shared" si="6"/>
        <v>-8868</v>
      </c>
      <c r="F25" s="23">
        <f>VLOOKUP(A25,[15]進出口值表查詢結果!$A$2:$D$18,3,0)</f>
        <v>172850</v>
      </c>
      <c r="G25" s="23">
        <f>VLOOKUP(A25,[16]進出口值表查詢結果!$A$2:$D$18,3,0)</f>
        <v>240563</v>
      </c>
      <c r="H25" s="24">
        <f t="shared" si="7"/>
        <v>-67713</v>
      </c>
      <c r="I25" s="4"/>
      <c r="J25" s="4"/>
    </row>
    <row r="26" spans="1:10">
      <c r="A26" s="46" t="s">
        <v>40</v>
      </c>
      <c r="B26" s="22" t="s">
        <v>41</v>
      </c>
      <c r="C26" s="23">
        <f>VLOOKUP(A26,[15]進出口值表查詢結果!$A$2:$D$18,4,0)</f>
        <v>7640</v>
      </c>
      <c r="D26" s="23">
        <f>VLOOKUP(A26,[16]進出口值表查詢結果!$A$2:$D$18,4,0)</f>
        <v>79671</v>
      </c>
      <c r="E26" s="24">
        <f t="shared" si="6"/>
        <v>-72031</v>
      </c>
      <c r="F26" s="23">
        <f>VLOOKUP(A26,[15]進出口值表查詢結果!$A$2:$D$18,3,0)</f>
        <v>521229</v>
      </c>
      <c r="G26" s="23">
        <f>VLOOKUP(A26,[16]進出口值表查詢結果!$A$2:$D$18,3,0)</f>
        <v>2382612</v>
      </c>
      <c r="H26" s="24">
        <f t="shared" si="7"/>
        <v>-1861383</v>
      </c>
      <c r="I26" s="4"/>
      <c r="J26" s="4"/>
    </row>
    <row r="27" spans="1:10">
      <c r="A27" s="46" t="s">
        <v>116</v>
      </c>
      <c r="B27" s="22" t="s">
        <v>134</v>
      </c>
      <c r="C27" s="23">
        <f>VLOOKUP(A27,[15]進出口值表查詢結果!$A$2:$D$18,4,0)</f>
        <v>1338</v>
      </c>
      <c r="D27" s="23">
        <v>0</v>
      </c>
      <c r="E27" s="24">
        <f t="shared" si="6"/>
        <v>1338</v>
      </c>
      <c r="F27" s="23">
        <f>VLOOKUP(A27,[15]進出口值表查詢結果!$A$2:$D$18,3,0)</f>
        <v>60026</v>
      </c>
      <c r="G27" s="23">
        <v>0</v>
      </c>
      <c r="H27" s="24">
        <f t="shared" si="7"/>
        <v>60026</v>
      </c>
      <c r="I27" s="4"/>
      <c r="J27" s="4"/>
    </row>
    <row r="28" spans="1:10">
      <c r="A28" s="46" t="s">
        <v>44</v>
      </c>
      <c r="B28" s="22" t="s">
        <v>45</v>
      </c>
      <c r="C28" s="23">
        <v>0</v>
      </c>
      <c r="D28" s="23">
        <f>VLOOKUP(A28,[16]進出口值表查詢結果!$A$2:$D$18,4,0)</f>
        <v>7361</v>
      </c>
      <c r="E28" s="24">
        <f t="shared" si="6"/>
        <v>-7361</v>
      </c>
      <c r="F28" s="23">
        <v>0</v>
      </c>
      <c r="G28" s="23">
        <f>VLOOKUP(A28,[16]進出口值表查詢結果!$A$2:$D$18,3,0)</f>
        <v>53663</v>
      </c>
      <c r="H28" s="24">
        <f t="shared" si="7"/>
        <v>-53663</v>
      </c>
      <c r="I28" s="4"/>
      <c r="J28" s="4"/>
    </row>
    <row r="29" spans="1:10">
      <c r="A29" s="46" t="s">
        <v>46</v>
      </c>
      <c r="B29" s="22" t="s">
        <v>47</v>
      </c>
      <c r="C29" s="23">
        <f>VLOOKUP(A29,[15]進出口值表查詢結果!$A$2:$D$18,4,0)</f>
        <v>53239</v>
      </c>
      <c r="D29" s="23">
        <f>VLOOKUP(A29,[16]進出口值表查詢結果!$A$2:$D$18,4,0)</f>
        <v>56111</v>
      </c>
      <c r="E29" s="24">
        <f t="shared" si="6"/>
        <v>-2872</v>
      </c>
      <c r="F29" s="23">
        <f>VLOOKUP(A29,[15]進出口值表查詢結果!$A$2:$D$18,3,0)</f>
        <v>2163754</v>
      </c>
      <c r="G29" s="23">
        <f>VLOOKUP(A29,[16]進出口值表查詢結果!$A$2:$D$18,3,0)</f>
        <v>1053061</v>
      </c>
      <c r="H29" s="24">
        <f t="shared" si="7"/>
        <v>1110693</v>
      </c>
      <c r="I29" s="4"/>
      <c r="J29" s="4"/>
    </row>
    <row r="30" spans="1:10">
      <c r="A30" s="46" t="s">
        <v>48</v>
      </c>
      <c r="B30" s="22" t="s">
        <v>49</v>
      </c>
      <c r="C30" s="23">
        <f>VLOOKUP(A30,[15]進出口值表查詢結果!$A$2:$D$18,4,0)</f>
        <v>2329</v>
      </c>
      <c r="D30" s="23">
        <f>VLOOKUP(A30,[16]進出口值表查詢結果!$A$2:$D$18,4,0)</f>
        <v>53554</v>
      </c>
      <c r="E30" s="24">
        <f t="shared" si="6"/>
        <v>-51225</v>
      </c>
      <c r="F30" s="23">
        <f>VLOOKUP(A30,[15]進出口值表查詢結果!$A$2:$D$18,3,0)</f>
        <v>71672</v>
      </c>
      <c r="G30" s="23">
        <f>VLOOKUP(A30,[16]進出口值表查詢結果!$A$2:$D$18,3,0)</f>
        <v>566056</v>
      </c>
      <c r="H30" s="24">
        <f t="shared" si="7"/>
        <v>-494384</v>
      </c>
      <c r="I30" s="4"/>
      <c r="J30" s="4"/>
    </row>
    <row r="31" spans="1:10">
      <c r="A31" s="46" t="s">
        <v>50</v>
      </c>
      <c r="B31" s="22" t="s">
        <v>51</v>
      </c>
      <c r="C31" s="23">
        <f>VLOOKUP(A31,[15]進出口值表查詢結果!$A$2:$D$18,4,0)</f>
        <v>9814</v>
      </c>
      <c r="D31" s="23">
        <f>VLOOKUP(A31,[16]進出口值表查詢結果!$A$2:$D$18,4,0)</f>
        <v>25258</v>
      </c>
      <c r="E31" s="24">
        <f t="shared" si="6"/>
        <v>-15444</v>
      </c>
      <c r="F31" s="23">
        <f>VLOOKUP(A31,[15]進出口值表查詢結果!$A$2:$D$18,3,0)</f>
        <v>129833</v>
      </c>
      <c r="G31" s="23">
        <f>VLOOKUP(A31,[16]進出口值表查詢結果!$A$2:$D$18,3,0)</f>
        <v>143000</v>
      </c>
      <c r="H31" s="24">
        <f t="shared" si="7"/>
        <v>-13167</v>
      </c>
      <c r="I31" s="4"/>
      <c r="J31" s="4"/>
    </row>
    <row r="32" spans="1:10">
      <c r="A32" s="46" t="s">
        <v>52</v>
      </c>
      <c r="B32" s="22" t="s">
        <v>53</v>
      </c>
      <c r="C32" s="23">
        <f>VLOOKUP(A32,[15]進出口值表查詢結果!$A$2:$D$18,4,0)</f>
        <v>12046</v>
      </c>
      <c r="D32" s="23">
        <f>VLOOKUP(A32,[16]進出口值表查詢結果!$A$2:$D$18,4,0)</f>
        <v>109107</v>
      </c>
      <c r="E32" s="24">
        <f t="shared" si="6"/>
        <v>-97061</v>
      </c>
      <c r="F32" s="23">
        <f>VLOOKUP(A32,[15]進出口值表查詢結果!$A$2:$D$18,3,0)</f>
        <v>674912</v>
      </c>
      <c r="G32" s="23">
        <f>VLOOKUP(A32,[16]進出口值表查詢結果!$A$2:$D$18,3,0)</f>
        <v>1249930</v>
      </c>
      <c r="H32" s="24">
        <f t="shared" si="7"/>
        <v>-575018</v>
      </c>
      <c r="I32" s="4"/>
      <c r="J32" s="4"/>
    </row>
    <row r="33" spans="1:10">
      <c r="A33" s="46" t="s">
        <v>54</v>
      </c>
      <c r="B33" s="22" t="s">
        <v>55</v>
      </c>
      <c r="C33" s="23">
        <v>2827</v>
      </c>
      <c r="D33" s="23">
        <v>30156</v>
      </c>
      <c r="E33" s="24">
        <f t="shared" si="6"/>
        <v>-27329</v>
      </c>
      <c r="F33" s="23">
        <v>106020</v>
      </c>
      <c r="G33" s="23">
        <v>123300</v>
      </c>
      <c r="H33" s="24">
        <f t="shared" si="7"/>
        <v>-17280</v>
      </c>
      <c r="I33" s="4"/>
      <c r="J33" s="4"/>
    </row>
    <row r="34" spans="1:10">
      <c r="A34" s="46" t="s">
        <v>56</v>
      </c>
      <c r="B34" s="22" t="s">
        <v>57</v>
      </c>
      <c r="C34" s="23">
        <f>VLOOKUP(A34,[15]進出口值表查詢結果!$A$2:$D$18,4,0)</f>
        <v>14606</v>
      </c>
      <c r="D34" s="23">
        <f>VLOOKUP(A34,[16]進出口值表查詢結果!$A$2:$D$18,4,0)</f>
        <v>13605</v>
      </c>
      <c r="E34" s="24">
        <f t="shared" si="6"/>
        <v>1001</v>
      </c>
      <c r="F34" s="23">
        <f>VLOOKUP(A34,[15]進出口值表查詢結果!$A$2:$D$18,3,0)</f>
        <v>1283644</v>
      </c>
      <c r="G34" s="23">
        <f>VLOOKUP(A34,[16]進出口值表查詢結果!$A$2:$D$18,3,0)</f>
        <v>341543</v>
      </c>
      <c r="H34" s="24">
        <f t="shared" si="7"/>
        <v>942101</v>
      </c>
      <c r="I34" s="4"/>
      <c r="J34" s="4"/>
    </row>
    <row r="35" spans="1:10">
      <c r="A35" s="46" t="s">
        <v>117</v>
      </c>
      <c r="B35" s="22" t="s">
        <v>118</v>
      </c>
      <c r="C35" s="23">
        <f>VLOOKUP(A35,[15]進出口值表查詢結果!$A$2:$D$18,4,0)</f>
        <v>31640</v>
      </c>
      <c r="D35" s="23">
        <f>VLOOKUP(A35,[16]進出口值表查詢結果!$A$2:$D$18,4,0)</f>
        <v>29909</v>
      </c>
      <c r="E35" s="24">
        <f t="shared" si="6"/>
        <v>1731</v>
      </c>
      <c r="F35" s="23">
        <f>VLOOKUP(A35,[15]進出口值表查詢結果!$A$2:$D$18,3,0)</f>
        <v>995549</v>
      </c>
      <c r="G35" s="23">
        <f>VLOOKUP(A35,[16]進出口值表查詢結果!$A$2:$D$18,3,0)</f>
        <v>543437</v>
      </c>
      <c r="H35" s="24">
        <f t="shared" si="7"/>
        <v>452112</v>
      </c>
      <c r="I35" s="4"/>
      <c r="J35" s="4"/>
    </row>
    <row r="36" spans="1:10">
      <c r="A36" s="46" t="s">
        <v>60</v>
      </c>
      <c r="B36" s="22" t="s">
        <v>61</v>
      </c>
      <c r="C36" s="23">
        <f>VLOOKUP(A36,[15]進出口值表查詢結果!$A$2:$D$18,4,0)</f>
        <v>246</v>
      </c>
      <c r="D36" s="23">
        <f>VLOOKUP(A36,[16]進出口值表查詢結果!$A$2:$D$18,4,0)</f>
        <v>3410</v>
      </c>
      <c r="E36" s="24">
        <f t="shared" si="6"/>
        <v>-3164</v>
      </c>
      <c r="F36" s="23">
        <f>VLOOKUP(A36,[15]進出口值表查詢結果!$A$2:$D$18,3,0)</f>
        <v>11351</v>
      </c>
      <c r="G36" s="23">
        <f>VLOOKUP(A36,[16]進出口值表查詢結果!$A$2:$D$18,3,0)</f>
        <v>28590</v>
      </c>
      <c r="H36" s="24">
        <f t="shared" si="7"/>
        <v>-17239</v>
      </c>
      <c r="I36" s="4"/>
      <c r="J36" s="4"/>
    </row>
    <row r="37" spans="1:10">
      <c r="A37" s="46" t="s">
        <v>62</v>
      </c>
      <c r="B37" s="22" t="s">
        <v>63</v>
      </c>
      <c r="C37" s="23">
        <f>VLOOKUP(A37,[15]進出口值表查詢結果!$A$2:$D$18,4,0)</f>
        <v>1020</v>
      </c>
      <c r="D37" s="23">
        <f>VLOOKUP(A37,[16]進出口值表查詢結果!$A$2:$D$18,4,0)</f>
        <v>20061</v>
      </c>
      <c r="E37" s="24">
        <f t="shared" si="6"/>
        <v>-19041</v>
      </c>
      <c r="F37" s="23">
        <f>VLOOKUP(A37,[15]進出口值表查詢結果!$A$2:$D$18,3,0)</f>
        <v>81093</v>
      </c>
      <c r="G37" s="23">
        <f>VLOOKUP(A37,[16]進出口值表查詢結果!$A$2:$D$18,3,0)</f>
        <v>352702</v>
      </c>
      <c r="H37" s="24">
        <f t="shared" si="7"/>
        <v>-271609</v>
      </c>
      <c r="I37" s="4"/>
      <c r="J37" s="4"/>
    </row>
    <row r="38" spans="1:10">
      <c r="A38" s="46" t="s">
        <v>64</v>
      </c>
      <c r="B38" s="22" t="s">
        <v>65</v>
      </c>
      <c r="C38" s="23">
        <f>VLOOKUP(A38,[15]進出口值表查詢結果!$A$2:$D$18,4,0)</f>
        <v>2037</v>
      </c>
      <c r="D38" s="23">
        <f>VLOOKUP(A38,[16]進出口值表查詢結果!$A$2:$D$18,4,0)</f>
        <v>46148</v>
      </c>
      <c r="E38" s="24">
        <f t="shared" si="6"/>
        <v>-44111</v>
      </c>
      <c r="F38" s="23">
        <f>VLOOKUP(A38,[15]進出口值表查詢結果!$A$2:$D$18,3,0)</f>
        <v>114394</v>
      </c>
      <c r="G38" s="23">
        <f>VLOOKUP(A38,[16]進出口值表查詢結果!$A$2:$D$18,3,0)</f>
        <v>1054683</v>
      </c>
      <c r="H38" s="24">
        <f t="shared" si="7"/>
        <v>-940289</v>
      </c>
      <c r="I38" s="4"/>
      <c r="J38" s="4"/>
    </row>
    <row r="39" spans="1:10">
      <c r="A39" s="46" t="s">
        <v>66</v>
      </c>
      <c r="B39" s="22" t="s">
        <v>67</v>
      </c>
      <c r="C39" s="23">
        <f>VLOOKUP(A39,[15]進出口值表查詢結果!$A$2:$D$18,4,0)</f>
        <v>5948</v>
      </c>
      <c r="D39" s="23">
        <f>VLOOKUP(A39,[16]進出口值表查詢結果!$A$2:$D$18,4,0)</f>
        <v>27624</v>
      </c>
      <c r="E39" s="24">
        <f t="shared" si="6"/>
        <v>-21676</v>
      </c>
      <c r="F39" s="23">
        <f>VLOOKUP(A39,[15]進出口值表查詢結果!$A$2:$D$18,3,0)</f>
        <v>239285</v>
      </c>
      <c r="G39" s="23">
        <f>VLOOKUP(A39,[16]進出口值表查詢結果!$A$2:$D$18,3,0)</f>
        <v>1279732</v>
      </c>
      <c r="H39" s="24">
        <f t="shared" si="7"/>
        <v>-1040447</v>
      </c>
      <c r="I39" s="4"/>
      <c r="J39" s="4"/>
    </row>
    <row r="40" spans="1:10">
      <c r="A40" s="46" t="s">
        <v>68</v>
      </c>
      <c r="B40" s="22" t="s">
        <v>69</v>
      </c>
      <c r="C40" s="23">
        <v>37219</v>
      </c>
      <c r="D40" s="23">
        <v>83275</v>
      </c>
      <c r="E40" s="24">
        <f t="shared" si="6"/>
        <v>-46056</v>
      </c>
      <c r="F40" s="23">
        <v>842850</v>
      </c>
      <c r="G40" s="23">
        <v>485515</v>
      </c>
      <c r="H40" s="24">
        <f t="shared" si="7"/>
        <v>357335</v>
      </c>
      <c r="I40" s="4"/>
      <c r="J40" s="4"/>
    </row>
    <row r="41" spans="1:10">
      <c r="A41" s="46" t="s">
        <v>70</v>
      </c>
      <c r="B41" s="22" t="s">
        <v>71</v>
      </c>
      <c r="C41" s="23">
        <v>425</v>
      </c>
      <c r="D41" s="23">
        <v>19955</v>
      </c>
      <c r="E41" s="24">
        <f t="shared" si="6"/>
        <v>-19530</v>
      </c>
      <c r="F41" s="23">
        <v>7752</v>
      </c>
      <c r="G41" s="23">
        <v>114266</v>
      </c>
      <c r="H41" s="24">
        <f t="shared" si="7"/>
        <v>-106514</v>
      </c>
      <c r="I41" s="4"/>
      <c r="J41" s="4"/>
    </row>
    <row r="42" spans="1:10" ht="18.75" customHeight="1" thickBot="1">
      <c r="A42" s="132" t="s">
        <v>24</v>
      </c>
      <c r="B42" s="133"/>
      <c r="C42" s="50">
        <f>SUM(C20:C41)</f>
        <v>294150</v>
      </c>
      <c r="D42" s="50">
        <f>SUM(D20:D41)</f>
        <v>1320947</v>
      </c>
      <c r="E42" s="51">
        <f>C42-D42</f>
        <v>-1026797</v>
      </c>
      <c r="F42" s="50">
        <f>SUM(F20:F41)</f>
        <v>12881154</v>
      </c>
      <c r="G42" s="50">
        <f>SUM(G20:G41)</f>
        <v>45309932</v>
      </c>
      <c r="H42" s="51">
        <f>F42-G42</f>
        <v>-32428778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-0.249977111117893"/>
    <pageSetUpPr fitToPage="1"/>
  </sheetPr>
  <dimension ref="A1:K46"/>
  <sheetViews>
    <sheetView topLeftCell="A22" zoomScaleNormal="100" workbookViewId="0">
      <selection activeCell="F42" sqref="F4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34.15" customHeight="1">
      <c r="A1" s="134" t="s">
        <v>126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0</v>
      </c>
      <c r="B3" s="6" t="s">
        <v>1</v>
      </c>
      <c r="C3" s="7" t="s">
        <v>128</v>
      </c>
      <c r="D3" s="7" t="s">
        <v>129</v>
      </c>
      <c r="E3" s="9" t="s">
        <v>73</v>
      </c>
      <c r="F3" s="74" t="s">
        <v>130</v>
      </c>
      <c r="G3" s="74" t="s">
        <v>131</v>
      </c>
      <c r="H3" s="9" t="s">
        <v>73</v>
      </c>
      <c r="I3" s="56" t="s">
        <v>135</v>
      </c>
      <c r="J3" s="56" t="s">
        <v>136</v>
      </c>
      <c r="K3" s="57" t="s">
        <v>74</v>
      </c>
    </row>
    <row r="4" spans="1:11">
      <c r="A4" s="13"/>
      <c r="B4" s="14"/>
      <c r="C4" s="15" t="s">
        <v>75</v>
      </c>
      <c r="D4" s="15" t="s">
        <v>75</v>
      </c>
      <c r="E4" s="16" t="s">
        <v>76</v>
      </c>
      <c r="F4" s="75" t="s">
        <v>77</v>
      </c>
      <c r="G4" s="75" t="s">
        <v>77</v>
      </c>
      <c r="H4" s="16" t="s">
        <v>78</v>
      </c>
      <c r="I4" s="58" t="s">
        <v>7</v>
      </c>
      <c r="J4" s="14" t="s">
        <v>7</v>
      </c>
      <c r="K4" s="59" t="s">
        <v>79</v>
      </c>
    </row>
    <row r="5" spans="1:11" ht="16.5">
      <c r="A5" s="21" t="s">
        <v>8</v>
      </c>
      <c r="B5" s="22" t="s">
        <v>9</v>
      </c>
      <c r="C5" s="23">
        <v>14608</v>
      </c>
      <c r="D5" s="23">
        <v>138</v>
      </c>
      <c r="E5" s="89">
        <f>IF(D5,(C5-D5)/D5,0)</f>
        <v>104.85507246376811</v>
      </c>
      <c r="F5" s="76">
        <v>2895213</v>
      </c>
      <c r="G5" s="76">
        <v>80275</v>
      </c>
      <c r="H5" s="90">
        <f>IF(G5,(F5-G5)/G5,0)</f>
        <v>35.066184989099966</v>
      </c>
      <c r="I5" s="25">
        <f>IF(C5,F5/C5,0)</f>
        <v>198.19366100766703</v>
      </c>
      <c r="J5" s="25">
        <f>IF(D5,G5/D5,0)</f>
        <v>581.70289855072463</v>
      </c>
      <c r="K5" s="89">
        <f>IF(J5,(I5-J5)/J5,0)</f>
        <v>-0.65928713523440607</v>
      </c>
    </row>
    <row r="6" spans="1:11" ht="16.5">
      <c r="A6" s="26" t="s">
        <v>10</v>
      </c>
      <c r="B6" s="27" t="s">
        <v>11</v>
      </c>
      <c r="C6" s="23">
        <v>219</v>
      </c>
      <c r="D6" s="23">
        <v>468</v>
      </c>
      <c r="E6" s="89">
        <f t="shared" ref="E6:E10" si="0">IF(D6,(C6-D6)/D6,0)</f>
        <v>-0.53205128205128205</v>
      </c>
      <c r="F6" s="76">
        <v>244725</v>
      </c>
      <c r="G6" s="76">
        <v>400192</v>
      </c>
      <c r="H6" s="90">
        <f t="shared" ref="H6:H10" si="1">IF(G6,(F6-G6)/G6,0)</f>
        <v>-0.38848102910602911</v>
      </c>
      <c r="I6" s="25">
        <f t="shared" ref="I6:I10" si="2">IF(C6,F6/C6,0)</f>
        <v>1117.4657534246576</v>
      </c>
      <c r="J6" s="25">
        <f t="shared" ref="J6:J10" si="3">IF(D6,G6/D6,0)</f>
        <v>855.11111111111109</v>
      </c>
      <c r="K6" s="89">
        <f t="shared" ref="K6:K10" si="4">IF(J6,(I6-J6)/J6,0)</f>
        <v>0.30680766382821184</v>
      </c>
    </row>
    <row r="7" spans="1:11" ht="16.5">
      <c r="A7" s="21" t="s">
        <v>12</v>
      </c>
      <c r="B7" s="28" t="s">
        <v>13</v>
      </c>
      <c r="C7" s="23">
        <v>0</v>
      </c>
      <c r="D7" s="23">
        <v>25</v>
      </c>
      <c r="E7" s="89">
        <f t="shared" si="0"/>
        <v>-1</v>
      </c>
      <c r="F7" s="76">
        <v>0</v>
      </c>
      <c r="G7" s="76">
        <v>4460</v>
      </c>
      <c r="H7" s="90">
        <f t="shared" si="1"/>
        <v>-1</v>
      </c>
      <c r="I7" s="25">
        <f t="shared" si="2"/>
        <v>0</v>
      </c>
      <c r="J7" s="25">
        <f t="shared" si="3"/>
        <v>178.4</v>
      </c>
      <c r="K7" s="89">
        <f t="shared" si="4"/>
        <v>-1</v>
      </c>
    </row>
    <row r="8" spans="1:11" ht="16.5">
      <c r="A8" s="21" t="s">
        <v>14</v>
      </c>
      <c r="B8" s="28" t="s">
        <v>15</v>
      </c>
      <c r="C8" s="23">
        <v>266</v>
      </c>
      <c r="D8" s="23">
        <v>0</v>
      </c>
      <c r="E8" s="89">
        <f t="shared" si="0"/>
        <v>0</v>
      </c>
      <c r="F8" s="76">
        <v>120684</v>
      </c>
      <c r="G8" s="76">
        <v>0</v>
      </c>
      <c r="H8" s="90">
        <f t="shared" si="1"/>
        <v>0</v>
      </c>
      <c r="I8" s="25">
        <f t="shared" si="2"/>
        <v>453.69924812030075</v>
      </c>
      <c r="J8" s="25">
        <f t="shared" si="3"/>
        <v>0</v>
      </c>
      <c r="K8" s="89">
        <f t="shared" si="4"/>
        <v>0</v>
      </c>
    </row>
    <row r="9" spans="1:11" ht="16.5">
      <c r="A9" s="21" t="s">
        <v>16</v>
      </c>
      <c r="B9" s="28" t="s">
        <v>17</v>
      </c>
      <c r="C9" s="23">
        <v>8668</v>
      </c>
      <c r="D9" s="23">
        <v>1192</v>
      </c>
      <c r="E9" s="89">
        <f t="shared" si="0"/>
        <v>6.2718120805369129</v>
      </c>
      <c r="F9" s="76">
        <v>4675038</v>
      </c>
      <c r="G9" s="76">
        <v>1731474</v>
      </c>
      <c r="H9" s="90">
        <f t="shared" si="1"/>
        <v>1.7000336129794615</v>
      </c>
      <c r="I9" s="25">
        <f t="shared" si="2"/>
        <v>539.34448546377484</v>
      </c>
      <c r="J9" s="25">
        <f t="shared" si="3"/>
        <v>1452.5788590604027</v>
      </c>
      <c r="K9" s="89">
        <f t="shared" si="4"/>
        <v>-0.6286986540526629</v>
      </c>
    </row>
    <row r="10" spans="1:11" ht="16.5">
      <c r="A10" s="21" t="s">
        <v>18</v>
      </c>
      <c r="B10" s="28" t="s">
        <v>19</v>
      </c>
      <c r="C10" s="23">
        <v>12676</v>
      </c>
      <c r="D10" s="23">
        <v>4218</v>
      </c>
      <c r="E10" s="89">
        <f t="shared" si="0"/>
        <v>2.0052157420578474</v>
      </c>
      <c r="F10" s="76">
        <v>18100926</v>
      </c>
      <c r="G10" s="76">
        <v>5791151</v>
      </c>
      <c r="H10" s="90">
        <f t="shared" si="1"/>
        <v>2.1256180334444741</v>
      </c>
      <c r="I10" s="25">
        <f t="shared" si="2"/>
        <v>1427.968286525718</v>
      </c>
      <c r="J10" s="25">
        <f t="shared" si="3"/>
        <v>1372.9613560929351</v>
      </c>
      <c r="K10" s="89">
        <f t="shared" si="4"/>
        <v>4.0064441864057422E-2</v>
      </c>
    </row>
    <row r="11" spans="1:11" ht="17.25" thickBot="1">
      <c r="A11" s="30" t="s">
        <v>20</v>
      </c>
      <c r="B11" s="70" t="s">
        <v>21</v>
      </c>
      <c r="C11" s="63">
        <f>SUM(C5:C10)</f>
        <v>36437</v>
      </c>
      <c r="D11" s="63">
        <f>SUM(D5:D10)</f>
        <v>6041</v>
      </c>
      <c r="E11" s="91">
        <f>IF(D11,(C11-D11)/D11,0)</f>
        <v>5.0316172819069687</v>
      </c>
      <c r="F11" s="77">
        <f>SUM(F5:F10)</f>
        <v>26036586</v>
      </c>
      <c r="G11" s="77">
        <f>SUM(G5:G10)</f>
        <v>8007552</v>
      </c>
      <c r="H11" s="91">
        <f>IF(G11,(F11-G11)/G11,0)</f>
        <v>2.2515038303841175</v>
      </c>
      <c r="I11" s="71">
        <f>IF(C11,F11/C11,0)</f>
        <v>714.56448115926116</v>
      </c>
      <c r="J11" s="72">
        <f>IF(D11,G11/D11,0)</f>
        <v>1325.5341830822711</v>
      </c>
      <c r="K11" s="91">
        <f>IF(J11,(I11-J11)/J11,0)</f>
        <v>-0.46092338448965464</v>
      </c>
    </row>
    <row r="12" spans="1:11" ht="11.25" customHeight="1" thickTop="1">
      <c r="A12" s="33"/>
      <c r="B12" s="34"/>
      <c r="E12" s="68"/>
      <c r="F12" s="78"/>
      <c r="G12" s="78"/>
      <c r="H12" s="68"/>
      <c r="I12" s="35"/>
      <c r="J12" s="69"/>
      <c r="K12" s="61"/>
    </row>
    <row r="13" spans="1:11" ht="16.5">
      <c r="A13" s="21" t="s">
        <v>22</v>
      </c>
      <c r="B13" s="22" t="s">
        <v>23</v>
      </c>
      <c r="C13" s="23">
        <v>4</v>
      </c>
      <c r="D13" s="23">
        <v>6</v>
      </c>
      <c r="E13" s="89">
        <f t="shared" ref="E13" si="5">IF(D13,(C13-D13)/D13,0)</f>
        <v>-0.33333333333333331</v>
      </c>
      <c r="F13" s="76">
        <v>6112</v>
      </c>
      <c r="G13" s="76">
        <v>5699</v>
      </c>
      <c r="H13" s="92">
        <f t="shared" ref="H13" si="6">IF(G13,(F13-G13)/G13,0)</f>
        <v>7.2468854184944725E-2</v>
      </c>
      <c r="I13" s="25">
        <f t="shared" ref="I13:J13" si="7">IF(C13,F13/C13,0)</f>
        <v>1528</v>
      </c>
      <c r="J13" s="25">
        <f t="shared" si="7"/>
        <v>949.83333333333337</v>
      </c>
      <c r="K13" s="89">
        <f t="shared" ref="K13" si="8">IF(J13,(I13-J13)/J13,0)</f>
        <v>0.60870328127741702</v>
      </c>
    </row>
    <row r="14" spans="1:11" ht="17.25" thickBot="1">
      <c r="A14" s="106" t="s">
        <v>24</v>
      </c>
      <c r="B14" s="105" t="s">
        <v>80</v>
      </c>
      <c r="C14" s="109">
        <f>SUM(C11:C13)</f>
        <v>36441</v>
      </c>
      <c r="D14" s="31">
        <f>SUM(D11,D13)</f>
        <v>6047</v>
      </c>
      <c r="E14" s="91">
        <f>IF(D14,(C14-D14)/D14,0)</f>
        <v>5.0262940300975689</v>
      </c>
      <c r="F14" s="77">
        <f>SUM(F11:F13)</f>
        <v>26042698</v>
      </c>
      <c r="G14" s="108">
        <f>SUM(G11:G13)</f>
        <v>8013251</v>
      </c>
      <c r="H14" s="93">
        <f>IF(G14,(F14-G14)/G14,0)</f>
        <v>2.249954107265578</v>
      </c>
      <c r="I14" s="102">
        <f>IF(C14,F14/C14,0)</f>
        <v>714.65376910622649</v>
      </c>
      <c r="J14" s="72">
        <f>IF(D14,G14/D14,0)</f>
        <v>1325.1614023482718</v>
      </c>
      <c r="K14" s="91">
        <f>IF(J14,(I14-J14)/J14,0)</f>
        <v>-0.46070435809569027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127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128</v>
      </c>
      <c r="D18" s="7" t="s">
        <v>129</v>
      </c>
      <c r="E18" s="9" t="s">
        <v>73</v>
      </c>
      <c r="F18" s="74" t="s">
        <v>130</v>
      </c>
      <c r="G18" s="74" t="s">
        <v>131</v>
      </c>
      <c r="H18" s="9" t="s">
        <v>73</v>
      </c>
      <c r="I18" s="44"/>
      <c r="J18" s="44"/>
    </row>
    <row r="19" spans="1:10">
      <c r="A19" s="13"/>
      <c r="B19" s="14"/>
      <c r="C19" s="15" t="s">
        <v>81</v>
      </c>
      <c r="D19" s="15" t="s">
        <v>81</v>
      </c>
      <c r="E19" s="16" t="s">
        <v>76</v>
      </c>
      <c r="F19" s="75" t="s">
        <v>77</v>
      </c>
      <c r="G19" s="75" t="s">
        <v>77</v>
      </c>
      <c r="H19" s="16" t="s">
        <v>82</v>
      </c>
      <c r="I19" s="45"/>
      <c r="J19" s="44"/>
    </row>
    <row r="20" spans="1:10">
      <c r="A20" s="46" t="s">
        <v>28</v>
      </c>
      <c r="B20" s="22" t="s">
        <v>29</v>
      </c>
      <c r="C20" s="23">
        <v>1068</v>
      </c>
      <c r="D20" s="23">
        <v>2556</v>
      </c>
      <c r="E20" s="90">
        <f>IF(D20,(C20-D20)/D20,0)</f>
        <v>-0.5821596244131455</v>
      </c>
      <c r="F20" s="76">
        <v>130874</v>
      </c>
      <c r="G20" s="76">
        <v>267732</v>
      </c>
      <c r="H20" s="94">
        <f>IF(G20,(F20-G20)/G20,0)</f>
        <v>-0.51117535445893658</v>
      </c>
      <c r="I20" s="4"/>
      <c r="J20" s="4"/>
    </row>
    <row r="21" spans="1:10">
      <c r="A21" s="46" t="s">
        <v>30</v>
      </c>
      <c r="B21" s="22" t="s">
        <v>31</v>
      </c>
      <c r="C21" s="23">
        <v>911</v>
      </c>
      <c r="D21" s="23">
        <v>105</v>
      </c>
      <c r="E21" s="90">
        <f t="shared" ref="E21:E41" si="9">IF(D21,(C21-D21)/D21,0)</f>
        <v>7.6761904761904765</v>
      </c>
      <c r="F21" s="76">
        <v>134659</v>
      </c>
      <c r="G21" s="76">
        <v>4135</v>
      </c>
      <c r="H21" s="94">
        <f t="shared" ref="H21:H41" si="10">IF(G21,(F21-G21)/G21,0)</f>
        <v>31.56565900846433</v>
      </c>
      <c r="I21" s="4"/>
      <c r="J21" s="4"/>
    </row>
    <row r="22" spans="1:10">
      <c r="A22" s="46" t="s">
        <v>32</v>
      </c>
      <c r="B22" s="22" t="s">
        <v>33</v>
      </c>
      <c r="C22" s="23">
        <f>VLOOKUP(A22,[17]進出口值表查詢結果!$A$2:$D$19,4,0)</f>
        <v>272015</v>
      </c>
      <c r="D22" s="23">
        <f>VLOOKUP(A22,[18]進出口值表查詢結果!$A$2:$D$21,4,0)</f>
        <v>616325</v>
      </c>
      <c r="E22" s="90">
        <f t="shared" si="9"/>
        <v>-0.55865006287267271</v>
      </c>
      <c r="F22" s="76">
        <f>VLOOKUP(A22,[17]進出口值表查詢結果!$A$2:$D$19,3,0)</f>
        <v>12810206</v>
      </c>
      <c r="G22" s="76">
        <f>VLOOKUP(A22,[18]進出口值表查詢結果!$A$2:$D$21,3,0)</f>
        <v>21389083</v>
      </c>
      <c r="H22" s="94">
        <f t="shared" si="10"/>
        <v>-0.40108671325460749</v>
      </c>
      <c r="I22" s="4"/>
      <c r="J22" s="4"/>
    </row>
    <row r="23" spans="1:10">
      <c r="A23" s="46" t="s">
        <v>34</v>
      </c>
      <c r="B23" s="22" t="s">
        <v>35</v>
      </c>
      <c r="C23" s="23">
        <f>VLOOKUP(A23,[17]進出口值表查詢結果!$A$2:$D$19,4,0)</f>
        <v>25625</v>
      </c>
      <c r="D23" s="23">
        <f>VLOOKUP(A23,[18]進出口值表查詢結果!$A$2:$D$21,4,0)</f>
        <v>47560</v>
      </c>
      <c r="E23" s="90">
        <f t="shared" si="9"/>
        <v>-0.46120689655172414</v>
      </c>
      <c r="F23" s="76">
        <f>VLOOKUP(A23,[17]進出口值表查詢結果!$A$2:$D$19,3,0)</f>
        <v>362254</v>
      </c>
      <c r="G23" s="76">
        <f>VLOOKUP(A23,[18]進出口值表查詢結果!$A$2:$D$21,3,0)</f>
        <v>504450</v>
      </c>
      <c r="H23" s="94">
        <f t="shared" si="10"/>
        <v>-0.28188323917137476</v>
      </c>
      <c r="I23" s="4"/>
      <c r="J23" s="4"/>
    </row>
    <row r="24" spans="1:10">
      <c r="A24" s="46" t="s">
        <v>36</v>
      </c>
      <c r="B24" s="22" t="s">
        <v>37</v>
      </c>
      <c r="C24" s="23">
        <f>VLOOKUP(A24,[17]進出口值表查詢結果!$A$2:$D$19,4,0)</f>
        <v>12729</v>
      </c>
      <c r="D24" s="23">
        <f>VLOOKUP(A24,[18]進出口值表查詢結果!$A$2:$D$21,4,0)</f>
        <v>31901</v>
      </c>
      <c r="E24" s="90">
        <f t="shared" si="9"/>
        <v>-0.60098429516316099</v>
      </c>
      <c r="F24" s="76">
        <f>VLOOKUP(A24,[17]進出口值表查詢結果!$A$2:$D$19,3,0)</f>
        <v>335187</v>
      </c>
      <c r="G24" s="76">
        <f>VLOOKUP(A24,[18]進出口值表查詢結果!$A$2:$D$21,3,0)</f>
        <v>756107</v>
      </c>
      <c r="H24" s="94">
        <f t="shared" si="10"/>
        <v>-0.55669369546902758</v>
      </c>
      <c r="I24" s="4"/>
      <c r="J24" s="4"/>
    </row>
    <row r="25" spans="1:10">
      <c r="A25" s="46" t="s">
        <v>38</v>
      </c>
      <c r="B25" s="22" t="s">
        <v>39</v>
      </c>
      <c r="C25" s="23">
        <f>VLOOKUP(A25,[17]進出口值表查詢結果!$A$2:$D$19,4,0)</f>
        <v>9934</v>
      </c>
      <c r="D25" s="23">
        <f>VLOOKUP(A25,[18]進出口值表查詢結果!$A$2:$D$21,4,0)</f>
        <v>6203</v>
      </c>
      <c r="E25" s="90">
        <f t="shared" si="9"/>
        <v>0.60148315331291313</v>
      </c>
      <c r="F25" s="76">
        <f>VLOOKUP(A25,[17]進出口值表查詢結果!$A$2:$D$19,3,0)</f>
        <v>1012655</v>
      </c>
      <c r="G25" s="76">
        <f>VLOOKUP(A25,[18]進出口值表查詢結果!$A$2:$D$21,3,0)</f>
        <v>616147</v>
      </c>
      <c r="H25" s="94">
        <f t="shared" si="10"/>
        <v>0.64352824894059368</v>
      </c>
      <c r="I25" s="4"/>
      <c r="J25" s="4"/>
    </row>
    <row r="26" spans="1:10">
      <c r="A26" s="46" t="s">
        <v>40</v>
      </c>
      <c r="B26" s="22" t="s">
        <v>41</v>
      </c>
      <c r="C26" s="23">
        <f>VLOOKUP(A26,[17]進出口值表查詢結果!$A$2:$D$19,4,0)</f>
        <v>13230</v>
      </c>
      <c r="D26" s="23">
        <f>VLOOKUP(A26,[18]進出口值表查詢結果!$A$2:$D$21,4,0)</f>
        <v>21382</v>
      </c>
      <c r="E26" s="90">
        <f t="shared" si="9"/>
        <v>-0.38125526143485172</v>
      </c>
      <c r="F26" s="76">
        <f>VLOOKUP(A26,[17]進出口值表查詢結果!$A$2:$D$19,3,0)</f>
        <v>1131941</v>
      </c>
      <c r="G26" s="76">
        <f>VLOOKUP(A26,[18]進出口值表查詢結果!$A$2:$D$21,3,0)</f>
        <v>1573823</v>
      </c>
      <c r="H26" s="94">
        <f t="shared" si="10"/>
        <v>-0.28076981973195209</v>
      </c>
      <c r="I26" s="4"/>
      <c r="J26" s="4"/>
    </row>
    <row r="27" spans="1:10">
      <c r="A27" s="46" t="s">
        <v>116</v>
      </c>
      <c r="B27" s="22" t="s">
        <v>119</v>
      </c>
      <c r="C27" s="23">
        <f>VLOOKUP(A27,[17]進出口值表查詢結果!$A$2:$D$19,4,0)</f>
        <v>2752</v>
      </c>
      <c r="D27" s="23">
        <v>0</v>
      </c>
      <c r="E27" s="90">
        <f t="shared" si="9"/>
        <v>0</v>
      </c>
      <c r="F27" s="76">
        <f>VLOOKUP(A27,[17]進出口值表查詢結果!$A$2:$D$19,3,0)</f>
        <v>125424</v>
      </c>
      <c r="G27" s="76">
        <v>0</v>
      </c>
      <c r="H27" s="94">
        <f t="shared" si="10"/>
        <v>0</v>
      </c>
      <c r="I27" s="4"/>
      <c r="J27" s="4"/>
    </row>
    <row r="28" spans="1:10">
      <c r="A28" s="46" t="s">
        <v>44</v>
      </c>
      <c r="B28" s="22" t="s">
        <v>45</v>
      </c>
      <c r="C28" s="23">
        <f>VLOOKUP(A28,[17]進出口值表查詢結果!$A$2:$D$19,4,0)</f>
        <v>443</v>
      </c>
      <c r="D28" s="23">
        <f>VLOOKUP(A28,[18]進出口值表查詢結果!$A$2:$D$21,4,0)</f>
        <v>364</v>
      </c>
      <c r="E28" s="90">
        <f t="shared" si="9"/>
        <v>0.21703296703296704</v>
      </c>
      <c r="F28" s="76">
        <f>VLOOKUP(A28,[17]進出口值表查詢結果!$A$2:$D$19,3,0)</f>
        <v>9871</v>
      </c>
      <c r="G28" s="76">
        <f>VLOOKUP(A28,[18]進出口值表查詢結果!$A$2:$D$21,3,0)</f>
        <v>7595</v>
      </c>
      <c r="H28" s="94">
        <f t="shared" si="10"/>
        <v>0.29967083607636602</v>
      </c>
      <c r="I28" s="4"/>
      <c r="J28" s="4"/>
    </row>
    <row r="29" spans="1:10">
      <c r="A29" s="46" t="s">
        <v>46</v>
      </c>
      <c r="B29" s="22" t="s">
        <v>47</v>
      </c>
      <c r="C29" s="23">
        <f>VLOOKUP(A29,[17]進出口值表查詢結果!$A$2:$D$19,4,0)</f>
        <v>156768</v>
      </c>
      <c r="D29" s="23">
        <f>VLOOKUP(A29,[18]進出口值表查詢結果!$A$2:$D$21,4,0)</f>
        <v>509808</v>
      </c>
      <c r="E29" s="90">
        <f t="shared" si="9"/>
        <v>-0.69249599849355048</v>
      </c>
      <c r="F29" s="76">
        <f>VLOOKUP(A29,[17]進出口值表查詢結果!$A$2:$D$19,3,0)</f>
        <v>7111772</v>
      </c>
      <c r="G29" s="76">
        <f>VLOOKUP(A29,[18]進出口值表查詢結果!$A$2:$D$21,3,0)</f>
        <v>16792479</v>
      </c>
      <c r="H29" s="94">
        <f t="shared" si="10"/>
        <v>-0.57649064203087586</v>
      </c>
      <c r="I29" s="4"/>
      <c r="J29" s="4"/>
    </row>
    <row r="30" spans="1:10">
      <c r="A30" s="46" t="s">
        <v>48</v>
      </c>
      <c r="B30" s="22" t="s">
        <v>49</v>
      </c>
      <c r="C30" s="23">
        <f>VLOOKUP(A30,[17]進出口值表查詢結果!$A$2:$D$19,4,0)</f>
        <v>7453</v>
      </c>
      <c r="D30" s="23">
        <f>VLOOKUP(A30,[18]進出口值表查詢結果!$A$2:$D$21,4,0)</f>
        <v>9142</v>
      </c>
      <c r="E30" s="90">
        <f t="shared" si="9"/>
        <v>-0.18475169547145046</v>
      </c>
      <c r="F30" s="76">
        <f>VLOOKUP(A30,[17]進出口值表查詢結果!$A$2:$D$19,3,0)</f>
        <v>249905</v>
      </c>
      <c r="G30" s="76">
        <f>VLOOKUP(A30,[18]進出口值表查詢結果!$A$2:$D$21,3,0)</f>
        <v>306504</v>
      </c>
      <c r="H30" s="94">
        <f t="shared" si="10"/>
        <v>-0.18465990655913136</v>
      </c>
      <c r="I30" s="4"/>
      <c r="J30" s="4"/>
    </row>
    <row r="31" spans="1:10">
      <c r="A31" s="46" t="s">
        <v>50</v>
      </c>
      <c r="B31" s="22" t="s">
        <v>51</v>
      </c>
      <c r="C31" s="23">
        <f>VLOOKUP(A31,[17]進出口值表查詢結果!$A$2:$D$19,4,0)</f>
        <v>19127</v>
      </c>
      <c r="D31" s="23">
        <f>VLOOKUP(A31,[18]進出口值表查詢結果!$A$2:$D$21,4,0)</f>
        <v>64163</v>
      </c>
      <c r="E31" s="90">
        <f t="shared" si="9"/>
        <v>-0.70189984882253009</v>
      </c>
      <c r="F31" s="76">
        <f>VLOOKUP(A31,[17]進出口值表查詢結果!$A$2:$D$19,3,0)</f>
        <v>288570</v>
      </c>
      <c r="G31" s="76">
        <f>VLOOKUP(A31,[18]進出口值表查詢結果!$A$2:$D$21,3,0)</f>
        <v>955220</v>
      </c>
      <c r="H31" s="94">
        <f t="shared" si="10"/>
        <v>-0.69790205397709426</v>
      </c>
      <c r="I31" s="4"/>
      <c r="J31" s="4"/>
    </row>
    <row r="32" spans="1:10">
      <c r="A32" s="46" t="s">
        <v>52</v>
      </c>
      <c r="B32" s="22" t="s">
        <v>53</v>
      </c>
      <c r="C32" s="23">
        <f>VLOOKUP(A32,[17]進出口值表查詢結果!$A$2:$D$19,4,0)</f>
        <v>53041</v>
      </c>
      <c r="D32" s="23">
        <f>VLOOKUP(A32,[18]進出口值表查詢結果!$A$2:$D$21,4,0)</f>
        <v>91797</v>
      </c>
      <c r="E32" s="90">
        <f t="shared" si="9"/>
        <v>-0.42219244637624326</v>
      </c>
      <c r="F32" s="76">
        <f>VLOOKUP(A32,[17]進出口值表查詢結果!$A$2:$D$19,3,0)</f>
        <v>2346491</v>
      </c>
      <c r="G32" s="76">
        <f>VLOOKUP(A32,[18]進出口值表查詢結果!$A$2:$D$21,3,0)</f>
        <v>3274383</v>
      </c>
      <c r="H32" s="94">
        <f t="shared" si="10"/>
        <v>-0.28337918930070183</v>
      </c>
      <c r="I32" s="4"/>
      <c r="J32" s="4"/>
    </row>
    <row r="33" spans="1:10">
      <c r="A33" s="46" t="s">
        <v>54</v>
      </c>
      <c r="B33" s="22" t="s">
        <v>55</v>
      </c>
      <c r="C33" s="23">
        <v>18355</v>
      </c>
      <c r="D33" s="23">
        <v>27947</v>
      </c>
      <c r="E33" s="90">
        <f t="shared" si="9"/>
        <v>-0.3432210970766093</v>
      </c>
      <c r="F33" s="76">
        <v>524483</v>
      </c>
      <c r="G33" s="76">
        <v>585156</v>
      </c>
      <c r="H33" s="94">
        <f t="shared" si="10"/>
        <v>-0.10368688007984196</v>
      </c>
      <c r="I33" s="4"/>
      <c r="J33" s="4"/>
    </row>
    <row r="34" spans="1:10">
      <c r="A34" s="46" t="s">
        <v>56</v>
      </c>
      <c r="B34" s="22" t="s">
        <v>57</v>
      </c>
      <c r="C34" s="23">
        <f>VLOOKUP(A34,[17]進出口值表查詢結果!$A$2:$D$19,4,0)</f>
        <v>38928</v>
      </c>
      <c r="D34" s="23">
        <f>VLOOKUP(A34,[18]進出口值表查詢結果!$A$2:$D$21,4,0)</f>
        <v>41303</v>
      </c>
      <c r="E34" s="90">
        <f t="shared" si="9"/>
        <v>-5.7501876377018618E-2</v>
      </c>
      <c r="F34" s="76">
        <f>VLOOKUP(A34,[17]進出口值表查詢結果!$A$2:$D$19,3,0)</f>
        <v>3806877</v>
      </c>
      <c r="G34" s="76">
        <f>VLOOKUP(A34,[18]進出口值表查詢結果!$A$2:$D$21,3,0)</f>
        <v>3543783</v>
      </c>
      <c r="H34" s="94">
        <f t="shared" si="10"/>
        <v>7.4241001776914672E-2</v>
      </c>
      <c r="I34" s="4"/>
      <c r="J34" s="4"/>
    </row>
    <row r="35" spans="1:10">
      <c r="A35" s="46" t="s">
        <v>117</v>
      </c>
      <c r="B35" s="22" t="s">
        <v>118</v>
      </c>
      <c r="C35" s="23">
        <f>VLOOKUP(A35,[17]進出口值表查詢結果!$A$2:$D$19,4,0)</f>
        <v>85518</v>
      </c>
      <c r="D35" s="23">
        <v>0</v>
      </c>
      <c r="E35" s="90">
        <f t="shared" si="9"/>
        <v>0</v>
      </c>
      <c r="F35" s="76">
        <f>VLOOKUP(A35,[17]進出口值表查詢結果!$A$2:$D$19,3,0)</f>
        <v>2679079</v>
      </c>
      <c r="G35" s="76">
        <v>0</v>
      </c>
      <c r="H35" s="94">
        <f t="shared" si="10"/>
        <v>0</v>
      </c>
      <c r="I35" s="4"/>
      <c r="J35" s="4"/>
    </row>
    <row r="36" spans="1:10">
      <c r="A36" s="46" t="s">
        <v>60</v>
      </c>
      <c r="B36" s="22" t="s">
        <v>61</v>
      </c>
      <c r="C36" s="23">
        <f>VLOOKUP(A36,[17]進出口值表查詢結果!$A$2:$D$19,4,0)</f>
        <v>2947</v>
      </c>
      <c r="D36" s="23">
        <f>VLOOKUP(A36,[18]進出口值表查詢結果!$A$2:$D$21,4,0)</f>
        <v>7169</v>
      </c>
      <c r="E36" s="90">
        <f t="shared" si="9"/>
        <v>-0.58892453619751706</v>
      </c>
      <c r="F36" s="76">
        <f>VLOOKUP(A36,[17]進出口值表查詢結果!$A$2:$D$19,3,0)</f>
        <v>61321</v>
      </c>
      <c r="G36" s="76">
        <f>VLOOKUP(A36,[18]進出口值表查詢結果!$A$2:$D$21,3,0)</f>
        <v>154773</v>
      </c>
      <c r="H36" s="94">
        <f t="shared" si="10"/>
        <v>-0.60380040446331074</v>
      </c>
      <c r="I36" s="4"/>
      <c r="J36" s="4"/>
    </row>
    <row r="37" spans="1:10">
      <c r="A37" s="46" t="s">
        <v>62</v>
      </c>
      <c r="B37" s="22" t="s">
        <v>63</v>
      </c>
      <c r="C37" s="23">
        <f>VLOOKUP(A37,[17]進出口值表查詢結果!$A$2:$D$19,4,0)</f>
        <v>6910</v>
      </c>
      <c r="D37" s="23">
        <f>VLOOKUP(A37,[18]進出口值表查詢結果!$A$2:$D$21,4,0)</f>
        <v>24456</v>
      </c>
      <c r="E37" s="90">
        <f t="shared" si="9"/>
        <v>-0.71745175008177953</v>
      </c>
      <c r="F37" s="76">
        <f>VLOOKUP(A37,[17]進出口值表查詢結果!$A$2:$D$19,3,0)</f>
        <v>290589</v>
      </c>
      <c r="G37" s="76">
        <f>VLOOKUP(A37,[18]進出口值表查詢結果!$A$2:$D$21,3,0)</f>
        <v>640627</v>
      </c>
      <c r="H37" s="94">
        <f t="shared" si="10"/>
        <v>-0.54639907465654747</v>
      </c>
      <c r="I37" s="4"/>
      <c r="J37" s="4"/>
    </row>
    <row r="38" spans="1:10">
      <c r="A38" s="46" t="s">
        <v>64</v>
      </c>
      <c r="B38" s="22" t="s">
        <v>65</v>
      </c>
      <c r="C38" s="23">
        <f>VLOOKUP(A38,[17]進出口值表查詢結果!$A$2:$D$19,4,0)</f>
        <v>10149</v>
      </c>
      <c r="D38" s="23">
        <f>VLOOKUP(A38,[18]進出口值表查詢結果!$A$2:$D$21,4,0)</f>
        <v>17457</v>
      </c>
      <c r="E38" s="90">
        <f t="shared" si="9"/>
        <v>-0.41862863034885717</v>
      </c>
      <c r="F38" s="76">
        <f>VLOOKUP(A38,[17]進出口值表查詢結果!$A$2:$D$19,3,0)</f>
        <v>379708</v>
      </c>
      <c r="G38" s="76">
        <f>VLOOKUP(A38,[18]進出口值表查詢結果!$A$2:$D$21,3,0)</f>
        <v>799162</v>
      </c>
      <c r="H38" s="94">
        <f t="shared" si="10"/>
        <v>-0.52486729849517366</v>
      </c>
      <c r="I38" s="4"/>
      <c r="J38" s="4"/>
    </row>
    <row r="39" spans="1:10">
      <c r="A39" s="46" t="s">
        <v>66</v>
      </c>
      <c r="B39" s="22" t="s">
        <v>67</v>
      </c>
      <c r="C39" s="23">
        <f>VLOOKUP(A39,[17]進出口值表查詢結果!$A$2:$D$19,4,0)</f>
        <v>19384</v>
      </c>
      <c r="D39" s="23">
        <f>VLOOKUP(A39,[18]進出口值表查詢結果!$A$2:$D$21,4,0)</f>
        <v>26954</v>
      </c>
      <c r="E39" s="90">
        <f t="shared" si="9"/>
        <v>-0.28084885360243378</v>
      </c>
      <c r="F39" s="76">
        <f>VLOOKUP(A39,[17]進出口值表查詢結果!$A$2:$D$19,3,0)</f>
        <v>675360</v>
      </c>
      <c r="G39" s="76">
        <f>VLOOKUP(A39,[18]進出口值表查詢結果!$A$2:$D$21,3,0)</f>
        <v>605492</v>
      </c>
      <c r="H39" s="94">
        <f t="shared" si="10"/>
        <v>0.11539045932894242</v>
      </c>
      <c r="I39" s="4"/>
      <c r="J39" s="4"/>
    </row>
    <row r="40" spans="1:10">
      <c r="A40" s="46" t="s">
        <v>68</v>
      </c>
      <c r="B40" s="22" t="s">
        <v>69</v>
      </c>
      <c r="C40" s="23">
        <v>111455</v>
      </c>
      <c r="D40" s="23">
        <v>243019</v>
      </c>
      <c r="E40" s="90">
        <f t="shared" si="9"/>
        <v>-0.54137330825984797</v>
      </c>
      <c r="F40" s="76">
        <v>1905483</v>
      </c>
      <c r="G40" s="76">
        <v>4532015</v>
      </c>
      <c r="H40" s="94">
        <f t="shared" si="10"/>
        <v>-0.57955059725089175</v>
      </c>
      <c r="I40" s="4"/>
      <c r="J40" s="4"/>
    </row>
    <row r="41" spans="1:10">
      <c r="A41" s="46" t="s">
        <v>70</v>
      </c>
      <c r="B41" s="22" t="s">
        <v>71</v>
      </c>
      <c r="C41" s="23">
        <v>2217</v>
      </c>
      <c r="D41" s="23">
        <v>9637</v>
      </c>
      <c r="E41" s="90">
        <f t="shared" si="9"/>
        <v>-0.76994915430113109</v>
      </c>
      <c r="F41" s="76">
        <v>30030</v>
      </c>
      <c r="G41" s="76">
        <v>133101</v>
      </c>
      <c r="H41" s="94">
        <f t="shared" si="10"/>
        <v>-0.77438186039173262</v>
      </c>
      <c r="I41" s="4"/>
      <c r="J41" s="4"/>
    </row>
    <row r="42" spans="1:10" ht="18.75" customHeight="1" thickBot="1">
      <c r="A42" s="132" t="s">
        <v>24</v>
      </c>
      <c r="B42" s="133"/>
      <c r="C42" s="63">
        <f>SUM(C20:C41)</f>
        <v>870959</v>
      </c>
      <c r="D42" s="63">
        <f>SUM(D20:D41)</f>
        <v>1799248</v>
      </c>
      <c r="E42" s="91">
        <f>IF(D42,(C42-D42)/D42,0)</f>
        <v>-0.51593165589179479</v>
      </c>
      <c r="F42" s="77">
        <f>SUM(F20:F41)</f>
        <v>36402739</v>
      </c>
      <c r="G42" s="77">
        <f>SUM(G20:G41)</f>
        <v>57441767</v>
      </c>
      <c r="H42" s="91">
        <f>IF(G42,(F42-G42)/G42,0)</f>
        <v>-0.36626707531472702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105" priority="13" operator="greaterThanOrEqual">
      <formula>0</formula>
    </cfRule>
    <cfRule type="cellIs" dxfId="104" priority="14" operator="lessThan">
      <formula>0</formula>
    </cfRule>
  </conditionalFormatting>
  <conditionalFormatting sqref="E13">
    <cfRule type="cellIs" dxfId="103" priority="5" operator="greaterThanOrEqual">
      <formula>0</formula>
    </cfRule>
    <cfRule type="cellIs" dxfId="102" priority="6" operator="lessThan">
      <formula>0</formula>
    </cfRule>
  </conditionalFormatting>
  <conditionalFormatting sqref="E20:E41">
    <cfRule type="cellIs" dxfId="101" priority="17" operator="greaterThanOrEqual">
      <formula>0</formula>
    </cfRule>
    <cfRule type="cellIs" dxfId="100" priority="18" operator="lessThan">
      <formula>0</formula>
    </cfRule>
  </conditionalFormatting>
  <conditionalFormatting sqref="H5:H10">
    <cfRule type="cellIs" dxfId="99" priority="15" operator="greaterThanOrEqual">
      <formula>0</formula>
    </cfRule>
    <cfRule type="cellIs" dxfId="98" priority="16" operator="lessThan">
      <formula>0</formula>
    </cfRule>
  </conditionalFormatting>
  <conditionalFormatting sqref="H13">
    <cfRule type="cellIs" dxfId="97" priority="3" operator="greaterThanOrEqual">
      <formula>0</formula>
    </cfRule>
    <cfRule type="cellIs" dxfId="96" priority="4" operator="lessThan">
      <formula>0</formula>
    </cfRule>
  </conditionalFormatting>
  <conditionalFormatting sqref="K5:K10">
    <cfRule type="cellIs" dxfId="95" priority="9" operator="greaterThanOrEqual">
      <formula>0</formula>
    </cfRule>
    <cfRule type="cellIs" dxfId="94" priority="10" operator="lessThan">
      <formula>0</formula>
    </cfRule>
  </conditionalFormatting>
  <conditionalFormatting sqref="K13">
    <cfRule type="cellIs" dxfId="93" priority="1" operator="greaterThanOrEqual">
      <formula>0</formula>
    </cfRule>
    <cfRule type="cellIs" dxfId="92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65BC"/>
  </sheetPr>
  <dimension ref="A1:K46"/>
  <sheetViews>
    <sheetView zoomScale="90" zoomScaleNormal="90" workbookViewId="0">
      <selection activeCell="G13" sqref="G13:G14"/>
    </sheetView>
  </sheetViews>
  <sheetFormatPr defaultRowHeight="15.75"/>
  <cols>
    <col min="1" max="1" width="14.5" style="2" customWidth="1"/>
    <col min="2" max="2" width="26.375" style="3" customWidth="1"/>
    <col min="3" max="3" width="17.375" style="4" customWidth="1"/>
    <col min="4" max="4" width="16.2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8.875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8.875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8.875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8.875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8.875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8.875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8.875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8.875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8.875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8.875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8.875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8.875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8.875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8.875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8.875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8.875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8.875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8.875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8.875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8.875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8.875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8.875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8.875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8.875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8.875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8.875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8.875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8.875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8.875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8.875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8.875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8.875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8.875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8.875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8.875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8.875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8.875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8.875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8.875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8.875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8.875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8.875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8.875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8.875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8.875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8.875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8.875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8.875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8.875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8.875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8.875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8.875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8.875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8.875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8.875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8.875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8.875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8.875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8.875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8.875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8.875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8.875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8.875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8.875" style="3"/>
  </cols>
  <sheetData>
    <row r="1" spans="1:11" s="42" customFormat="1" ht="19.5">
      <c r="A1" s="131" t="s">
        <v>357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137</v>
      </c>
      <c r="B3" s="6" t="s">
        <v>138</v>
      </c>
      <c r="C3" s="7" t="s">
        <v>352</v>
      </c>
      <c r="D3" s="7" t="s">
        <v>353</v>
      </c>
      <c r="E3" s="9" t="s">
        <v>197</v>
      </c>
      <c r="F3" s="74" t="s">
        <v>354</v>
      </c>
      <c r="G3" s="74" t="s">
        <v>355</v>
      </c>
      <c r="H3" s="9" t="s">
        <v>197</v>
      </c>
      <c r="I3" s="56" t="s">
        <v>187</v>
      </c>
      <c r="J3" s="56" t="s">
        <v>227</v>
      </c>
      <c r="K3" s="64" t="s">
        <v>318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65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40575</v>
      </c>
      <c r="D5" s="23">
        <v>35452</v>
      </c>
      <c r="E5" s="115">
        <f>IF(D5,(C5-D5)/D5,0)</f>
        <v>0.14450524653052013</v>
      </c>
      <c r="F5" s="76">
        <v>2518577</v>
      </c>
      <c r="G5" s="76">
        <v>2470406</v>
      </c>
      <c r="H5" s="115">
        <f>IF(G5,(F5-G5)/G5,0)</f>
        <v>1.9499224014190381E-2</v>
      </c>
      <c r="I5" s="120">
        <f t="shared" ref="I5:J11" si="0">F5/C5</f>
        <v>62.072138016019714</v>
      </c>
      <c r="J5" s="120">
        <f t="shared" si="0"/>
        <v>69.683120839444882</v>
      </c>
      <c r="K5" s="124">
        <f t="shared" ref="K5:K11" si="1">(I5-J5)/J5</f>
        <v>-0.10922276057298641</v>
      </c>
    </row>
    <row r="6" spans="1:11" ht="16.5">
      <c r="A6" s="26" t="s">
        <v>205</v>
      </c>
      <c r="B6" s="27" t="s">
        <v>148</v>
      </c>
      <c r="C6" s="23">
        <v>24825</v>
      </c>
      <c r="D6" s="23">
        <v>32115</v>
      </c>
      <c r="E6" s="116">
        <f t="shared" ref="E6:E11" si="2">IF(D6,(C6-D6)/D6,0)</f>
        <v>-0.22699673049976646</v>
      </c>
      <c r="F6" s="76">
        <v>2309399</v>
      </c>
      <c r="G6" s="76">
        <v>3558443</v>
      </c>
      <c r="H6" s="116">
        <f t="shared" ref="H6:H11" si="3">IF(G6,(F6-G6)/G6,0)</f>
        <v>-0.35100857313156342</v>
      </c>
      <c r="I6" s="120">
        <f t="shared" si="0"/>
        <v>93.027150050352461</v>
      </c>
      <c r="J6" s="120">
        <f t="shared" si="0"/>
        <v>110.80314494784369</v>
      </c>
      <c r="K6" s="124">
        <f t="shared" si="1"/>
        <v>-0.16042861333817371</v>
      </c>
    </row>
    <row r="7" spans="1:11" ht="16.5">
      <c r="A7" s="21" t="s">
        <v>149</v>
      </c>
      <c r="B7" s="28" t="s">
        <v>150</v>
      </c>
      <c r="C7" s="23">
        <v>31656</v>
      </c>
      <c r="D7" s="23">
        <v>30813</v>
      </c>
      <c r="E7" s="115">
        <f t="shared" si="2"/>
        <v>2.7358582416512511E-2</v>
      </c>
      <c r="F7" s="76">
        <v>1778454</v>
      </c>
      <c r="G7" s="76">
        <v>1863024</v>
      </c>
      <c r="H7" s="116">
        <f t="shared" si="3"/>
        <v>-4.539394017468374E-2</v>
      </c>
      <c r="I7" s="120">
        <f t="shared" si="0"/>
        <v>56.180629264594387</v>
      </c>
      <c r="J7" s="120">
        <f t="shared" si="0"/>
        <v>60.462272417486126</v>
      </c>
      <c r="K7" s="124">
        <f t="shared" si="1"/>
        <v>-7.0815121259872743E-2</v>
      </c>
    </row>
    <row r="8" spans="1:11" ht="16.5">
      <c r="A8" s="21" t="s">
        <v>151</v>
      </c>
      <c r="B8" s="28" t="s">
        <v>152</v>
      </c>
      <c r="C8" s="23">
        <v>62748</v>
      </c>
      <c r="D8" s="23">
        <v>61505</v>
      </c>
      <c r="E8" s="124">
        <f t="shared" si="2"/>
        <v>2.0209739045606048E-2</v>
      </c>
      <c r="F8" s="76">
        <v>6118220</v>
      </c>
      <c r="G8" s="76">
        <v>7935841</v>
      </c>
      <c r="H8" s="116">
        <f t="shared" si="3"/>
        <v>-0.22903949310476357</v>
      </c>
      <c r="I8" s="120">
        <f t="shared" si="0"/>
        <v>97.504621661248166</v>
      </c>
      <c r="J8" s="120">
        <f t="shared" si="0"/>
        <v>129.02757499390293</v>
      </c>
      <c r="K8" s="150">
        <f t="shared" si="1"/>
        <v>-0.2443117553293887</v>
      </c>
    </row>
    <row r="9" spans="1:11" ht="16.5">
      <c r="A9" s="21" t="s">
        <v>153</v>
      </c>
      <c r="B9" s="28" t="s">
        <v>154</v>
      </c>
      <c r="C9" s="23">
        <v>18075</v>
      </c>
      <c r="D9" s="23">
        <v>18358</v>
      </c>
      <c r="E9" s="116">
        <f t="shared" si="2"/>
        <v>-1.5415622616842792E-2</v>
      </c>
      <c r="F9" s="76">
        <v>1843188</v>
      </c>
      <c r="G9" s="76">
        <v>2176709</v>
      </c>
      <c r="H9" s="116">
        <f t="shared" si="3"/>
        <v>-0.15322259429257654</v>
      </c>
      <c r="I9" s="120">
        <f t="shared" si="0"/>
        <v>101.97443983402489</v>
      </c>
      <c r="J9" s="120">
        <f t="shared" si="0"/>
        <v>118.57005120383484</v>
      </c>
      <c r="K9" s="150">
        <f t="shared" si="1"/>
        <v>-0.13996461333461246</v>
      </c>
    </row>
    <row r="10" spans="1:11" ht="16.5">
      <c r="A10" s="21" t="s">
        <v>155</v>
      </c>
      <c r="B10" s="28" t="s">
        <v>156</v>
      </c>
      <c r="C10" s="23">
        <v>16110</v>
      </c>
      <c r="D10" s="23">
        <v>14149</v>
      </c>
      <c r="E10" s="124">
        <f t="shared" si="2"/>
        <v>0.13859636723443353</v>
      </c>
      <c r="F10" s="76">
        <v>3373168</v>
      </c>
      <c r="G10" s="76">
        <v>2983897</v>
      </c>
      <c r="H10" s="124">
        <f t="shared" si="3"/>
        <v>0.13045725103782069</v>
      </c>
      <c r="I10" s="121">
        <f t="shared" si="0"/>
        <v>209.3834885164494</v>
      </c>
      <c r="J10" s="121">
        <f t="shared" si="0"/>
        <v>210.89101703300585</v>
      </c>
      <c r="K10" s="151">
        <f t="shared" si="1"/>
        <v>-7.1483770990611222E-3</v>
      </c>
    </row>
    <row r="11" spans="1:11" ht="17.25" thickBot="1">
      <c r="A11" s="48" t="s">
        <v>157</v>
      </c>
      <c r="B11" s="70" t="s">
        <v>158</v>
      </c>
      <c r="C11" s="63">
        <v>193989</v>
      </c>
      <c r="D11" s="63">
        <v>192392</v>
      </c>
      <c r="E11" s="124">
        <f t="shared" si="2"/>
        <v>8.3007609464010972E-3</v>
      </c>
      <c r="F11" s="77">
        <v>17941006</v>
      </c>
      <c r="G11" s="77">
        <v>20988320</v>
      </c>
      <c r="H11" s="116">
        <f t="shared" si="3"/>
        <v>-0.14519094429663737</v>
      </c>
      <c r="I11" s="146">
        <f t="shared" si="0"/>
        <v>92.484656346493878</v>
      </c>
      <c r="J11" s="146">
        <f t="shared" si="0"/>
        <v>109.09143831344339</v>
      </c>
      <c r="K11" s="147">
        <f t="shared" si="1"/>
        <v>-0.1522280962070976</v>
      </c>
    </row>
    <row r="12" spans="1:11" ht="5.25" customHeight="1" thickTop="1">
      <c r="A12" s="33"/>
      <c r="B12" s="34"/>
      <c r="E12" s="117"/>
      <c r="F12" s="78"/>
      <c r="G12" s="78"/>
      <c r="H12" s="117"/>
      <c r="I12" s="123"/>
      <c r="J12" s="123"/>
      <c r="K12" s="125"/>
    </row>
    <row r="13" spans="1:11" ht="16.5">
      <c r="A13" s="21" t="s">
        <v>207</v>
      </c>
      <c r="B13" s="22" t="s">
        <v>159</v>
      </c>
      <c r="C13" s="142">
        <v>2620</v>
      </c>
      <c r="D13" s="23">
        <v>712</v>
      </c>
      <c r="E13" s="144">
        <f>(C13-D13)/D13</f>
        <v>2.6797752808988764</v>
      </c>
      <c r="F13" s="76">
        <v>116200</v>
      </c>
      <c r="G13" s="76">
        <v>129446</v>
      </c>
      <c r="H13" s="143">
        <f>(F13-G13)/G13</f>
        <v>-0.10232838403658669</v>
      </c>
      <c r="I13" s="121">
        <f>F13/C13</f>
        <v>44.351145038167942</v>
      </c>
      <c r="J13" s="148">
        <f>G13/D13</f>
        <v>181.8061797752809</v>
      </c>
      <c r="K13" s="124">
        <f>(I13-J13)/J13</f>
        <v>-0.7560525990206296</v>
      </c>
    </row>
    <row r="14" spans="1:11" ht="17.25" thickBot="1">
      <c r="A14" s="48" t="s">
        <v>160</v>
      </c>
      <c r="B14" s="73" t="s">
        <v>80</v>
      </c>
      <c r="C14" s="119">
        <f>C11+C13</f>
        <v>196609</v>
      </c>
      <c r="D14" s="127">
        <f>D11+D13</f>
        <v>193104</v>
      </c>
      <c r="E14" s="118">
        <f>(C14-D14)/D14</f>
        <v>1.8150840997597149E-2</v>
      </c>
      <c r="F14" s="128">
        <f>F11+F13</f>
        <v>18057206</v>
      </c>
      <c r="G14" s="128">
        <f>G11+G13</f>
        <v>21117766</v>
      </c>
      <c r="H14" s="145">
        <f>(F14-G14)/G14</f>
        <v>-0.14492820878875162</v>
      </c>
      <c r="I14" s="146">
        <f>F14/C14</f>
        <v>91.84323199853516</v>
      </c>
      <c r="J14" s="122">
        <f>G14/D14</f>
        <v>109.35954718700803</v>
      </c>
      <c r="K14" s="149">
        <f>(I14-J14)/J14</f>
        <v>-0.16017179696729597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358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352</v>
      </c>
      <c r="D18" s="7" t="s">
        <v>353</v>
      </c>
      <c r="E18" s="9" t="s">
        <v>197</v>
      </c>
      <c r="F18" s="74" t="s">
        <v>354</v>
      </c>
      <c r="G18" s="74" t="s">
        <v>355</v>
      </c>
      <c r="H18" s="9" t="s">
        <v>197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193</v>
      </c>
      <c r="I19" s="4"/>
      <c r="J19" s="4"/>
    </row>
    <row r="20" spans="1:10">
      <c r="A20" s="46" t="s">
        <v>208</v>
      </c>
      <c r="B20" s="22" t="s">
        <v>162</v>
      </c>
      <c r="C20" s="23">
        <v>31135</v>
      </c>
      <c r="D20" s="23">
        <v>49730</v>
      </c>
      <c r="E20" s="116">
        <f>(C20-D20)/D20</f>
        <v>-0.37391916348280718</v>
      </c>
      <c r="F20" s="76">
        <v>1495671</v>
      </c>
      <c r="G20" s="76">
        <v>2467238</v>
      </c>
      <c r="H20" s="116">
        <f t="shared" ref="H20:H24" si="4">IF(G20,(F20-G20)/G20,0)</f>
        <v>-0.39378730385961952</v>
      </c>
      <c r="I20" s="4"/>
      <c r="J20" s="4"/>
    </row>
    <row r="21" spans="1:10">
      <c r="A21" s="46" t="s">
        <v>209</v>
      </c>
      <c r="B21" s="22" t="s">
        <v>163</v>
      </c>
      <c r="C21" s="23">
        <v>19267</v>
      </c>
      <c r="D21" s="23">
        <v>32709</v>
      </c>
      <c r="E21" s="116">
        <f t="shared" ref="E21:E41" si="5">IF(D21,(C21-D21)/D21,0)</f>
        <v>-0.4109572288972454</v>
      </c>
      <c r="F21" s="76">
        <v>1187773</v>
      </c>
      <c r="G21" s="76">
        <v>1952566</v>
      </c>
      <c r="H21" s="116">
        <f t="shared" si="4"/>
        <v>-0.39168611970094735</v>
      </c>
      <c r="I21" s="4"/>
      <c r="J21" s="4"/>
    </row>
    <row r="22" spans="1:10">
      <c r="A22" s="46" t="s">
        <v>258</v>
      </c>
      <c r="B22" s="22" t="s">
        <v>164</v>
      </c>
      <c r="C22" s="23">
        <v>4859271</v>
      </c>
      <c r="D22" s="23">
        <v>10680912</v>
      </c>
      <c r="E22" s="116">
        <f t="shared" si="5"/>
        <v>-0.54505092823534174</v>
      </c>
      <c r="F22" s="76">
        <v>300916345</v>
      </c>
      <c r="G22" s="76">
        <v>441352966</v>
      </c>
      <c r="H22" s="116">
        <f t="shared" si="4"/>
        <v>-0.31819571141162334</v>
      </c>
      <c r="I22" s="4"/>
      <c r="J22" s="4"/>
    </row>
    <row r="23" spans="1:10">
      <c r="A23" s="46">
        <v>87149200108</v>
      </c>
      <c r="B23" s="22" t="s">
        <v>165</v>
      </c>
      <c r="C23" s="23">
        <f>VLOOKUP(A23,[1]進出口值表查詢結果!$A$3:$D$19,4,0)</f>
        <v>742588</v>
      </c>
      <c r="D23" s="23">
        <f>VLOOKUP(A23,[2]進出口值表查詢結果!$A$3:$D$21,4,0)</f>
        <v>1508179</v>
      </c>
      <c r="E23" s="116">
        <f t="shared" si="5"/>
        <v>-0.5076260841717064</v>
      </c>
      <c r="F23" s="76">
        <f>VLOOKUP(A23,[1]進出口值表查詢結果!$A$3:$D$19,3,0)</f>
        <v>56042527</v>
      </c>
      <c r="G23" s="76">
        <v>84389554</v>
      </c>
      <c r="H23" s="116">
        <f t="shared" si="4"/>
        <v>-0.33590682325445159</v>
      </c>
      <c r="I23" s="4"/>
      <c r="J23" s="4"/>
    </row>
    <row r="24" spans="1:10">
      <c r="A24" s="46">
        <v>87149200206</v>
      </c>
      <c r="B24" s="22" t="s">
        <v>166</v>
      </c>
      <c r="C24" s="23">
        <f>VLOOKUP(A24,[1]進出口值表查詢結果!$A$3:$D$19,4,0)</f>
        <v>59448</v>
      </c>
      <c r="D24" s="23">
        <f>VLOOKUP(A24,[2]進出口值表查詢結果!$A$3:$D$21,4,0)</f>
        <v>82714</v>
      </c>
      <c r="E24" s="116">
        <f t="shared" si="5"/>
        <v>-0.28128249147665452</v>
      </c>
      <c r="F24" s="76">
        <f>VLOOKUP(A24,[1]進出口值表查詢結果!$A$3:$D$19,3,0)</f>
        <v>2297874</v>
      </c>
      <c r="G24" s="76">
        <f>VLOOKUP(A24,[2]進出口值表查詢結果!$A$3:$D$21,3,0)</f>
        <v>1257027</v>
      </c>
      <c r="H24" s="116">
        <f t="shared" si="4"/>
        <v>0.8280227871000384</v>
      </c>
      <c r="I24" s="4"/>
      <c r="J24" s="4"/>
    </row>
    <row r="25" spans="1:10">
      <c r="A25" s="46">
        <v>87149200304</v>
      </c>
      <c r="B25" s="22" t="s">
        <v>167</v>
      </c>
      <c r="C25" s="23">
        <f>VLOOKUP(A25,[1]進出口值表查詢結果!$A$3:$D$19,4,0)</f>
        <v>156214</v>
      </c>
      <c r="D25" s="23">
        <f>VLOOKUP(A25,[2]進出口值表查詢結果!$A$3:$D$21,4,0)</f>
        <v>256974</v>
      </c>
      <c r="E25" s="116">
        <f t="shared" si="5"/>
        <v>-0.39210192470833627</v>
      </c>
      <c r="F25" s="76">
        <f>VLOOKUP(A25,[1]進出口值表查詢結果!$A$3:$D$19,3,0)</f>
        <v>2963853</v>
      </c>
      <c r="G25" s="76">
        <f>VLOOKUP(A25,[2]進出口值表查詢結果!$A$3:$D$21,3,0)</f>
        <v>3634159</v>
      </c>
      <c r="H25" s="116">
        <f>IF(G25,(F25-G25)/G25,0)</f>
        <v>-0.18444597498348311</v>
      </c>
      <c r="I25" s="4"/>
      <c r="J25" s="4"/>
    </row>
    <row r="26" spans="1:10">
      <c r="A26" s="46">
        <v>87149310007</v>
      </c>
      <c r="B26" s="22" t="s">
        <v>168</v>
      </c>
      <c r="C26" s="23">
        <f>VLOOKUP(A26,[1]進出口值表查詢結果!$A$3:$D$19,4,0)</f>
        <v>712763</v>
      </c>
      <c r="D26" s="23">
        <f>VLOOKUP(A26,[2]進出口值表查詢結果!$A$3:$D$21,4,0)</f>
        <v>1765133</v>
      </c>
      <c r="E26" s="116">
        <f t="shared" si="5"/>
        <v>-0.59619870004130004</v>
      </c>
      <c r="F26" s="76">
        <f>VLOOKUP(A26,[1]進出口值表查詢結果!$A$3:$D$19,3,0)</f>
        <v>23813377</v>
      </c>
      <c r="G26" s="76">
        <f>VLOOKUP(A26,[2]進出口值表查詢結果!$A$3:$D$21,3,0)</f>
        <v>42700251</v>
      </c>
      <c r="H26" s="116">
        <f t="shared" ref="H26:H41" si="6">IF(G26,(F26-G26)/G26,0)</f>
        <v>-0.44231295033839496</v>
      </c>
      <c r="I26" s="4"/>
      <c r="J26" s="4"/>
    </row>
    <row r="27" spans="1:10">
      <c r="A27" s="46">
        <v>87149320103</v>
      </c>
      <c r="B27" s="22" t="s">
        <v>169</v>
      </c>
      <c r="C27" s="23">
        <f>VLOOKUP(A27,[1]進出口值表查詢結果!$A$3:$D$19,4,0)</f>
        <v>3362</v>
      </c>
      <c r="D27" s="23">
        <f>VLOOKUP(A27,[2]進出口值表查詢結果!$A$3:$D$21,4,0)</f>
        <v>3879</v>
      </c>
      <c r="E27" s="116">
        <f>IF(D27,(C27-D27)/D27,0)</f>
        <v>-0.13328177365300334</v>
      </c>
      <c r="F27" s="76">
        <f>VLOOKUP(A27,[1]進出口值表查詢結果!$A$3:$D$19,3,0)</f>
        <v>42819</v>
      </c>
      <c r="G27" s="76">
        <f>VLOOKUP(A27,[2]進出口值表查詢結果!$A$3:$D$21,3,0)</f>
        <v>54855</v>
      </c>
      <c r="H27" s="116">
        <f t="shared" si="6"/>
        <v>-0.21941482089144107</v>
      </c>
      <c r="I27" s="4"/>
      <c r="J27" s="4"/>
    </row>
    <row r="28" spans="1:10">
      <c r="A28" s="46" t="s">
        <v>323</v>
      </c>
      <c r="B28" s="22" t="s">
        <v>170</v>
      </c>
      <c r="C28" s="23">
        <v>36939</v>
      </c>
      <c r="D28" s="23">
        <v>59172</v>
      </c>
      <c r="E28" s="116">
        <f t="shared" si="5"/>
        <v>-0.37573514500101401</v>
      </c>
      <c r="F28" s="76">
        <v>311979</v>
      </c>
      <c r="G28" s="76">
        <v>1013571</v>
      </c>
      <c r="H28" s="116">
        <f t="shared" si="6"/>
        <v>-0.69219817851931442</v>
      </c>
      <c r="I28" s="4"/>
      <c r="J28" s="4"/>
    </row>
    <row r="29" spans="1:10">
      <c r="A29" s="46">
        <v>87149490009</v>
      </c>
      <c r="B29" s="22" t="s">
        <v>171</v>
      </c>
      <c r="C29" s="23">
        <f>VLOOKUP(A29,[1]進出口值表查詢結果!$A$3:$D$19,4,0)</f>
        <v>663060</v>
      </c>
      <c r="D29" s="23">
        <f>VLOOKUP(A29,[2]進出口值表查詢結果!$A$3:$D$21,4,0)</f>
        <v>2639704</v>
      </c>
      <c r="E29" s="116">
        <f t="shared" si="5"/>
        <v>-0.74881274567148437</v>
      </c>
      <c r="F29" s="76">
        <f>VLOOKUP(A29,[1]進出口值表查詢結果!$A$3:$D$19,3,0)</f>
        <v>10769832</v>
      </c>
      <c r="G29" s="76">
        <f>VLOOKUP(A29,[2]進出口值表查詢結果!$A$3:$D$21,3,0)</f>
        <v>40621390</v>
      </c>
      <c r="H29" s="116">
        <f t="shared" si="6"/>
        <v>-0.73487288347346069</v>
      </c>
      <c r="I29" s="4"/>
      <c r="J29" s="4"/>
    </row>
    <row r="30" spans="1:10">
      <c r="A30" s="46">
        <v>87149500007</v>
      </c>
      <c r="B30" s="22" t="s">
        <v>172</v>
      </c>
      <c r="C30" s="23">
        <f>VLOOKUP(A30,[1]進出口值表查詢結果!$A$3:$D$19,4,0)</f>
        <v>523255</v>
      </c>
      <c r="D30" s="23">
        <f>VLOOKUP(A30,[2]進出口值表查詢結果!$A$3:$D$21,4,0)</f>
        <v>1648936</v>
      </c>
      <c r="E30" s="116">
        <f t="shared" si="5"/>
        <v>-0.68267112853379386</v>
      </c>
      <c r="F30" s="76">
        <f>VLOOKUP(A30,[1]進出口值表查詢結果!$A$3:$D$19,3,0)</f>
        <v>5684562</v>
      </c>
      <c r="G30" s="76">
        <f>VLOOKUP(A30,[2]進出口值表查詢結果!$A$3:$D$21,3,0)</f>
        <v>23426391</v>
      </c>
      <c r="H30" s="116">
        <f t="shared" si="6"/>
        <v>-0.75734367278340053</v>
      </c>
      <c r="I30" s="4"/>
      <c r="J30" s="4"/>
    </row>
    <row r="31" spans="1:10">
      <c r="A31" s="46">
        <v>87149610004</v>
      </c>
      <c r="B31" s="22" t="s">
        <v>173</v>
      </c>
      <c r="C31" s="23">
        <f>VLOOKUP(A31,[1]進出口值表查詢結果!$A$3:$D$19,4,0)</f>
        <v>227134</v>
      </c>
      <c r="D31" s="23">
        <f>VLOOKUP(A31,[2]進出口值表查詢結果!$A$3:$D$21,4,0)</f>
        <v>776591</v>
      </c>
      <c r="E31" s="116">
        <f t="shared" si="5"/>
        <v>-0.70752429528542049</v>
      </c>
      <c r="F31" s="76">
        <f>VLOOKUP(A31,[1]進出口值表查詢結果!$A$3:$D$19,3,0)</f>
        <v>2707772</v>
      </c>
      <c r="G31" s="76">
        <f>VLOOKUP(A31,[2]進出口值表查詢結果!$A$3:$D$21,3,0)</f>
        <v>6472619</v>
      </c>
      <c r="H31" s="116">
        <f t="shared" si="6"/>
        <v>-0.58165744036532974</v>
      </c>
      <c r="I31" s="4"/>
      <c r="J31" s="4"/>
    </row>
    <row r="32" spans="1:10">
      <c r="A32" s="46">
        <v>87149620002</v>
      </c>
      <c r="B32" s="22" t="s">
        <v>174</v>
      </c>
      <c r="C32" s="23">
        <f>VLOOKUP(A32,[1]進出口值表查詢結果!$A$3:$D$19,4,0)</f>
        <v>721048</v>
      </c>
      <c r="D32" s="23">
        <f>VLOOKUP(A32,[2]進出口值表查詢結果!$A$3:$D$21,4,0)</f>
        <v>1897643</v>
      </c>
      <c r="E32" s="116">
        <f t="shared" si="5"/>
        <v>-0.62002968946213799</v>
      </c>
      <c r="F32" s="76">
        <f>VLOOKUP(A32,[1]進出口值表查詢結果!$A$3:$D$19,3,0)</f>
        <v>8439639</v>
      </c>
      <c r="G32" s="76">
        <f>VLOOKUP(A32,[2]進出口值表查詢結果!$A$3:$D$21,3,0)</f>
        <v>20817775</v>
      </c>
      <c r="H32" s="116">
        <f t="shared" si="6"/>
        <v>-0.5945945712257914</v>
      </c>
      <c r="I32" s="4"/>
      <c r="J32" s="4"/>
    </row>
    <row r="33" spans="1:10">
      <c r="A33" s="46" t="s">
        <v>210</v>
      </c>
      <c r="B33" s="22" t="s">
        <v>175</v>
      </c>
      <c r="C33" s="23">
        <v>354789</v>
      </c>
      <c r="D33" s="23">
        <v>894575</v>
      </c>
      <c r="E33" s="116">
        <f t="shared" si="5"/>
        <v>-0.60339937959366174</v>
      </c>
      <c r="F33" s="76">
        <v>1498067</v>
      </c>
      <c r="G33" s="76">
        <v>3870078</v>
      </c>
      <c r="H33" s="116">
        <f t="shared" si="6"/>
        <v>-0.61291038578550616</v>
      </c>
      <c r="I33" s="4"/>
      <c r="J33" s="4"/>
    </row>
    <row r="34" spans="1:10">
      <c r="A34" s="46">
        <v>87149990111</v>
      </c>
      <c r="B34" s="22" t="s">
        <v>176</v>
      </c>
      <c r="C34" s="23">
        <f>VLOOKUP(A34,[1]進出口值表查詢結果!$A$3:$D$19,4,0)</f>
        <v>157596</v>
      </c>
      <c r="D34" s="23">
        <f>VLOOKUP(A34,[2]進出口值表查詢結果!$A$3:$D$21,4,0)</f>
        <v>723919</v>
      </c>
      <c r="E34" s="116">
        <f t="shared" si="5"/>
        <v>-0.7823016110918487</v>
      </c>
      <c r="F34" s="76">
        <f>VLOOKUP(A34,[1]進出口值表查詢結果!$A$3:$D$19,3,0)</f>
        <v>4599871</v>
      </c>
      <c r="G34" s="76">
        <f>VLOOKUP(A34,[2]進出口值表查詢結果!$A$3:$D$21,3,0)</f>
        <v>17496359</v>
      </c>
      <c r="H34" s="116">
        <f t="shared" si="6"/>
        <v>-0.73709552941843504</v>
      </c>
      <c r="I34" s="4"/>
      <c r="J34" s="4"/>
    </row>
    <row r="35" spans="1:10">
      <c r="A35" s="46">
        <v>87149320906</v>
      </c>
      <c r="B35" s="22" t="s">
        <v>177</v>
      </c>
      <c r="C35" s="23">
        <f>VLOOKUP(A35,[1]進出口值表查詢結果!$A$3:$D$19,4,0)</f>
        <v>191991</v>
      </c>
      <c r="D35" s="23">
        <f>VLOOKUP(A35,[2]進出口值表查詢結果!$A$3:$D$21,4,0)</f>
        <v>397347</v>
      </c>
      <c r="E35" s="116">
        <f t="shared" si="5"/>
        <v>-0.51681779401882988</v>
      </c>
      <c r="F35" s="76">
        <f>VLOOKUP(A35,[1]進出口值表查詢結果!$A$3:$D$19,3,0)</f>
        <v>2467348</v>
      </c>
      <c r="G35" s="76">
        <f>VLOOKUP(A35,[2]進出口值表查詢結果!$A$3:$D$21,3,0)</f>
        <v>4979474</v>
      </c>
      <c r="H35" s="116">
        <f t="shared" si="6"/>
        <v>-0.50449625803849962</v>
      </c>
      <c r="I35" s="4"/>
      <c r="J35" s="4"/>
    </row>
    <row r="36" spans="1:10">
      <c r="A36" s="46">
        <v>87149990139</v>
      </c>
      <c r="B36" s="22" t="s">
        <v>178</v>
      </c>
      <c r="C36" s="23">
        <f>VLOOKUP(A36,[1]進出口值表查詢結果!$A$3:$D$19,4,0)</f>
        <v>32696</v>
      </c>
      <c r="D36" s="23">
        <f>VLOOKUP(A36,[2]進出口值表查詢結果!$A$3:$D$21,4,0)</f>
        <v>103838</v>
      </c>
      <c r="E36" s="116">
        <f t="shared" si="5"/>
        <v>-0.68512490610373855</v>
      </c>
      <c r="F36" s="76">
        <f>VLOOKUP(A36,[1]進出口值表查詢結果!$A$3:$D$19,3,0)</f>
        <v>107502</v>
      </c>
      <c r="G36" s="76">
        <f>VLOOKUP(A36,[2]進出口值表查詢結果!$A$3:$D$21,3,0)</f>
        <v>492799</v>
      </c>
      <c r="H36" s="116">
        <f t="shared" si="6"/>
        <v>-0.7818542651263497</v>
      </c>
      <c r="I36" s="4"/>
      <c r="J36" s="4"/>
    </row>
    <row r="37" spans="1:10">
      <c r="A37" s="46">
        <v>87149990148</v>
      </c>
      <c r="B37" s="22" t="s">
        <v>179</v>
      </c>
      <c r="C37" s="23">
        <f>VLOOKUP(A37,[1]進出口值表查詢結果!$A$3:$D$19,4,0)</f>
        <v>142968</v>
      </c>
      <c r="D37" s="23">
        <f>VLOOKUP(A37,[2]進出口值表查詢結果!$A$3:$D$21,4,0)</f>
        <v>477448</v>
      </c>
      <c r="E37" s="116">
        <f t="shared" si="5"/>
        <v>-0.70055796652200863</v>
      </c>
      <c r="F37" s="76">
        <f>VLOOKUP(A37,[1]進出口值表查詢結果!$A$3:$D$19,3,0)</f>
        <v>3640765</v>
      </c>
      <c r="G37" s="76">
        <f>VLOOKUP(A37,[2]進出口值表查詢結果!$A$3:$D$21,3,0)</f>
        <v>8279263</v>
      </c>
      <c r="H37" s="116">
        <f t="shared" si="6"/>
        <v>-0.56025494056656977</v>
      </c>
      <c r="I37" s="4"/>
      <c r="J37" s="4"/>
    </row>
    <row r="38" spans="1:10">
      <c r="A38" s="46">
        <v>87149990157</v>
      </c>
      <c r="B38" s="22" t="s">
        <v>180</v>
      </c>
      <c r="C38" s="23">
        <f>VLOOKUP(A38,[1]進出口值表查詢結果!$A$3:$D$19,4,0)</f>
        <v>335693</v>
      </c>
      <c r="D38" s="23">
        <f>VLOOKUP(A38,[2]進出口值表查詢結果!$A$3:$D$21,4,0)</f>
        <v>808856</v>
      </c>
      <c r="E38" s="116">
        <f t="shared" si="5"/>
        <v>-0.58497804306328938</v>
      </c>
      <c r="F38" s="76">
        <f>VLOOKUP(A38,[1]進出口值表查詢結果!$A$3:$D$19,3,0)</f>
        <v>12315414</v>
      </c>
      <c r="G38" s="76">
        <f>VLOOKUP(A38,[2]進出口值表查詢結果!$A$3:$D$21,3,0)</f>
        <v>17133289</v>
      </c>
      <c r="H38" s="116">
        <f t="shared" si="6"/>
        <v>-0.28119965757888049</v>
      </c>
      <c r="I38" s="4"/>
      <c r="J38" s="4"/>
    </row>
    <row r="39" spans="1:10">
      <c r="A39" s="46" t="s">
        <v>259</v>
      </c>
      <c r="B39" s="22" t="s">
        <v>181</v>
      </c>
      <c r="C39" s="23">
        <v>367944</v>
      </c>
      <c r="D39" s="23">
        <v>876654</v>
      </c>
      <c r="E39" s="116">
        <f t="shared" si="5"/>
        <v>-0.58028595089967083</v>
      </c>
      <c r="F39" s="76">
        <v>16514754</v>
      </c>
      <c r="G39" s="76">
        <v>26991886</v>
      </c>
      <c r="H39" s="116">
        <f t="shared" si="6"/>
        <v>-0.38815857476576482</v>
      </c>
      <c r="I39" s="4"/>
      <c r="J39" s="4"/>
    </row>
    <row r="40" spans="1:10">
      <c r="A40" s="46" t="s">
        <v>211</v>
      </c>
      <c r="B40" s="22" t="s">
        <v>182</v>
      </c>
      <c r="C40" s="23">
        <v>696172</v>
      </c>
      <c r="D40" s="23">
        <v>1289882</v>
      </c>
      <c r="E40" s="116">
        <f t="shared" si="5"/>
        <v>-0.46028241343006571</v>
      </c>
      <c r="F40" s="76">
        <v>4326275</v>
      </c>
      <c r="G40" s="76">
        <v>8773036</v>
      </c>
      <c r="H40" s="116">
        <f t="shared" si="6"/>
        <v>-0.50686683606450489</v>
      </c>
      <c r="I40" s="4"/>
      <c r="J40" s="4"/>
    </row>
    <row r="41" spans="1:10">
      <c r="A41" s="46" t="s">
        <v>212</v>
      </c>
      <c r="B41" s="22" t="s">
        <v>183</v>
      </c>
      <c r="C41" s="23">
        <v>230010</v>
      </c>
      <c r="D41" s="23">
        <v>387203</v>
      </c>
      <c r="E41" s="116">
        <f t="shared" si="5"/>
        <v>-0.40597051159211062</v>
      </c>
      <c r="F41" s="76">
        <v>1326988</v>
      </c>
      <c r="G41" s="76">
        <v>2167017</v>
      </c>
      <c r="H41" s="116">
        <f t="shared" si="6"/>
        <v>-0.38764301341429253</v>
      </c>
      <c r="I41" s="4"/>
      <c r="J41" s="4"/>
    </row>
    <row r="42" spans="1:10" ht="18.75" customHeight="1" thickBot="1">
      <c r="A42" s="132" t="s">
        <v>160</v>
      </c>
      <c r="B42" s="133"/>
      <c r="C42" s="127">
        <f>SUM(C20:C41)</f>
        <v>11265343</v>
      </c>
      <c r="D42" s="127">
        <f>SUM(D20:D41)</f>
        <v>27361998</v>
      </c>
      <c r="E42" s="126">
        <f t="shared" ref="E42" si="7">(C42-D42)/D42</f>
        <v>-0.58828507333419144</v>
      </c>
      <c r="F42" s="129">
        <f>SUM(F20:F41)</f>
        <v>463471007</v>
      </c>
      <c r="G42" s="128">
        <f>SUM(G20:G41)</f>
        <v>760343563</v>
      </c>
      <c r="H42" s="126">
        <f t="shared" ref="H42" si="8">(F42-G42)/G42</f>
        <v>-0.39044528085259794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H20:H42">
    <cfRule type="cellIs" dxfId="335" priority="1" operator="greaterThanOrEqual">
      <formula>0</formula>
    </cfRule>
    <cfRule type="cellIs" dxfId="334" priority="2" operator="lessThan">
      <formula>0</formula>
    </cfRule>
    <cfRule type="cellIs" dxfId="333" priority="3" operator="lessThanOrEqual">
      <formula>0</formula>
    </cfRule>
    <cfRule type="cellIs" dxfId="332" priority="4" operator="lessThan">
      <formula>0</formula>
    </cfRule>
  </conditionalFormatting>
  <conditionalFormatting sqref="K5:K14">
    <cfRule type="cellIs" dxfId="331" priority="5" operator="greaterThanOrEqual">
      <formula>0</formula>
    </cfRule>
    <cfRule type="cellIs" dxfId="330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-0.249977111117893"/>
  </sheetPr>
  <dimension ref="A1:K46"/>
  <sheetViews>
    <sheetView zoomScaleNormal="100" workbookViewId="0">
      <selection activeCell="F45" sqref="F45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131" t="s">
        <v>132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0</v>
      </c>
      <c r="B3" s="6" t="s">
        <v>1</v>
      </c>
      <c r="C3" s="7" t="s">
        <v>128</v>
      </c>
      <c r="D3" s="7" t="s">
        <v>129</v>
      </c>
      <c r="E3" s="9" t="s">
        <v>83</v>
      </c>
      <c r="F3" s="74" t="s">
        <v>130</v>
      </c>
      <c r="G3" s="74" t="s">
        <v>131</v>
      </c>
      <c r="H3" s="9" t="s">
        <v>83</v>
      </c>
      <c r="I3" s="56" t="s">
        <v>95</v>
      </c>
      <c r="J3" s="56" t="s">
        <v>96</v>
      </c>
      <c r="K3" s="64" t="s">
        <v>74</v>
      </c>
    </row>
    <row r="4" spans="1:11">
      <c r="A4" s="13"/>
      <c r="B4" s="14"/>
      <c r="C4" s="15" t="s">
        <v>75</v>
      </c>
      <c r="D4" s="15" t="s">
        <v>75</v>
      </c>
      <c r="E4" s="16" t="s">
        <v>76</v>
      </c>
      <c r="F4" s="75" t="s">
        <v>77</v>
      </c>
      <c r="G4" s="75" t="s">
        <v>77</v>
      </c>
      <c r="H4" s="16" t="s">
        <v>78</v>
      </c>
      <c r="I4" s="58" t="s">
        <v>7</v>
      </c>
      <c r="J4" s="65" t="s">
        <v>7</v>
      </c>
      <c r="K4" s="66" t="s">
        <v>79</v>
      </c>
    </row>
    <row r="5" spans="1:11" ht="16.5">
      <c r="A5" s="21" t="s">
        <v>8</v>
      </c>
      <c r="B5" s="22" t="s">
        <v>9</v>
      </c>
      <c r="C5" s="23">
        <v>7077</v>
      </c>
      <c r="D5" s="23">
        <v>5475</v>
      </c>
      <c r="E5" s="89">
        <f>IF(D5,(C5-D5)/D5,0)</f>
        <v>0.29260273972602741</v>
      </c>
      <c r="F5" s="76">
        <v>383644</v>
      </c>
      <c r="G5" s="76">
        <v>430766</v>
      </c>
      <c r="H5" s="90">
        <f>IF(G5,(F5-G5)/G5,0)</f>
        <v>-0.10939117757668897</v>
      </c>
      <c r="I5" s="25">
        <f>IF(C5,F5/C5,0)</f>
        <v>54.209975978521975</v>
      </c>
      <c r="J5" s="25">
        <f>IF(D5,G5/D5,0)</f>
        <v>78.678721461187209</v>
      </c>
      <c r="K5" s="89">
        <f>IF(J5,(I5-J5)/J5,0)</f>
        <v>-0.31099571813372495</v>
      </c>
    </row>
    <row r="6" spans="1:11" ht="16.5">
      <c r="A6" s="26" t="s">
        <v>10</v>
      </c>
      <c r="B6" s="27" t="s">
        <v>11</v>
      </c>
      <c r="C6" s="23">
        <v>6036</v>
      </c>
      <c r="D6" s="23">
        <v>10074</v>
      </c>
      <c r="E6" s="89">
        <f t="shared" ref="E6:E10" si="0">IF(D6,(C6-D6)/D6,0)</f>
        <v>-0.40083382966051223</v>
      </c>
      <c r="F6" s="76">
        <v>645877</v>
      </c>
      <c r="G6" s="76">
        <v>1110160</v>
      </c>
      <c r="H6" s="90">
        <f t="shared" ref="H6:H10" si="1">IF(G6,(F6-G6)/G6,0)</f>
        <v>-0.41821269006269368</v>
      </c>
      <c r="I6" s="25">
        <f t="shared" ref="I6:J10" si="2">IF(C6,F6/C6,0)</f>
        <v>107.00414181577203</v>
      </c>
      <c r="J6" s="25">
        <f t="shared" si="2"/>
        <v>110.20051618026604</v>
      </c>
      <c r="K6" s="89">
        <f t="shared" ref="K6:K10" si="3">IF(J6,(I6-J6)/J6,0)</f>
        <v>-2.9005076158312864E-2</v>
      </c>
    </row>
    <row r="7" spans="1:11" ht="16.5">
      <c r="A7" s="21" t="s">
        <v>12</v>
      </c>
      <c r="B7" s="28" t="s">
        <v>13</v>
      </c>
      <c r="C7" s="23">
        <v>10143</v>
      </c>
      <c r="D7" s="23">
        <v>7876</v>
      </c>
      <c r="E7" s="89">
        <f t="shared" si="0"/>
        <v>0.28783646521076689</v>
      </c>
      <c r="F7" s="76">
        <v>589522</v>
      </c>
      <c r="G7" s="76">
        <v>551892</v>
      </c>
      <c r="H7" s="90">
        <f t="shared" si="1"/>
        <v>6.8183630130532788E-2</v>
      </c>
      <c r="I7" s="25">
        <f t="shared" si="2"/>
        <v>58.121068717342013</v>
      </c>
      <c r="J7" s="25">
        <f t="shared" si="2"/>
        <v>70.072625698324018</v>
      </c>
      <c r="K7" s="89">
        <f t="shared" si="3"/>
        <v>-0.17055957104327346</v>
      </c>
    </row>
    <row r="8" spans="1:11" ht="16.5">
      <c r="A8" s="21" t="s">
        <v>14</v>
      </c>
      <c r="B8" s="28" t="s">
        <v>15</v>
      </c>
      <c r="C8" s="23">
        <v>12327</v>
      </c>
      <c r="D8" s="23">
        <v>14921</v>
      </c>
      <c r="E8" s="89">
        <f t="shared" si="0"/>
        <v>-0.17384893773875745</v>
      </c>
      <c r="F8" s="76">
        <v>1414359</v>
      </c>
      <c r="G8" s="76">
        <v>2176014</v>
      </c>
      <c r="H8" s="90">
        <f t="shared" si="1"/>
        <v>-0.35002302374892807</v>
      </c>
      <c r="I8" s="25">
        <f t="shared" si="2"/>
        <v>114.73667559016792</v>
      </c>
      <c r="J8" s="25">
        <f t="shared" si="2"/>
        <v>145.83566785068024</v>
      </c>
      <c r="K8" s="89">
        <f t="shared" si="3"/>
        <v>-0.21324681896306932</v>
      </c>
    </row>
    <row r="9" spans="1:11" ht="16.5">
      <c r="A9" s="21" t="s">
        <v>16</v>
      </c>
      <c r="B9" s="28" t="s">
        <v>17</v>
      </c>
      <c r="C9" s="23">
        <v>2956</v>
      </c>
      <c r="D9" s="23">
        <v>7128</v>
      </c>
      <c r="E9" s="89">
        <f t="shared" si="0"/>
        <v>-0.58529741863075191</v>
      </c>
      <c r="F9" s="76">
        <v>399108</v>
      </c>
      <c r="G9" s="76">
        <v>882810</v>
      </c>
      <c r="H9" s="90">
        <f t="shared" si="1"/>
        <v>-0.54791178169708088</v>
      </c>
      <c r="I9" s="25">
        <f t="shared" si="2"/>
        <v>135.01623815967523</v>
      </c>
      <c r="J9" s="25">
        <f t="shared" si="2"/>
        <v>123.8510101010101</v>
      </c>
      <c r="K9" s="89">
        <f t="shared" si="3"/>
        <v>9.0150480400272973E-2</v>
      </c>
    </row>
    <row r="10" spans="1:11" ht="16.5">
      <c r="A10" s="21" t="s">
        <v>18</v>
      </c>
      <c r="B10" s="28" t="s">
        <v>19</v>
      </c>
      <c r="C10" s="23">
        <v>4002</v>
      </c>
      <c r="D10" s="23">
        <v>3991</v>
      </c>
      <c r="E10" s="89">
        <f t="shared" si="0"/>
        <v>2.7562014532698572E-3</v>
      </c>
      <c r="F10" s="76">
        <v>753484</v>
      </c>
      <c r="G10" s="76">
        <v>873489</v>
      </c>
      <c r="H10" s="90">
        <f t="shared" si="1"/>
        <v>-0.13738581710817194</v>
      </c>
      <c r="I10" s="25">
        <f t="shared" si="2"/>
        <v>188.27686156921538</v>
      </c>
      <c r="J10" s="25">
        <f t="shared" si="2"/>
        <v>218.86469556502129</v>
      </c>
      <c r="K10" s="89">
        <f t="shared" si="3"/>
        <v>-0.13975682060937389</v>
      </c>
    </row>
    <row r="11" spans="1:11" ht="17.25" thickBot="1">
      <c r="A11" s="48" t="s">
        <v>20</v>
      </c>
      <c r="B11" s="70" t="s">
        <v>21</v>
      </c>
      <c r="C11" s="63">
        <f>SUM(C5:C10)</f>
        <v>42541</v>
      </c>
      <c r="D11" s="63">
        <f>SUM(D5:D10)</f>
        <v>49465</v>
      </c>
      <c r="E11" s="91">
        <f>IF(D11,(C11-D11)/D11,0)</f>
        <v>-0.13997776205397755</v>
      </c>
      <c r="F11" s="77">
        <f>SUM(F5:F10)</f>
        <v>4185994</v>
      </c>
      <c r="G11" s="77">
        <f>SUM(G5:G10)</f>
        <v>6025131</v>
      </c>
      <c r="H11" s="91">
        <f>IF(G11,(F11-G11)/G11,0)</f>
        <v>-0.30524431750944503</v>
      </c>
      <c r="I11" s="102">
        <f>IF(C11,F11/C11,0)</f>
        <v>98.399050327918943</v>
      </c>
      <c r="J11" s="72">
        <f>IF(D11,G11/D11,0)</f>
        <v>121.80594359648236</v>
      </c>
      <c r="K11" s="91">
        <f>IF(J11,(I11-J11)/J11,0)</f>
        <v>-0.19216544429149998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22</v>
      </c>
      <c r="B13" s="22" t="s">
        <v>23</v>
      </c>
      <c r="C13" s="23">
        <v>564</v>
      </c>
      <c r="D13" s="23">
        <v>98</v>
      </c>
      <c r="E13" s="89">
        <f t="shared" ref="E13" si="4">IF(D13,(C13-D13)/D13,0)</f>
        <v>4.7551020408163263</v>
      </c>
      <c r="F13" s="76">
        <v>24192</v>
      </c>
      <c r="G13" s="76">
        <v>21537</v>
      </c>
      <c r="H13" s="92">
        <f t="shared" ref="H13" si="5">IF(G13,(F13-G13)/G13,0)</f>
        <v>0.12327622231508567</v>
      </c>
      <c r="I13" s="25">
        <f t="shared" ref="I13:J13" si="6">IF(C13,F13/C13,0)</f>
        <v>42.893617021276597</v>
      </c>
      <c r="J13" s="25">
        <f t="shared" si="6"/>
        <v>219.76530612244898</v>
      </c>
      <c r="K13" s="89">
        <f t="shared" ref="K13" si="7">IF(J13,(I13-J13)/J13,0)</f>
        <v>-0.80482079825021557</v>
      </c>
    </row>
    <row r="14" spans="1:11" ht="17.25" thickBot="1">
      <c r="A14" s="48" t="s">
        <v>24</v>
      </c>
      <c r="B14" s="73" t="s">
        <v>80</v>
      </c>
      <c r="C14" s="109">
        <f>SUM(C11:C13)</f>
        <v>43105</v>
      </c>
      <c r="D14" s="31">
        <f>SUM(D11,D13)</f>
        <v>49563</v>
      </c>
      <c r="E14" s="91">
        <f>IF(D14,(C14-D14)/D14,0)</f>
        <v>-0.13029881161350201</v>
      </c>
      <c r="F14" s="77">
        <f>SUM(F11:F13)</f>
        <v>4210186</v>
      </c>
      <c r="G14" s="108">
        <f>SUM(G11:G13)</f>
        <v>6046668</v>
      </c>
      <c r="H14" s="93">
        <f>IF(G14,(F14-G14)/G14,0)</f>
        <v>-0.30371801461565279</v>
      </c>
      <c r="I14" s="102">
        <f>IF(C14,F14/C14,0)</f>
        <v>97.672798979236745</v>
      </c>
      <c r="J14" s="72">
        <f>IF(D14,G14/D14,0)</f>
        <v>121.999636825858</v>
      </c>
      <c r="K14" s="91">
        <f>IF(J14,(I14-J14)/J14,0)</f>
        <v>-0.19940090380224107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133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128</v>
      </c>
      <c r="D18" s="7" t="s">
        <v>129</v>
      </c>
      <c r="E18" s="9" t="s">
        <v>83</v>
      </c>
      <c r="F18" s="74" t="s">
        <v>130</v>
      </c>
      <c r="G18" s="74" t="s">
        <v>131</v>
      </c>
      <c r="H18" s="9" t="s">
        <v>83</v>
      </c>
      <c r="I18" s="44"/>
      <c r="J18" s="44"/>
    </row>
    <row r="19" spans="1:10">
      <c r="A19" s="13"/>
      <c r="B19" s="14"/>
      <c r="C19" s="15" t="s">
        <v>81</v>
      </c>
      <c r="D19" s="15" t="s">
        <v>81</v>
      </c>
      <c r="E19" s="16" t="s">
        <v>76</v>
      </c>
      <c r="F19" s="75" t="s">
        <v>77</v>
      </c>
      <c r="G19" s="75" t="s">
        <v>77</v>
      </c>
      <c r="H19" s="16" t="s">
        <v>78</v>
      </c>
      <c r="I19" s="4"/>
      <c r="J19" s="4"/>
    </row>
    <row r="20" spans="1:10">
      <c r="A20" s="46" t="s">
        <v>28</v>
      </c>
      <c r="B20" s="22" t="s">
        <v>29</v>
      </c>
      <c r="C20" s="23">
        <v>6887</v>
      </c>
      <c r="D20" s="23">
        <v>14508</v>
      </c>
      <c r="E20" s="90">
        <f>IF(D20,(C20-D20)/D20,0)</f>
        <v>-0.52529638819961399</v>
      </c>
      <c r="F20" s="76">
        <v>383634</v>
      </c>
      <c r="G20" s="76">
        <v>793395</v>
      </c>
      <c r="H20" s="94">
        <f>IF(G20,(F20-G20)/G20,0)</f>
        <v>-0.51646531677159546</v>
      </c>
      <c r="I20" s="4"/>
      <c r="J20" s="4"/>
    </row>
    <row r="21" spans="1:10">
      <c r="A21" s="46" t="s">
        <v>30</v>
      </c>
      <c r="B21" s="22" t="s">
        <v>31</v>
      </c>
      <c r="C21" s="23">
        <v>5583</v>
      </c>
      <c r="D21" s="23">
        <v>9480</v>
      </c>
      <c r="E21" s="90">
        <f t="shared" ref="E21:E41" si="8">IF(D21,(C21-D21)/D21,0)</f>
        <v>-0.41107594936708863</v>
      </c>
      <c r="F21" s="76">
        <v>408062</v>
      </c>
      <c r="G21" s="76">
        <v>658537</v>
      </c>
      <c r="H21" s="94">
        <f t="shared" ref="H21:H41" si="9">IF(G21,(F21-G21)/G21,0)</f>
        <v>-0.38035068644586412</v>
      </c>
      <c r="I21" s="4"/>
      <c r="J21" s="4"/>
    </row>
    <row r="22" spans="1:10">
      <c r="A22" s="46" t="s">
        <v>32</v>
      </c>
      <c r="B22" s="22" t="s">
        <v>33</v>
      </c>
      <c r="C22" s="23">
        <f>VLOOKUP(A22,[19]進出口值表查詢結果!$A$2:$D$19,4,0)</f>
        <v>1728028</v>
      </c>
      <c r="D22" s="23">
        <f>VLOOKUP(A22,[20]進出口值表查詢結果!$A$2:$D$19,4,0)</f>
        <v>2690205</v>
      </c>
      <c r="E22" s="90">
        <f t="shared" si="8"/>
        <v>-0.35765936053200409</v>
      </c>
      <c r="F22" s="76">
        <f>VLOOKUP(A22,[19]進出口值表查詢結果!$A$2:$D$19,3,0)</f>
        <v>83774755</v>
      </c>
      <c r="G22" s="76">
        <f>VLOOKUP(A22,[20]進出口值表查詢結果!$A$2:$D$19,3,0)</f>
        <v>107615777</v>
      </c>
      <c r="H22" s="94">
        <f t="shared" si="9"/>
        <v>-0.22153835306137315</v>
      </c>
      <c r="I22" s="4"/>
      <c r="J22" s="4"/>
    </row>
    <row r="23" spans="1:10">
      <c r="A23" s="46" t="s">
        <v>34</v>
      </c>
      <c r="B23" s="22" t="s">
        <v>35</v>
      </c>
      <c r="C23" s="23">
        <f>VLOOKUP(A23,[19]進出口值表查詢結果!$A$2:$D$19,4,0)</f>
        <v>235633</v>
      </c>
      <c r="D23" s="23">
        <f>VLOOKUP(A23,[20]進出口值表查詢結果!$A$2:$D$19,4,0)</f>
        <v>414229</v>
      </c>
      <c r="E23" s="90">
        <f t="shared" si="8"/>
        <v>-0.4311528164372847</v>
      </c>
      <c r="F23" s="76">
        <f>VLOOKUP(A23,[19]進出口值表查詢結果!$A$2:$D$19,3,0)</f>
        <v>15805019</v>
      </c>
      <c r="G23" s="76">
        <f>VLOOKUP(A23,[20]進出口值表查詢結果!$A$2:$D$19,3,0)</f>
        <v>17401011</v>
      </c>
      <c r="H23" s="94">
        <f t="shared" si="9"/>
        <v>-9.1718349008571967E-2</v>
      </c>
      <c r="I23" s="4"/>
      <c r="J23" s="4"/>
    </row>
    <row r="24" spans="1:10">
      <c r="A24" s="46" t="s">
        <v>36</v>
      </c>
      <c r="B24" s="22" t="s">
        <v>37</v>
      </c>
      <c r="C24" s="23">
        <f>VLOOKUP(A24,[19]進出口值表查詢結果!$A$2:$D$19,4,0)</f>
        <v>17207</v>
      </c>
      <c r="D24" s="23">
        <f>VLOOKUP(A24,[20]進出口值表查詢結果!$A$2:$D$19,4,0)</f>
        <v>24818</v>
      </c>
      <c r="E24" s="90">
        <f t="shared" si="8"/>
        <v>-0.30667257635587075</v>
      </c>
      <c r="F24" s="76">
        <f>VLOOKUP(A24,[19]進出口值表查詢結果!$A$2:$D$19,3,0)</f>
        <v>220387</v>
      </c>
      <c r="G24" s="76">
        <f>VLOOKUP(A24,[20]進出口值表查詢結果!$A$2:$D$19,3,0)</f>
        <v>380016</v>
      </c>
      <c r="H24" s="94">
        <f t="shared" si="9"/>
        <v>-0.42005862911035324</v>
      </c>
      <c r="I24" s="4"/>
      <c r="J24" s="4"/>
    </row>
    <row r="25" spans="1:10">
      <c r="A25" s="46" t="s">
        <v>38</v>
      </c>
      <c r="B25" s="22" t="s">
        <v>39</v>
      </c>
      <c r="C25" s="23">
        <f>VLOOKUP(A25,[19]進出口值表查詢結果!$A$2:$D$19,4,0)</f>
        <v>32488</v>
      </c>
      <c r="D25" s="23">
        <f>VLOOKUP(A25,[20]進出口值表查詢結果!$A$2:$D$19,4,0)</f>
        <v>74544</v>
      </c>
      <c r="E25" s="90">
        <f t="shared" si="8"/>
        <v>-0.56417686198755101</v>
      </c>
      <c r="F25" s="76">
        <f>VLOOKUP(A25,[19]進出口值表查詢結果!$A$2:$D$19,3,0)</f>
        <v>497250</v>
      </c>
      <c r="G25" s="76">
        <f>VLOOKUP(A25,[20]進出口值表查詢結果!$A$2:$D$19,3,0)</f>
        <v>889986</v>
      </c>
      <c r="H25" s="94">
        <f t="shared" si="9"/>
        <v>-0.44128334603016228</v>
      </c>
      <c r="I25" s="4"/>
      <c r="J25" s="4"/>
    </row>
    <row r="26" spans="1:10">
      <c r="A26" s="46" t="s">
        <v>40</v>
      </c>
      <c r="B26" s="22" t="s">
        <v>41</v>
      </c>
      <c r="C26" s="23">
        <f>VLOOKUP(A26,[19]進出口值表查詢結果!$A$2:$D$19,4,0)</f>
        <v>297776</v>
      </c>
      <c r="D26" s="23">
        <f>VLOOKUP(A26,[20]進出口值表查詢結果!$A$2:$D$19,4,0)</f>
        <v>535420</v>
      </c>
      <c r="E26" s="90">
        <f t="shared" si="8"/>
        <v>-0.44384595271002203</v>
      </c>
      <c r="F26" s="76">
        <f>VLOOKUP(A26,[19]進出口值表查詢結果!$A$2:$D$19,3,0)</f>
        <v>8110658</v>
      </c>
      <c r="G26" s="76">
        <f>VLOOKUP(A26,[20]進出口值表查詢結果!$A$2:$D$19,3,0)</f>
        <v>11525109</v>
      </c>
      <c r="H26" s="94">
        <f t="shared" si="9"/>
        <v>-0.29626192689370662</v>
      </c>
      <c r="I26" s="4"/>
      <c r="J26" s="4"/>
    </row>
    <row r="27" spans="1:10">
      <c r="A27" s="46" t="s">
        <v>116</v>
      </c>
      <c r="B27" s="22" t="s">
        <v>119</v>
      </c>
      <c r="C27" s="23">
        <f>VLOOKUP(A27,[19]進出口值表查詢結果!$A$2:$D$19,4,0)</f>
        <v>2137</v>
      </c>
      <c r="D27" s="23">
        <v>0</v>
      </c>
      <c r="E27" s="90">
        <f t="shared" si="8"/>
        <v>0</v>
      </c>
      <c r="F27" s="76">
        <f>VLOOKUP(A27,[19]進出口值表查詢結果!$A$2:$D$19,3,0)</f>
        <v>17860</v>
      </c>
      <c r="G27" s="76">
        <v>0</v>
      </c>
      <c r="H27" s="94">
        <f t="shared" si="9"/>
        <v>0</v>
      </c>
      <c r="I27" s="4"/>
      <c r="J27" s="4"/>
    </row>
    <row r="28" spans="1:10">
      <c r="A28" s="46" t="s">
        <v>44</v>
      </c>
      <c r="B28" s="22" t="s">
        <v>45</v>
      </c>
      <c r="C28" s="23">
        <f>VLOOKUP(A28,[19]進出口值表查詢結果!$A$2:$D$19,4,0)</f>
        <v>20225</v>
      </c>
      <c r="D28" s="23">
        <f>VLOOKUP(A28,[20]進出口值表查詢結果!$A$2:$D$19,4,0)</f>
        <v>12742</v>
      </c>
      <c r="E28" s="90">
        <f t="shared" si="8"/>
        <v>0.58727044420028252</v>
      </c>
      <c r="F28" s="76">
        <f>VLOOKUP(A28,[19]進出口值表查詢結果!$A$2:$D$19,3,0)</f>
        <v>105400</v>
      </c>
      <c r="G28" s="76">
        <f>VLOOKUP(A28,[20]進出口值表查詢結果!$A$2:$D$19,3,0)</f>
        <v>239701</v>
      </c>
      <c r="H28" s="94">
        <f t="shared" si="9"/>
        <v>-0.5602855223799651</v>
      </c>
      <c r="I28" s="4"/>
      <c r="J28" s="4"/>
    </row>
    <row r="29" spans="1:10">
      <c r="A29" s="46" t="s">
        <v>46</v>
      </c>
      <c r="B29" s="22" t="s">
        <v>47</v>
      </c>
      <c r="C29" s="23">
        <f>VLOOKUP(A29,[19]進出口值表查詢結果!$A$2:$D$19,4,0)</f>
        <v>197623</v>
      </c>
      <c r="D29" s="23">
        <f>VLOOKUP(A29,[20]進出口值表查詢結果!$A$2:$D$19,4,0)</f>
        <v>779401</v>
      </c>
      <c r="E29" s="90">
        <f t="shared" si="8"/>
        <v>-0.74644246029964034</v>
      </c>
      <c r="F29" s="76">
        <f>VLOOKUP(A29,[19]進出口值表查詢結果!$A$2:$D$19,3,0)</f>
        <v>3717991</v>
      </c>
      <c r="G29" s="76">
        <f>VLOOKUP(A29,[20]進出口值表查詢結果!$A$2:$D$19,3,0)</f>
        <v>12282546</v>
      </c>
      <c r="H29" s="94">
        <f t="shared" si="9"/>
        <v>-0.69729476282848846</v>
      </c>
      <c r="I29" s="4"/>
      <c r="J29" s="4"/>
    </row>
    <row r="30" spans="1:10">
      <c r="A30" s="46" t="s">
        <v>48</v>
      </c>
      <c r="B30" s="22" t="s">
        <v>49</v>
      </c>
      <c r="C30" s="23">
        <f>VLOOKUP(A30,[19]進出口值表查詢結果!$A$2:$D$19,4,0)</f>
        <v>180613</v>
      </c>
      <c r="D30" s="23">
        <f>VLOOKUP(A30,[20]進出口值表查詢結果!$A$2:$D$19,4,0)</f>
        <v>445866</v>
      </c>
      <c r="E30" s="90">
        <f t="shared" si="8"/>
        <v>-0.59491640986305305</v>
      </c>
      <c r="F30" s="76">
        <f>VLOOKUP(A30,[19]進出口值表查詢結果!$A$2:$D$19,3,0)</f>
        <v>1915863</v>
      </c>
      <c r="G30" s="76">
        <f>VLOOKUP(A30,[20]進出口值表查詢結果!$A$2:$D$19,3,0)</f>
        <v>6111889</v>
      </c>
      <c r="H30" s="94">
        <f t="shared" si="9"/>
        <v>-0.68653504669342003</v>
      </c>
      <c r="I30" s="4"/>
      <c r="J30" s="4"/>
    </row>
    <row r="31" spans="1:10">
      <c r="A31" s="46" t="s">
        <v>50</v>
      </c>
      <c r="B31" s="22" t="s">
        <v>51</v>
      </c>
      <c r="C31" s="23">
        <f>VLOOKUP(A31,[19]進出口值表查詢結果!$A$2:$D$19,4,0)</f>
        <v>63992</v>
      </c>
      <c r="D31" s="23">
        <f>VLOOKUP(A31,[20]進出口值表查詢結果!$A$2:$D$19,4,0)</f>
        <v>252539</v>
      </c>
      <c r="E31" s="90">
        <f t="shared" si="8"/>
        <v>-0.74660547479795203</v>
      </c>
      <c r="F31" s="76">
        <f>VLOOKUP(A31,[19]進出口值表查詢結果!$A$2:$D$19,3,0)</f>
        <v>459711</v>
      </c>
      <c r="G31" s="76">
        <f>VLOOKUP(A31,[20]進出口值表查詢結果!$A$2:$D$19,3,0)</f>
        <v>2489426</v>
      </c>
      <c r="H31" s="94">
        <f t="shared" si="9"/>
        <v>-0.8153345389660106</v>
      </c>
      <c r="I31" s="4"/>
      <c r="J31" s="4"/>
    </row>
    <row r="32" spans="1:10">
      <c r="A32" s="46" t="s">
        <v>52</v>
      </c>
      <c r="B32" s="22" t="s">
        <v>53</v>
      </c>
      <c r="C32" s="23">
        <f>VLOOKUP(A32,[19]進出口值表查詢結果!$A$2:$D$19,4,0)</f>
        <v>258564</v>
      </c>
      <c r="D32" s="23">
        <f>VLOOKUP(A32,[20]進出口值表查詢結果!$A$2:$D$19,4,0)</f>
        <v>644402</v>
      </c>
      <c r="E32" s="90">
        <f t="shared" si="8"/>
        <v>-0.59875357308015809</v>
      </c>
      <c r="F32" s="76">
        <f>VLOOKUP(A32,[19]進出口值表查詢結果!$A$2:$D$19,3,0)</f>
        <v>2649298</v>
      </c>
      <c r="G32" s="76">
        <f>VLOOKUP(A32,[20]進出口值表查詢結果!$A$2:$D$19,3,0)</f>
        <v>6186424</v>
      </c>
      <c r="H32" s="94">
        <f t="shared" si="9"/>
        <v>-0.5717561550905661</v>
      </c>
      <c r="I32" s="4"/>
      <c r="J32" s="4"/>
    </row>
    <row r="33" spans="1:10">
      <c r="A33" s="46" t="s">
        <v>54</v>
      </c>
      <c r="B33" s="22" t="s">
        <v>55</v>
      </c>
      <c r="C33" s="23">
        <v>94227</v>
      </c>
      <c r="D33" s="23">
        <v>313851</v>
      </c>
      <c r="E33" s="90">
        <f t="shared" si="8"/>
        <v>-0.6997715476452202</v>
      </c>
      <c r="F33" s="76">
        <v>428182</v>
      </c>
      <c r="G33" s="76">
        <v>1191018</v>
      </c>
      <c r="H33" s="94">
        <f t="shared" si="9"/>
        <v>-0.64049073985447746</v>
      </c>
      <c r="I33" s="4"/>
      <c r="J33" s="4"/>
    </row>
    <row r="34" spans="1:10">
      <c r="A34" s="46" t="s">
        <v>56</v>
      </c>
      <c r="B34" s="22" t="s">
        <v>57</v>
      </c>
      <c r="C34" s="23">
        <f>VLOOKUP(A34,[19]進出口值表查詢結果!$A$2:$D$19,4,0)</f>
        <v>40723</v>
      </c>
      <c r="D34" s="23">
        <f>VLOOKUP(A34,[20]進出口值表查詢結果!$A$2:$D$19,4,0)</f>
        <v>211565</v>
      </c>
      <c r="E34" s="90">
        <f t="shared" si="8"/>
        <v>-0.80751542079266414</v>
      </c>
      <c r="F34" s="76">
        <f>VLOOKUP(A34,[19]進出口值表查詢結果!$A$2:$D$19,3,0)</f>
        <v>1006924</v>
      </c>
      <c r="G34" s="76">
        <f>VLOOKUP(A34,[20]進出口值表查詢結果!$A$2:$D$19,3,0)</f>
        <v>4051058</v>
      </c>
      <c r="H34" s="94">
        <f t="shared" si="9"/>
        <v>-0.75144172213777238</v>
      </c>
      <c r="I34" s="4"/>
      <c r="J34" s="4"/>
    </row>
    <row r="35" spans="1:10">
      <c r="A35" s="46" t="s">
        <v>117</v>
      </c>
      <c r="B35" s="22" t="s">
        <v>118</v>
      </c>
      <c r="C35" s="23">
        <f>VLOOKUP(A35,[19]進出口值表查詢結果!$A$2:$D$19,4,0)</f>
        <v>85092</v>
      </c>
      <c r="D35" s="23">
        <v>0</v>
      </c>
      <c r="E35" s="90">
        <f t="shared" si="8"/>
        <v>0</v>
      </c>
      <c r="F35" s="76">
        <f>VLOOKUP(A35,[19]進出口值表查詢結果!$A$2:$D$19,3,0)</f>
        <v>1179081</v>
      </c>
      <c r="G35" s="76">
        <v>0</v>
      </c>
      <c r="H35" s="94">
        <f t="shared" si="9"/>
        <v>0</v>
      </c>
      <c r="I35" s="4"/>
      <c r="J35" s="4"/>
    </row>
    <row r="36" spans="1:10">
      <c r="A36" s="46" t="s">
        <v>60</v>
      </c>
      <c r="B36" s="22" t="s">
        <v>61</v>
      </c>
      <c r="C36" s="23">
        <f>VLOOKUP(A36,[19]進出口值表查詢結果!$A$2:$D$19,4,0)</f>
        <v>6698</v>
      </c>
      <c r="D36" s="23">
        <f>VLOOKUP(A36,[20]進出口值表查詢結果!$A$2:$D$19,4,0)</f>
        <v>46336</v>
      </c>
      <c r="E36" s="90">
        <f t="shared" si="8"/>
        <v>-0.85544716850828728</v>
      </c>
      <c r="F36" s="76">
        <f>VLOOKUP(A36,[19]進出口值表查詢結果!$A$2:$D$19,3,0)</f>
        <v>34437</v>
      </c>
      <c r="G36" s="76">
        <f>VLOOKUP(A36,[20]進出口值表查詢結果!$A$2:$D$19,3,0)</f>
        <v>181333</v>
      </c>
      <c r="H36" s="94">
        <f t="shared" si="9"/>
        <v>-0.81008972442964045</v>
      </c>
      <c r="I36" s="4"/>
      <c r="J36" s="4"/>
    </row>
    <row r="37" spans="1:10">
      <c r="A37" s="46" t="s">
        <v>62</v>
      </c>
      <c r="B37" s="22" t="s">
        <v>63</v>
      </c>
      <c r="C37" s="23">
        <f>VLOOKUP(A37,[19]進出口值表查詢結果!$A$2:$D$19,4,0)</f>
        <v>59420</v>
      </c>
      <c r="D37" s="23">
        <f>VLOOKUP(A37,[20]進出口值表查詢結果!$A$2:$D$19,4,0)</f>
        <v>135553</v>
      </c>
      <c r="E37" s="90">
        <f t="shared" si="8"/>
        <v>-0.56164747368188084</v>
      </c>
      <c r="F37" s="76">
        <f>VLOOKUP(A37,[19]進出口值表查詢結果!$A$2:$D$19,3,0)</f>
        <v>1228753</v>
      </c>
      <c r="G37" s="76">
        <f>VLOOKUP(A37,[20]進出口值表查詢結果!$A$2:$D$19,3,0)</f>
        <v>2118201</v>
      </c>
      <c r="H37" s="94">
        <f t="shared" si="9"/>
        <v>-0.41990727036763742</v>
      </c>
      <c r="I37" s="4"/>
      <c r="J37" s="4"/>
    </row>
    <row r="38" spans="1:10">
      <c r="A38" s="46" t="s">
        <v>64</v>
      </c>
      <c r="B38" s="22" t="s">
        <v>65</v>
      </c>
      <c r="C38" s="23">
        <f>VLOOKUP(A38,[19]進出口值表查詢結果!$A$2:$D$19,4,0)</f>
        <v>123142</v>
      </c>
      <c r="D38" s="23">
        <f>VLOOKUP(A38,[20]進出口值表查詢結果!$A$2:$D$19,4,0)</f>
        <v>241109</v>
      </c>
      <c r="E38" s="90">
        <f t="shared" si="8"/>
        <v>-0.48926833921587332</v>
      </c>
      <c r="F38" s="76">
        <f>VLOOKUP(A38,[19]進出口值表查詢結果!$A$2:$D$19,3,0)</f>
        <v>3047889</v>
      </c>
      <c r="G38" s="76">
        <f>VLOOKUP(A38,[20]進出口值表查詢結果!$A$2:$D$19,3,0)</f>
        <v>4226592</v>
      </c>
      <c r="H38" s="94">
        <f t="shared" si="9"/>
        <v>-0.27887787607604425</v>
      </c>
      <c r="I38" s="4"/>
      <c r="J38" s="4"/>
    </row>
    <row r="39" spans="1:10">
      <c r="A39" s="46" t="s">
        <v>66</v>
      </c>
      <c r="B39" s="22" t="s">
        <v>67</v>
      </c>
      <c r="C39" s="23">
        <f>VLOOKUP(A39,[19]進出口值表查詢結果!$A$2:$D$19,4,0)</f>
        <v>116256</v>
      </c>
      <c r="D39" s="23">
        <f>VLOOKUP(A39,[20]進出口值表查詢結果!$A$2:$D$19,4,0)</f>
        <v>215218</v>
      </c>
      <c r="E39" s="90">
        <f t="shared" si="8"/>
        <v>-0.45982213383638915</v>
      </c>
      <c r="F39" s="76">
        <f>VLOOKUP(A39,[19]進出口值表查詢結果!$A$2:$D$19,3,0)</f>
        <v>4131782</v>
      </c>
      <c r="G39" s="76">
        <f>VLOOKUP(A39,[20]進出口值表查詢結果!$A$2:$D$19,3,0)</f>
        <v>6486004</v>
      </c>
      <c r="H39" s="94">
        <f t="shared" si="9"/>
        <v>-0.36296955721889779</v>
      </c>
      <c r="I39" s="4"/>
      <c r="J39" s="4"/>
    </row>
    <row r="40" spans="1:10">
      <c r="A40" s="46" t="s">
        <v>68</v>
      </c>
      <c r="B40" s="22" t="s">
        <v>69</v>
      </c>
      <c r="C40" s="23">
        <v>253807</v>
      </c>
      <c r="D40" s="23">
        <v>392283</v>
      </c>
      <c r="E40" s="90">
        <f t="shared" si="8"/>
        <v>-0.35300025746718566</v>
      </c>
      <c r="F40" s="76">
        <v>1579024</v>
      </c>
      <c r="G40" s="76">
        <v>2836963</v>
      </c>
      <c r="H40" s="94">
        <f t="shared" si="9"/>
        <v>-0.44341043573708927</v>
      </c>
      <c r="I40" s="4"/>
      <c r="J40" s="4"/>
    </row>
    <row r="41" spans="1:10">
      <c r="A41" s="46" t="s">
        <v>70</v>
      </c>
      <c r="B41" s="22" t="s">
        <v>71</v>
      </c>
      <c r="C41" s="23">
        <v>71787</v>
      </c>
      <c r="D41" s="23">
        <v>141213</v>
      </c>
      <c r="E41" s="90">
        <f t="shared" si="8"/>
        <v>-0.49164028807546045</v>
      </c>
      <c r="F41" s="76">
        <v>436802</v>
      </c>
      <c r="G41" s="76">
        <v>741920</v>
      </c>
      <c r="H41" s="94">
        <f t="shared" si="9"/>
        <v>-0.41125458270433468</v>
      </c>
      <c r="I41" s="4"/>
      <c r="J41" s="4"/>
    </row>
    <row r="42" spans="1:10" ht="18.75" customHeight="1" thickBot="1">
      <c r="A42" s="132" t="s">
        <v>24</v>
      </c>
      <c r="B42" s="133"/>
      <c r="C42" s="63">
        <f>SUM(C20:C41)</f>
        <v>3897908</v>
      </c>
      <c r="D42" s="63">
        <f>SUM(D20:D41)</f>
        <v>7595282</v>
      </c>
      <c r="E42" s="91">
        <f>IF(D42,(C42-D42)/D42,0)</f>
        <v>-0.48679877850486658</v>
      </c>
      <c r="F42" s="77">
        <f>SUM(F20:F41)</f>
        <v>131138762</v>
      </c>
      <c r="G42" s="77">
        <f>SUM(G20:G41)</f>
        <v>188406906</v>
      </c>
      <c r="H42" s="91">
        <f>IF(G42,(F42-G42)/G42,0)</f>
        <v>-0.30395989837017973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91" priority="13" operator="greaterThanOrEqual">
      <formula>0</formula>
    </cfRule>
    <cfRule type="cellIs" dxfId="90" priority="14" operator="lessThan">
      <formula>0</formula>
    </cfRule>
  </conditionalFormatting>
  <conditionalFormatting sqref="E13">
    <cfRule type="cellIs" dxfId="89" priority="3" operator="greaterThanOrEqual">
      <formula>0</formula>
    </cfRule>
    <cfRule type="cellIs" dxfId="88" priority="4" operator="lessThan">
      <formula>0</formula>
    </cfRule>
  </conditionalFormatting>
  <conditionalFormatting sqref="E20:E41">
    <cfRule type="cellIs" dxfId="87" priority="1" operator="greaterThanOrEqual">
      <formula>0</formula>
    </cfRule>
    <cfRule type="cellIs" dxfId="86" priority="2" operator="lessThan">
      <formula>0</formula>
    </cfRule>
  </conditionalFormatting>
  <conditionalFormatting sqref="H5:H10">
    <cfRule type="cellIs" dxfId="85" priority="11" operator="greaterThanOrEqual">
      <formula>0</formula>
    </cfRule>
    <cfRule type="cellIs" dxfId="84" priority="12" operator="lessThan">
      <formula>0</formula>
    </cfRule>
  </conditionalFormatting>
  <conditionalFormatting sqref="H13">
    <cfRule type="cellIs" dxfId="83" priority="7" operator="greaterThanOrEqual">
      <formula>0</formula>
    </cfRule>
    <cfRule type="cellIs" dxfId="82" priority="8" operator="lessThan">
      <formula>0</formula>
    </cfRule>
  </conditionalFormatting>
  <conditionalFormatting sqref="K5:K10">
    <cfRule type="cellIs" dxfId="81" priority="9" operator="greaterThanOrEqual">
      <formula>0</formula>
    </cfRule>
    <cfRule type="cellIs" dxfId="80" priority="10" operator="lessThan">
      <formula>0</formula>
    </cfRule>
  </conditionalFormatting>
  <conditionalFormatting sqref="K13">
    <cfRule type="cellIs" dxfId="79" priority="5" operator="greaterThanOrEqual">
      <formula>0</formula>
    </cfRule>
    <cfRule type="cellIs" dxfId="78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0.39997558519241921"/>
    <pageSetUpPr fitToPage="1"/>
  </sheetPr>
  <dimension ref="A1:J89"/>
  <sheetViews>
    <sheetView topLeftCell="A22" zoomScaleNormal="100" workbookViewId="0">
      <selection activeCell="K21" sqref="K21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1.75" style="3" customWidth="1"/>
    <col min="11" max="12" width="9.75" style="3" customWidth="1"/>
    <col min="13" max="256" width="8.875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8.875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8.875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8.875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8.875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8.875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8.875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8.875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8.875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8.875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8.875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8.875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8.875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8.875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8.875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8.875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8.875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8.875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8.875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8.875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8.875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8.875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8.875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8.875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8.875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8.875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8.875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8.875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8.875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8.875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8.875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8.875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8.875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8.875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8.875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8.875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8.875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8.875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8.875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8.875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8.875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8.875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8.875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8.875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8.875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8.875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8.875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8.875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8.875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8.875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8.875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8.875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8.875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8.875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8.875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8.875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8.875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8.875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8.875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8.875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8.875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8.875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8.875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8.875" style="3"/>
  </cols>
  <sheetData>
    <row r="1" spans="1:10" s="1" customFormat="1" ht="31.15" customHeight="1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0</v>
      </c>
      <c r="B3" s="6" t="s">
        <v>1</v>
      </c>
      <c r="C3" s="7" t="s">
        <v>112</v>
      </c>
      <c r="D3" s="8" t="s">
        <v>113</v>
      </c>
      <c r="E3" s="9" t="s">
        <v>2</v>
      </c>
      <c r="F3" s="10" t="s">
        <v>114</v>
      </c>
      <c r="G3" s="11" t="s">
        <v>115</v>
      </c>
      <c r="H3" s="9" t="s">
        <v>3</v>
      </c>
      <c r="I3" s="12" t="s">
        <v>4</v>
      </c>
      <c r="J3" s="12" t="s">
        <v>5</v>
      </c>
    </row>
    <row r="4" spans="1:10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8</v>
      </c>
      <c r="B5" s="22" t="s">
        <v>9</v>
      </c>
      <c r="C5" s="23">
        <v>7640</v>
      </c>
      <c r="D5" s="23">
        <v>885</v>
      </c>
      <c r="E5" s="84">
        <v>6755</v>
      </c>
      <c r="F5" s="23">
        <v>1539087</v>
      </c>
      <c r="G5" s="23">
        <v>55481</v>
      </c>
      <c r="H5" s="84">
        <v>1483606</v>
      </c>
      <c r="I5" s="25">
        <v>201.45117801047121</v>
      </c>
      <c r="J5" s="25">
        <v>62.690395480225988</v>
      </c>
    </row>
    <row r="6" spans="1:10" ht="16.5">
      <c r="A6" s="26" t="s">
        <v>10</v>
      </c>
      <c r="B6" s="27" t="s">
        <v>11</v>
      </c>
      <c r="C6" s="23">
        <v>169</v>
      </c>
      <c r="D6" s="23">
        <v>637</v>
      </c>
      <c r="E6" s="84">
        <v>-468</v>
      </c>
      <c r="F6" s="23">
        <v>186386</v>
      </c>
      <c r="G6" s="23">
        <v>100827</v>
      </c>
      <c r="H6" s="84">
        <v>85559</v>
      </c>
      <c r="I6" s="25">
        <v>1102.8757396449705</v>
      </c>
      <c r="J6" s="25">
        <v>158.28414442700156</v>
      </c>
    </row>
    <row r="7" spans="1:10" ht="16.5">
      <c r="A7" s="21" t="s">
        <v>12</v>
      </c>
      <c r="B7" s="28" t="s">
        <v>13</v>
      </c>
      <c r="C7" s="29">
        <v>0</v>
      </c>
      <c r="D7" s="23">
        <v>1954</v>
      </c>
      <c r="E7" s="84">
        <v>-1954</v>
      </c>
      <c r="F7" s="23">
        <v>0</v>
      </c>
      <c r="G7" s="23">
        <v>138024</v>
      </c>
      <c r="H7" s="84">
        <v>-138024</v>
      </c>
      <c r="I7" s="25">
        <v>0</v>
      </c>
      <c r="J7" s="25">
        <v>70.636642784032759</v>
      </c>
    </row>
    <row r="8" spans="1:10" ht="16.5">
      <c r="A8" s="21" t="s">
        <v>14</v>
      </c>
      <c r="B8" s="28" t="s">
        <v>15</v>
      </c>
      <c r="C8" s="23">
        <v>67</v>
      </c>
      <c r="D8" s="23">
        <v>2169</v>
      </c>
      <c r="E8" s="84">
        <v>-2102</v>
      </c>
      <c r="F8" s="23">
        <v>26698</v>
      </c>
      <c r="G8" s="23">
        <v>309342</v>
      </c>
      <c r="H8" s="84">
        <v>-282644</v>
      </c>
      <c r="I8" s="25">
        <v>398.47761194029852</v>
      </c>
      <c r="J8" s="25">
        <v>142.61964038727524</v>
      </c>
    </row>
    <row r="9" spans="1:10" ht="16.5">
      <c r="A9" s="21" t="s">
        <v>16</v>
      </c>
      <c r="B9" s="28" t="s">
        <v>17</v>
      </c>
      <c r="C9" s="23">
        <v>559</v>
      </c>
      <c r="D9" s="23">
        <v>793</v>
      </c>
      <c r="E9" s="84">
        <v>-234</v>
      </c>
      <c r="F9" s="23">
        <v>992350</v>
      </c>
      <c r="G9" s="23">
        <v>108842</v>
      </c>
      <c r="H9" s="84">
        <v>883508</v>
      </c>
      <c r="I9" s="25">
        <v>1775.2236135957066</v>
      </c>
      <c r="J9" s="25">
        <v>137.25346784363177</v>
      </c>
    </row>
    <row r="10" spans="1:10" ht="16.5">
      <c r="A10" s="21" t="s">
        <v>18</v>
      </c>
      <c r="B10" s="28" t="s">
        <v>19</v>
      </c>
      <c r="C10" s="23">
        <v>3964</v>
      </c>
      <c r="D10" s="23">
        <v>859</v>
      </c>
      <c r="E10" s="84">
        <v>3105</v>
      </c>
      <c r="F10" s="23">
        <v>5481915</v>
      </c>
      <c r="G10" s="23">
        <v>231930</v>
      </c>
      <c r="H10" s="86">
        <v>5249985</v>
      </c>
      <c r="I10" s="25">
        <v>1382.9250756811302</v>
      </c>
      <c r="J10" s="25">
        <v>270</v>
      </c>
    </row>
    <row r="11" spans="1:10" ht="17.25" thickBot="1">
      <c r="A11" s="48" t="s">
        <v>20</v>
      </c>
      <c r="B11" s="70" t="s">
        <v>21</v>
      </c>
      <c r="C11" s="63">
        <v>12399</v>
      </c>
      <c r="D11" s="63">
        <v>7297</v>
      </c>
      <c r="E11" s="80">
        <v>5102</v>
      </c>
      <c r="F11" s="63">
        <v>8226436</v>
      </c>
      <c r="G11" s="63">
        <v>944446</v>
      </c>
      <c r="H11" s="82">
        <v>7281990</v>
      </c>
      <c r="I11" s="72">
        <v>663.47576417453024</v>
      </c>
      <c r="J11" s="72">
        <v>129.4293545292586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22</v>
      </c>
      <c r="B13" s="22" t="s">
        <v>23</v>
      </c>
      <c r="C13" s="23">
        <v>2</v>
      </c>
      <c r="D13" s="23">
        <v>10</v>
      </c>
      <c r="E13" s="84">
        <v>-8</v>
      </c>
      <c r="F13" s="23">
        <v>2186</v>
      </c>
      <c r="G13" s="23">
        <v>1124</v>
      </c>
      <c r="H13" s="84">
        <v>1062</v>
      </c>
      <c r="I13" s="25">
        <v>1093</v>
      </c>
      <c r="J13" s="25">
        <v>112.4</v>
      </c>
    </row>
    <row r="14" spans="1:10" ht="17.25" thickBot="1">
      <c r="A14" s="30" t="s">
        <v>24</v>
      </c>
      <c r="B14" s="36" t="s">
        <v>25</v>
      </c>
      <c r="C14" s="31">
        <v>12401</v>
      </c>
      <c r="D14" s="31">
        <v>7307</v>
      </c>
      <c r="E14" s="81">
        <v>5094</v>
      </c>
      <c r="F14" s="31">
        <v>8228622</v>
      </c>
      <c r="G14" s="31">
        <v>945570</v>
      </c>
      <c r="H14" s="83">
        <v>7283052</v>
      </c>
      <c r="I14" s="32">
        <v>663.54503669058943</v>
      </c>
      <c r="J14" s="32">
        <v>129.40604899411522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107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112</v>
      </c>
      <c r="D18" s="8" t="s">
        <v>113</v>
      </c>
      <c r="E18" s="9" t="s">
        <v>2</v>
      </c>
      <c r="F18" s="10" t="s">
        <v>114</v>
      </c>
      <c r="G18" s="11" t="s">
        <v>115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28</v>
      </c>
      <c r="B20" s="22" t="s">
        <v>29</v>
      </c>
      <c r="C20" s="23">
        <v>224</v>
      </c>
      <c r="D20" s="23">
        <v>2297</v>
      </c>
      <c r="E20" s="24">
        <v>-2073</v>
      </c>
      <c r="F20" s="23">
        <v>17621</v>
      </c>
      <c r="G20" s="23">
        <v>98100</v>
      </c>
      <c r="H20" s="24">
        <v>-80479</v>
      </c>
      <c r="I20" s="4"/>
      <c r="J20" s="4"/>
    </row>
    <row r="21" spans="1:10">
      <c r="A21" s="46" t="s">
        <v>30</v>
      </c>
      <c r="B21" s="22" t="s">
        <v>31</v>
      </c>
      <c r="C21" s="23">
        <v>461</v>
      </c>
      <c r="D21" s="23">
        <v>772</v>
      </c>
      <c r="E21" s="24">
        <v>-311</v>
      </c>
      <c r="F21" s="23">
        <v>68863</v>
      </c>
      <c r="G21" s="23">
        <v>95305</v>
      </c>
      <c r="H21" s="24">
        <v>-26442</v>
      </c>
      <c r="I21" s="4"/>
      <c r="J21" s="4"/>
    </row>
    <row r="22" spans="1:10">
      <c r="A22" s="46" t="s">
        <v>32</v>
      </c>
      <c r="B22" s="22" t="s">
        <v>33</v>
      </c>
      <c r="C22" s="23">
        <v>93623</v>
      </c>
      <c r="D22" s="23">
        <v>448432</v>
      </c>
      <c r="E22" s="24">
        <v>-354809</v>
      </c>
      <c r="F22" s="23">
        <v>3906852</v>
      </c>
      <c r="G22" s="23">
        <v>19623999</v>
      </c>
      <c r="H22" s="24">
        <v>-15717147</v>
      </c>
      <c r="I22" s="4"/>
      <c r="J22" s="4"/>
    </row>
    <row r="23" spans="1:10">
      <c r="A23" s="46" t="s">
        <v>34</v>
      </c>
      <c r="B23" s="22" t="s">
        <v>35</v>
      </c>
      <c r="C23" s="23">
        <v>14958</v>
      </c>
      <c r="D23" s="23">
        <v>62131</v>
      </c>
      <c r="E23" s="24">
        <v>-47173</v>
      </c>
      <c r="F23" s="23">
        <v>168299</v>
      </c>
      <c r="G23" s="23">
        <v>4443087</v>
      </c>
      <c r="H23" s="24">
        <v>-4274788</v>
      </c>
      <c r="I23" s="4"/>
      <c r="J23" s="4"/>
    </row>
    <row r="24" spans="1:10">
      <c r="A24" s="46" t="s">
        <v>36</v>
      </c>
      <c r="B24" s="22" t="s">
        <v>37</v>
      </c>
      <c r="C24" s="23">
        <v>5282</v>
      </c>
      <c r="D24" s="23">
        <v>1856</v>
      </c>
      <c r="E24" s="24">
        <v>3426</v>
      </c>
      <c r="F24" s="23">
        <v>136932</v>
      </c>
      <c r="G24" s="23">
        <v>80690</v>
      </c>
      <c r="H24" s="24">
        <v>56242</v>
      </c>
      <c r="I24" s="4"/>
      <c r="J24" s="4"/>
    </row>
    <row r="25" spans="1:10">
      <c r="A25" s="46" t="s">
        <v>38</v>
      </c>
      <c r="B25" s="22" t="s">
        <v>39</v>
      </c>
      <c r="C25" s="23">
        <v>3179</v>
      </c>
      <c r="D25" s="23">
        <v>6892</v>
      </c>
      <c r="E25" s="24">
        <v>-3713</v>
      </c>
      <c r="F25" s="23">
        <v>312123</v>
      </c>
      <c r="G25" s="23">
        <v>81980</v>
      </c>
      <c r="H25" s="24">
        <v>230143</v>
      </c>
      <c r="I25" s="4"/>
      <c r="J25" s="4"/>
    </row>
    <row r="26" spans="1:10">
      <c r="A26" s="46" t="s">
        <v>40</v>
      </c>
      <c r="B26" s="22" t="s">
        <v>41</v>
      </c>
      <c r="C26" s="23">
        <v>3402</v>
      </c>
      <c r="D26" s="23">
        <v>31109</v>
      </c>
      <c r="E26" s="24">
        <v>-27707</v>
      </c>
      <c r="F26" s="23">
        <v>487116</v>
      </c>
      <c r="G26" s="23">
        <v>943513</v>
      </c>
      <c r="H26" s="24">
        <v>-456397</v>
      </c>
      <c r="I26" s="4"/>
      <c r="J26" s="4"/>
    </row>
    <row r="27" spans="1:10">
      <c r="A27" s="46" t="s">
        <v>42</v>
      </c>
      <c r="B27" s="22" t="s">
        <v>43</v>
      </c>
      <c r="C27" s="23">
        <v>713</v>
      </c>
      <c r="D27" s="23">
        <v>197</v>
      </c>
      <c r="E27" s="24">
        <v>516</v>
      </c>
      <c r="F27" s="23">
        <v>32130</v>
      </c>
      <c r="G27" s="23">
        <v>3677</v>
      </c>
      <c r="H27" s="24">
        <v>28453</v>
      </c>
      <c r="I27" s="4"/>
      <c r="J27" s="4"/>
    </row>
    <row r="28" spans="1:10">
      <c r="A28" s="46" t="s">
        <v>44</v>
      </c>
      <c r="B28" s="22" t="s">
        <v>45</v>
      </c>
      <c r="C28" s="23">
        <v>443</v>
      </c>
      <c r="D28" s="23">
        <v>3596</v>
      </c>
      <c r="E28" s="24">
        <v>-3153</v>
      </c>
      <c r="F28" s="23">
        <v>9871</v>
      </c>
      <c r="G28" s="23">
        <v>22284</v>
      </c>
      <c r="H28" s="24">
        <v>-12413</v>
      </c>
      <c r="I28" s="4"/>
      <c r="J28" s="4"/>
    </row>
    <row r="29" spans="1:10">
      <c r="A29" s="46" t="s">
        <v>46</v>
      </c>
      <c r="B29" s="22" t="s">
        <v>47</v>
      </c>
      <c r="C29" s="23">
        <v>51753</v>
      </c>
      <c r="D29" s="23">
        <v>52274</v>
      </c>
      <c r="E29" s="24">
        <v>-521</v>
      </c>
      <c r="F29" s="23">
        <v>2825241</v>
      </c>
      <c r="G29" s="23">
        <v>827490</v>
      </c>
      <c r="H29" s="24">
        <v>1997751</v>
      </c>
      <c r="I29" s="4"/>
      <c r="J29" s="4"/>
    </row>
    <row r="30" spans="1:10">
      <c r="A30" s="46" t="s">
        <v>48</v>
      </c>
      <c r="B30" s="22" t="s">
        <v>49</v>
      </c>
      <c r="C30" s="23">
        <v>4152</v>
      </c>
      <c r="D30" s="23">
        <v>48895</v>
      </c>
      <c r="E30" s="24">
        <v>-44743</v>
      </c>
      <c r="F30" s="23">
        <v>133854</v>
      </c>
      <c r="G30" s="23">
        <v>479771</v>
      </c>
      <c r="H30" s="24">
        <v>-345917</v>
      </c>
      <c r="I30" s="4"/>
      <c r="J30" s="4"/>
    </row>
    <row r="31" spans="1:10">
      <c r="A31" s="46" t="s">
        <v>50</v>
      </c>
      <c r="B31" s="22" t="s">
        <v>51</v>
      </c>
      <c r="C31" s="23">
        <v>7691</v>
      </c>
      <c r="D31" s="23">
        <v>13787</v>
      </c>
      <c r="E31" s="24">
        <v>-6096</v>
      </c>
      <c r="F31" s="23">
        <v>137463</v>
      </c>
      <c r="G31" s="23">
        <v>81103</v>
      </c>
      <c r="H31" s="24">
        <v>56360</v>
      </c>
      <c r="I31" s="4"/>
      <c r="J31" s="4"/>
    </row>
    <row r="32" spans="1:10">
      <c r="A32" s="46" t="s">
        <v>52</v>
      </c>
      <c r="B32" s="22" t="s">
        <v>53</v>
      </c>
      <c r="C32" s="23">
        <v>28640</v>
      </c>
      <c r="D32" s="23">
        <v>36515</v>
      </c>
      <c r="E32" s="24">
        <v>-7875</v>
      </c>
      <c r="F32" s="23">
        <v>1066384</v>
      </c>
      <c r="G32" s="23">
        <v>535282</v>
      </c>
      <c r="H32" s="24">
        <v>531102</v>
      </c>
      <c r="I32" s="4"/>
      <c r="J32" s="4"/>
    </row>
    <row r="33" spans="1:10">
      <c r="A33" s="46" t="s">
        <v>54</v>
      </c>
      <c r="B33" s="22" t="s">
        <v>55</v>
      </c>
      <c r="C33" s="23">
        <v>11114</v>
      </c>
      <c r="D33" s="23">
        <v>26979</v>
      </c>
      <c r="E33" s="24">
        <v>-15865</v>
      </c>
      <c r="F33" s="23">
        <v>299867</v>
      </c>
      <c r="G33" s="23">
        <v>125372</v>
      </c>
      <c r="H33" s="24">
        <v>174495</v>
      </c>
      <c r="I33" s="4"/>
      <c r="J33" s="4"/>
    </row>
    <row r="34" spans="1:10">
      <c r="A34" s="46" t="s">
        <v>56</v>
      </c>
      <c r="B34" s="22" t="s">
        <v>57</v>
      </c>
      <c r="C34" s="23">
        <v>16190</v>
      </c>
      <c r="D34" s="23">
        <v>7099</v>
      </c>
      <c r="E34" s="24">
        <v>9091</v>
      </c>
      <c r="F34" s="23">
        <v>1829149</v>
      </c>
      <c r="G34" s="23">
        <v>205199</v>
      </c>
      <c r="H34" s="24">
        <v>1623950</v>
      </c>
      <c r="I34" s="4"/>
      <c r="J34" s="4"/>
    </row>
    <row r="35" spans="1:10">
      <c r="A35" s="46" t="s">
        <v>58</v>
      </c>
      <c r="B35" s="22" t="s">
        <v>59</v>
      </c>
      <c r="C35" s="23">
        <v>38312</v>
      </c>
      <c r="D35" s="23">
        <v>10222</v>
      </c>
      <c r="E35" s="24">
        <v>28090</v>
      </c>
      <c r="F35" s="23">
        <v>1227289</v>
      </c>
      <c r="G35" s="23">
        <v>133487</v>
      </c>
      <c r="H35" s="24">
        <v>1093802</v>
      </c>
      <c r="I35" s="4"/>
      <c r="J35" s="4"/>
    </row>
    <row r="36" spans="1:10">
      <c r="A36" s="46" t="s">
        <v>60</v>
      </c>
      <c r="B36" s="22" t="s">
        <v>61</v>
      </c>
      <c r="C36" s="23">
        <v>2596</v>
      </c>
      <c r="D36" s="47">
        <v>17</v>
      </c>
      <c r="E36" s="24">
        <v>2579</v>
      </c>
      <c r="F36" s="23">
        <v>44088</v>
      </c>
      <c r="G36" s="23">
        <v>30</v>
      </c>
      <c r="H36" s="24">
        <v>44058</v>
      </c>
      <c r="I36" s="4"/>
      <c r="J36" s="4"/>
    </row>
    <row r="37" spans="1:10">
      <c r="A37" s="46" t="s">
        <v>62</v>
      </c>
      <c r="B37" s="22" t="s">
        <v>63</v>
      </c>
      <c r="C37" s="23">
        <v>3397</v>
      </c>
      <c r="D37" s="23">
        <v>11571</v>
      </c>
      <c r="E37" s="24">
        <v>-8174</v>
      </c>
      <c r="F37" s="23">
        <v>137929</v>
      </c>
      <c r="G37" s="23">
        <v>243326</v>
      </c>
      <c r="H37" s="24">
        <v>-105397</v>
      </c>
      <c r="I37" s="4"/>
      <c r="J37" s="4"/>
    </row>
    <row r="38" spans="1:10">
      <c r="A38" s="46" t="s">
        <v>64</v>
      </c>
      <c r="B38" s="22" t="s">
        <v>65</v>
      </c>
      <c r="C38" s="23">
        <v>5759</v>
      </c>
      <c r="D38" s="23">
        <v>24586</v>
      </c>
      <c r="E38" s="24">
        <v>-18827</v>
      </c>
      <c r="F38" s="23">
        <v>203744</v>
      </c>
      <c r="G38" s="23">
        <v>820638</v>
      </c>
      <c r="H38" s="24">
        <v>-616894</v>
      </c>
      <c r="I38" s="4"/>
      <c r="J38" s="4"/>
    </row>
    <row r="39" spans="1:10">
      <c r="A39" s="46" t="s">
        <v>66</v>
      </c>
      <c r="B39" s="22" t="s">
        <v>67</v>
      </c>
      <c r="C39" s="23">
        <v>8762</v>
      </c>
      <c r="D39" s="23">
        <v>36846</v>
      </c>
      <c r="E39" s="24">
        <v>-28084</v>
      </c>
      <c r="F39" s="23">
        <v>307285</v>
      </c>
      <c r="G39" s="23">
        <v>1253065</v>
      </c>
      <c r="H39" s="24">
        <v>-945780</v>
      </c>
      <c r="I39" s="4"/>
      <c r="J39" s="4"/>
    </row>
    <row r="40" spans="1:10">
      <c r="A40" s="46" t="s">
        <v>68</v>
      </c>
      <c r="B40" s="22" t="s">
        <v>69</v>
      </c>
      <c r="C40" s="23">
        <v>64080</v>
      </c>
      <c r="D40" s="23">
        <v>79038</v>
      </c>
      <c r="E40" s="24">
        <v>-14958</v>
      </c>
      <c r="F40" s="23">
        <v>855151</v>
      </c>
      <c r="G40" s="23">
        <v>517332</v>
      </c>
      <c r="H40" s="24">
        <v>337819</v>
      </c>
      <c r="I40" s="4"/>
      <c r="J40" s="4"/>
    </row>
    <row r="41" spans="1:10">
      <c r="A41" s="46" t="s">
        <v>70</v>
      </c>
      <c r="B41" s="22" t="s">
        <v>71</v>
      </c>
      <c r="C41" s="23">
        <v>872</v>
      </c>
      <c r="D41" s="23">
        <v>24473</v>
      </c>
      <c r="E41" s="24">
        <v>-23601</v>
      </c>
      <c r="F41" s="23">
        <v>8944</v>
      </c>
      <c r="G41" s="23">
        <v>151569</v>
      </c>
      <c r="H41" s="24">
        <v>-142625</v>
      </c>
      <c r="I41" s="4"/>
      <c r="J41" s="4"/>
    </row>
    <row r="42" spans="1:10" ht="18.75" customHeight="1" thickBot="1">
      <c r="A42" s="48" t="s">
        <v>24</v>
      </c>
      <c r="B42" s="49"/>
      <c r="C42" s="50">
        <v>365603</v>
      </c>
      <c r="D42" s="50">
        <v>929584</v>
      </c>
      <c r="E42" s="51">
        <v>-563981</v>
      </c>
      <c r="F42" s="50">
        <v>14216195</v>
      </c>
      <c r="G42" s="50">
        <v>30766299</v>
      </c>
      <c r="H42" s="51">
        <v>-16550104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0.39997558519241921"/>
    <pageSetUpPr fitToPage="1"/>
  </sheetPr>
  <dimension ref="A1:K46"/>
  <sheetViews>
    <sheetView topLeftCell="A19" zoomScaleNormal="100" workbookViewId="0">
      <selection activeCell="B35" sqref="B35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8.875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8.875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8.875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8.875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8.875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8.875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8.875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8.875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8.875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8.875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8.875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8.875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8.875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8.875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8.875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8.875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8.875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8.875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8.875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8.875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8.875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8.875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8.875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8.875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8.875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8.875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8.875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8.875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8.875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8.875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8.875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8.875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8.875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8.875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8.875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8.875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8.875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8.875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8.875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8.875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8.875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8.875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8.875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8.875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8.875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8.875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8.875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8.875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8.875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8.875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8.875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8.875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8.875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8.875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8.875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8.875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8.875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8.875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8.875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8.875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8.875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8.875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8.875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8.875" style="3"/>
  </cols>
  <sheetData>
    <row r="1" spans="1:11" ht="34.15" customHeight="1">
      <c r="A1" s="134" t="s">
        <v>102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0</v>
      </c>
      <c r="B3" s="6" t="s">
        <v>1</v>
      </c>
      <c r="C3" s="7" t="s">
        <v>111</v>
      </c>
      <c r="D3" s="7" t="s">
        <v>109</v>
      </c>
      <c r="E3" s="9" t="s">
        <v>73</v>
      </c>
      <c r="F3" s="74" t="s">
        <v>111</v>
      </c>
      <c r="G3" s="74" t="s">
        <v>109</v>
      </c>
      <c r="H3" s="9" t="s">
        <v>73</v>
      </c>
      <c r="I3" s="56" t="s">
        <v>89</v>
      </c>
      <c r="J3" s="56" t="s">
        <v>88</v>
      </c>
      <c r="K3" s="57" t="s">
        <v>74</v>
      </c>
    </row>
    <row r="4" spans="1:11">
      <c r="A4" s="13"/>
      <c r="B4" s="14"/>
      <c r="C4" s="15" t="s">
        <v>75</v>
      </c>
      <c r="D4" s="15" t="s">
        <v>75</v>
      </c>
      <c r="E4" s="16" t="s">
        <v>76</v>
      </c>
      <c r="F4" s="75" t="s">
        <v>77</v>
      </c>
      <c r="G4" s="75" t="s">
        <v>77</v>
      </c>
      <c r="H4" s="16" t="s">
        <v>78</v>
      </c>
      <c r="I4" s="58" t="s">
        <v>7</v>
      </c>
      <c r="J4" s="14" t="s">
        <v>7</v>
      </c>
      <c r="K4" s="59" t="s">
        <v>79</v>
      </c>
    </row>
    <row r="5" spans="1:11" ht="16.5">
      <c r="A5" s="21" t="s">
        <v>8</v>
      </c>
      <c r="B5" s="22" t="s">
        <v>9</v>
      </c>
      <c r="C5" s="23">
        <v>11994</v>
      </c>
      <c r="D5" s="23">
        <v>129</v>
      </c>
      <c r="E5" s="89">
        <v>91.976744186046517</v>
      </c>
      <c r="F5" s="76">
        <v>2246832</v>
      </c>
      <c r="G5" s="76">
        <v>33585</v>
      </c>
      <c r="H5" s="90">
        <v>65.899866011612332</v>
      </c>
      <c r="I5" s="25">
        <v>187.3296648324162</v>
      </c>
      <c r="J5" s="25">
        <v>260.3488372093023</v>
      </c>
      <c r="K5" s="89">
        <v>-0.2804666737120235</v>
      </c>
    </row>
    <row r="6" spans="1:11" ht="16.5">
      <c r="A6" s="26" t="s">
        <v>10</v>
      </c>
      <c r="B6" s="27" t="s">
        <v>11</v>
      </c>
      <c r="C6" s="23">
        <v>197</v>
      </c>
      <c r="D6" s="23">
        <v>165</v>
      </c>
      <c r="E6" s="89">
        <v>0.19393939393939394</v>
      </c>
      <c r="F6" s="76">
        <v>238706</v>
      </c>
      <c r="G6" s="76">
        <v>196440</v>
      </c>
      <c r="H6" s="90">
        <v>0.21515984524536755</v>
      </c>
      <c r="I6" s="25">
        <v>1211.7055837563453</v>
      </c>
      <c r="J6" s="25">
        <v>1190.5454545454545</v>
      </c>
      <c r="K6" s="89">
        <v>1.7773474444089686E-2</v>
      </c>
    </row>
    <row r="7" spans="1:11" ht="16.5">
      <c r="A7" s="21" t="s">
        <v>12</v>
      </c>
      <c r="B7" s="28" t="s">
        <v>13</v>
      </c>
      <c r="C7" s="23">
        <v>0</v>
      </c>
      <c r="D7" s="23">
        <v>0</v>
      </c>
      <c r="E7" s="89">
        <v>0</v>
      </c>
      <c r="F7" s="76">
        <v>0</v>
      </c>
      <c r="G7" s="76">
        <v>0</v>
      </c>
      <c r="H7" s="90">
        <v>0</v>
      </c>
      <c r="I7" s="25">
        <v>0</v>
      </c>
      <c r="J7" s="25">
        <v>0</v>
      </c>
      <c r="K7" s="89">
        <v>0</v>
      </c>
    </row>
    <row r="8" spans="1:11" ht="16.5">
      <c r="A8" s="21" t="s">
        <v>14</v>
      </c>
      <c r="B8" s="28" t="s">
        <v>15</v>
      </c>
      <c r="C8" s="23">
        <v>223</v>
      </c>
      <c r="D8" s="23">
        <v>0</v>
      </c>
      <c r="E8" s="89">
        <v>0</v>
      </c>
      <c r="F8" s="76">
        <v>88136</v>
      </c>
      <c r="G8" s="76">
        <v>0</v>
      </c>
      <c r="H8" s="90">
        <v>0</v>
      </c>
      <c r="I8" s="25">
        <v>395.22869955156949</v>
      </c>
      <c r="J8" s="25">
        <v>0</v>
      </c>
      <c r="K8" s="89">
        <v>0</v>
      </c>
    </row>
    <row r="9" spans="1:11" ht="16.5">
      <c r="A9" s="21" t="s">
        <v>16</v>
      </c>
      <c r="B9" s="28" t="s">
        <v>17</v>
      </c>
      <c r="C9" s="23">
        <v>1024</v>
      </c>
      <c r="D9" s="23">
        <v>700</v>
      </c>
      <c r="E9" s="89">
        <v>0.46285714285714286</v>
      </c>
      <c r="F9" s="76">
        <v>1667580</v>
      </c>
      <c r="G9" s="76">
        <v>1025459</v>
      </c>
      <c r="H9" s="90">
        <v>0.62617910613686167</v>
      </c>
      <c r="I9" s="25">
        <v>1628.49609375</v>
      </c>
      <c r="J9" s="25">
        <v>1464.9414285714286</v>
      </c>
      <c r="K9" s="89">
        <v>0.11164587333574527</v>
      </c>
    </row>
    <row r="10" spans="1:11" ht="16.5">
      <c r="A10" s="21" t="s">
        <v>18</v>
      </c>
      <c r="B10" s="28" t="s">
        <v>19</v>
      </c>
      <c r="C10" s="23">
        <v>7733</v>
      </c>
      <c r="D10" s="23">
        <v>2848</v>
      </c>
      <c r="E10" s="89">
        <v>1.7152387640449438</v>
      </c>
      <c r="F10" s="76">
        <v>10941946</v>
      </c>
      <c r="G10" s="76">
        <v>3831788</v>
      </c>
      <c r="H10" s="90">
        <v>1.8555718635790914</v>
      </c>
      <c r="I10" s="25">
        <v>1414.9678003362214</v>
      </c>
      <c r="J10" s="25">
        <v>1345.431179775281</v>
      </c>
      <c r="K10" s="89">
        <v>5.1683520945719992E-2</v>
      </c>
    </row>
    <row r="11" spans="1:11" ht="17.25" thickBot="1">
      <c r="A11" s="30" t="s">
        <v>20</v>
      </c>
      <c r="B11" s="70" t="s">
        <v>21</v>
      </c>
      <c r="C11" s="63">
        <v>21171</v>
      </c>
      <c r="D11" s="63">
        <v>3842</v>
      </c>
      <c r="E11" s="91">
        <v>4.5104112441436754</v>
      </c>
      <c r="F11" s="77">
        <v>15183200</v>
      </c>
      <c r="G11" s="77">
        <v>5087272</v>
      </c>
      <c r="H11" s="91">
        <v>1.9845465310288106</v>
      </c>
      <c r="I11" s="71">
        <v>717.16971328704358</v>
      </c>
      <c r="J11" s="72">
        <v>1324.1207704320666</v>
      </c>
      <c r="K11" s="91">
        <v>-0.458380436813911</v>
      </c>
    </row>
    <row r="12" spans="1:11" ht="11.25" customHeight="1" thickTop="1">
      <c r="A12" s="33"/>
      <c r="B12" s="34"/>
      <c r="E12" s="68"/>
      <c r="F12" s="78"/>
      <c r="G12" s="78"/>
      <c r="H12" s="68"/>
      <c r="I12" s="60"/>
      <c r="J12" s="69"/>
      <c r="K12" s="61"/>
    </row>
    <row r="13" spans="1:11" ht="16.5">
      <c r="A13" s="21" t="s">
        <v>22</v>
      </c>
      <c r="B13" s="22" t="s">
        <v>23</v>
      </c>
      <c r="C13" s="23">
        <v>2</v>
      </c>
      <c r="D13" s="23">
        <v>0</v>
      </c>
      <c r="E13" s="89">
        <v>0</v>
      </c>
      <c r="F13" s="76">
        <v>2186</v>
      </c>
      <c r="G13" s="76">
        <v>0</v>
      </c>
      <c r="H13" s="92">
        <v>0</v>
      </c>
      <c r="I13" s="25">
        <v>1093</v>
      </c>
      <c r="J13" s="25">
        <v>0</v>
      </c>
      <c r="K13" s="89">
        <v>0</v>
      </c>
    </row>
    <row r="14" spans="1:11" ht="17.25" thickBot="1">
      <c r="A14" s="30" t="s">
        <v>24</v>
      </c>
      <c r="B14" s="36" t="s">
        <v>80</v>
      </c>
      <c r="C14" s="31">
        <v>21173</v>
      </c>
      <c r="D14" s="31">
        <v>3842</v>
      </c>
      <c r="E14" s="91">
        <v>4.5109318063508592</v>
      </c>
      <c r="F14" s="79">
        <v>15185386</v>
      </c>
      <c r="G14" s="79">
        <v>5087272</v>
      </c>
      <c r="H14" s="93">
        <v>1.9849762308758014</v>
      </c>
      <c r="I14" s="32">
        <v>717.20521418788076</v>
      </c>
      <c r="J14" s="62">
        <v>1324.1207704320666</v>
      </c>
      <c r="K14" s="88">
        <v>-0.45835362589029288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103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111</v>
      </c>
      <c r="D18" s="7" t="s">
        <v>109</v>
      </c>
      <c r="E18" s="9" t="s">
        <v>73</v>
      </c>
      <c r="F18" s="74" t="s">
        <v>111</v>
      </c>
      <c r="G18" s="74" t="s">
        <v>109</v>
      </c>
      <c r="H18" s="9" t="s">
        <v>73</v>
      </c>
      <c r="I18" s="44"/>
      <c r="J18" s="44"/>
    </row>
    <row r="19" spans="1:10">
      <c r="A19" s="13"/>
      <c r="B19" s="14"/>
      <c r="C19" s="15" t="s">
        <v>81</v>
      </c>
      <c r="D19" s="15" t="s">
        <v>81</v>
      </c>
      <c r="E19" s="16" t="s">
        <v>76</v>
      </c>
      <c r="F19" s="75" t="s">
        <v>77</v>
      </c>
      <c r="G19" s="75" t="s">
        <v>77</v>
      </c>
      <c r="H19" s="16" t="s">
        <v>82</v>
      </c>
      <c r="I19" s="45"/>
      <c r="J19" s="44"/>
    </row>
    <row r="20" spans="1:10">
      <c r="A20" s="46" t="s">
        <v>28</v>
      </c>
      <c r="B20" s="22" t="s">
        <v>29</v>
      </c>
      <c r="C20" s="23">
        <v>446</v>
      </c>
      <c r="D20" s="23">
        <v>1376</v>
      </c>
      <c r="E20" s="90">
        <v>-0.67587209302325579</v>
      </c>
      <c r="F20" s="76">
        <v>46118</v>
      </c>
      <c r="G20" s="76">
        <v>159519</v>
      </c>
      <c r="H20" s="94">
        <v>-0.71089337320319212</v>
      </c>
      <c r="I20" s="4"/>
      <c r="J20" s="4"/>
    </row>
    <row r="21" spans="1:10">
      <c r="A21" s="46" t="s">
        <v>30</v>
      </c>
      <c r="B21" s="22" t="s">
        <v>31</v>
      </c>
      <c r="C21" s="23">
        <v>597</v>
      </c>
      <c r="D21" s="23">
        <v>105</v>
      </c>
      <c r="E21" s="90">
        <v>4.6857142857142859</v>
      </c>
      <c r="F21" s="76">
        <v>90007</v>
      </c>
      <c r="G21" s="76">
        <v>4135</v>
      </c>
      <c r="H21" s="94">
        <v>20.767110036275696</v>
      </c>
      <c r="I21" s="4"/>
      <c r="J21" s="4"/>
    </row>
    <row r="22" spans="1:10">
      <c r="A22" s="46" t="s">
        <v>32</v>
      </c>
      <c r="B22" s="22" t="s">
        <v>33</v>
      </c>
      <c r="C22" s="23">
        <v>176326</v>
      </c>
      <c r="D22" s="23">
        <v>394144</v>
      </c>
      <c r="E22" s="90">
        <v>-0.55263558496387111</v>
      </c>
      <c r="F22" s="76">
        <v>7819171</v>
      </c>
      <c r="G22" s="76">
        <v>14022288</v>
      </c>
      <c r="H22" s="94">
        <v>-0.44237552388026835</v>
      </c>
      <c r="I22" s="4"/>
      <c r="J22" s="4"/>
    </row>
    <row r="23" spans="1:10">
      <c r="A23" s="46" t="s">
        <v>34</v>
      </c>
      <c r="B23" s="22" t="s">
        <v>35</v>
      </c>
      <c r="C23" s="23">
        <v>17305</v>
      </c>
      <c r="D23" s="23">
        <v>28414</v>
      </c>
      <c r="E23" s="90">
        <v>-0.39096924051523896</v>
      </c>
      <c r="F23" s="76">
        <v>230620</v>
      </c>
      <c r="G23" s="76">
        <v>339779</v>
      </c>
      <c r="H23" s="94">
        <v>-0.32126470441080818</v>
      </c>
      <c r="I23" s="4"/>
      <c r="J23" s="4"/>
    </row>
    <row r="24" spans="1:10">
      <c r="A24" s="46" t="s">
        <v>36</v>
      </c>
      <c r="B24" s="22" t="s">
        <v>37</v>
      </c>
      <c r="C24" s="23">
        <v>6916</v>
      </c>
      <c r="D24" s="23">
        <v>25513</v>
      </c>
      <c r="E24" s="90">
        <v>-0.72892251009289377</v>
      </c>
      <c r="F24" s="76">
        <v>182324</v>
      </c>
      <c r="G24" s="76">
        <v>580283</v>
      </c>
      <c r="H24" s="94">
        <v>-0.68580158302069849</v>
      </c>
      <c r="I24" s="4"/>
      <c r="J24" s="4"/>
    </row>
    <row r="25" spans="1:10">
      <c r="A25" s="46" t="s">
        <v>38</v>
      </c>
      <c r="B25" s="22" t="s">
        <v>39</v>
      </c>
      <c r="C25" s="23">
        <v>8916</v>
      </c>
      <c r="D25" s="23">
        <v>2646</v>
      </c>
      <c r="E25" s="90">
        <v>2.3696145124716552</v>
      </c>
      <c r="F25" s="76">
        <v>839805</v>
      </c>
      <c r="G25" s="76">
        <v>206589</v>
      </c>
      <c r="H25" s="94">
        <v>3.0651002715536646</v>
      </c>
      <c r="I25" s="4"/>
      <c r="J25" s="4"/>
    </row>
    <row r="26" spans="1:10">
      <c r="A26" s="46" t="s">
        <v>40</v>
      </c>
      <c r="B26" s="22" t="s">
        <v>41</v>
      </c>
      <c r="C26" s="23">
        <v>5590</v>
      </c>
      <c r="D26" s="23">
        <v>14201</v>
      </c>
      <c r="E26" s="90">
        <v>-0.60636574889092321</v>
      </c>
      <c r="F26" s="76">
        <v>610712</v>
      </c>
      <c r="G26" s="76">
        <v>828124</v>
      </c>
      <c r="H26" s="94">
        <v>-0.26253556230709413</v>
      </c>
      <c r="I26" s="4"/>
      <c r="J26" s="4"/>
    </row>
    <row r="27" spans="1:10">
      <c r="A27" s="46" t="s">
        <v>116</v>
      </c>
      <c r="B27" s="22" t="s">
        <v>119</v>
      </c>
      <c r="C27" s="23">
        <v>1414</v>
      </c>
      <c r="D27" s="23">
        <v>0</v>
      </c>
      <c r="E27" s="90">
        <v>0</v>
      </c>
      <c r="F27" s="76">
        <v>65398</v>
      </c>
      <c r="G27" s="76">
        <v>0</v>
      </c>
      <c r="H27" s="94">
        <v>0</v>
      </c>
      <c r="I27" s="4"/>
      <c r="J27" s="4"/>
    </row>
    <row r="28" spans="1:10">
      <c r="A28" s="46" t="s">
        <v>44</v>
      </c>
      <c r="B28" s="22" t="s">
        <v>45</v>
      </c>
      <c r="C28" s="23">
        <v>443</v>
      </c>
      <c r="D28" s="23">
        <v>364</v>
      </c>
      <c r="E28" s="90">
        <v>0.21703296703296704</v>
      </c>
      <c r="F28" s="76">
        <v>9871</v>
      </c>
      <c r="G28" s="76">
        <v>7595</v>
      </c>
      <c r="H28" s="94">
        <v>0.29967083607636602</v>
      </c>
      <c r="I28" s="4"/>
      <c r="J28" s="4"/>
    </row>
    <row r="29" spans="1:10">
      <c r="A29" s="46" t="s">
        <v>46</v>
      </c>
      <c r="B29" s="22" t="s">
        <v>47</v>
      </c>
      <c r="C29" s="23">
        <v>103529</v>
      </c>
      <c r="D29" s="23">
        <v>332338</v>
      </c>
      <c r="E29" s="90">
        <v>-0.68848280966967368</v>
      </c>
      <c r="F29" s="76">
        <v>4948018</v>
      </c>
      <c r="G29" s="76">
        <v>10709641</v>
      </c>
      <c r="H29" s="94">
        <v>-0.53798469995399467</v>
      </c>
      <c r="I29" s="4"/>
      <c r="J29" s="4"/>
    </row>
    <row r="30" spans="1:10">
      <c r="A30" s="46" t="s">
        <v>48</v>
      </c>
      <c r="B30" s="22" t="s">
        <v>49</v>
      </c>
      <c r="C30" s="23">
        <v>5124</v>
      </c>
      <c r="D30" s="23">
        <v>4362</v>
      </c>
      <c r="E30" s="90">
        <v>0.17469050894085281</v>
      </c>
      <c r="F30" s="76">
        <v>178233</v>
      </c>
      <c r="G30" s="76">
        <v>175141</v>
      </c>
      <c r="H30" s="94">
        <v>1.765434706893303E-2</v>
      </c>
      <c r="I30" s="4"/>
      <c r="J30" s="4"/>
    </row>
    <row r="31" spans="1:10">
      <c r="A31" s="46" t="s">
        <v>50</v>
      </c>
      <c r="B31" s="22" t="s">
        <v>51</v>
      </c>
      <c r="C31" s="23">
        <v>9313</v>
      </c>
      <c r="D31" s="23">
        <v>50294</v>
      </c>
      <c r="E31" s="90">
        <v>-0.81482880661709145</v>
      </c>
      <c r="F31" s="76">
        <v>158737</v>
      </c>
      <c r="G31" s="76">
        <v>703609</v>
      </c>
      <c r="H31" s="94">
        <v>-0.77439600687313548</v>
      </c>
      <c r="I31" s="4"/>
      <c r="J31" s="4"/>
    </row>
    <row r="32" spans="1:10">
      <c r="A32" s="46" t="s">
        <v>52</v>
      </c>
      <c r="B32" s="22" t="s">
        <v>53</v>
      </c>
      <c r="C32" s="23">
        <v>40995</v>
      </c>
      <c r="D32" s="23">
        <v>67173</v>
      </c>
      <c r="E32" s="90">
        <v>-0.38971015140011611</v>
      </c>
      <c r="F32" s="76">
        <v>1671579</v>
      </c>
      <c r="G32" s="76">
        <v>2071518</v>
      </c>
      <c r="H32" s="94">
        <v>-0.19306566488922616</v>
      </c>
      <c r="I32" s="4"/>
      <c r="J32" s="4"/>
    </row>
    <row r="33" spans="1:10">
      <c r="A33" s="46" t="s">
        <v>54</v>
      </c>
      <c r="B33" s="22" t="s">
        <v>55</v>
      </c>
      <c r="C33" s="23">
        <v>15528</v>
      </c>
      <c r="D33" s="23">
        <v>16456</v>
      </c>
      <c r="E33" s="90">
        <v>-5.6392805055906658E-2</v>
      </c>
      <c r="F33" s="76">
        <v>418463</v>
      </c>
      <c r="G33" s="76">
        <v>348024</v>
      </c>
      <c r="H33" s="94">
        <v>0.20239696112911754</v>
      </c>
      <c r="I33" s="4"/>
      <c r="J33" s="4"/>
    </row>
    <row r="34" spans="1:10">
      <c r="A34" s="46" t="s">
        <v>56</v>
      </c>
      <c r="B34" s="22" t="s">
        <v>57</v>
      </c>
      <c r="C34" s="23">
        <v>24322</v>
      </c>
      <c r="D34" s="23">
        <v>30411</v>
      </c>
      <c r="E34" s="90">
        <v>-0.20022360330143699</v>
      </c>
      <c r="F34" s="76">
        <v>2523233</v>
      </c>
      <c r="G34" s="76">
        <v>2605908</v>
      </c>
      <c r="H34" s="94">
        <v>-3.1725985721675516E-2</v>
      </c>
      <c r="I34" s="4"/>
      <c r="J34" s="4"/>
    </row>
    <row r="35" spans="1:10">
      <c r="A35" s="46" t="s">
        <v>117</v>
      </c>
      <c r="B35" s="22" t="s">
        <v>118</v>
      </c>
      <c r="C35" s="23">
        <v>53878</v>
      </c>
      <c r="D35" s="23">
        <v>0</v>
      </c>
      <c r="E35" s="90">
        <v>0</v>
      </c>
      <c r="F35" s="76">
        <v>1683530</v>
      </c>
      <c r="G35" s="76">
        <v>0</v>
      </c>
      <c r="H35" s="94">
        <v>0</v>
      </c>
      <c r="I35" s="4"/>
      <c r="J35" s="4"/>
    </row>
    <row r="36" spans="1:10">
      <c r="A36" s="46" t="s">
        <v>60</v>
      </c>
      <c r="B36" s="22" t="s">
        <v>61</v>
      </c>
      <c r="C36" s="23">
        <v>2701</v>
      </c>
      <c r="D36" s="23">
        <v>3473</v>
      </c>
      <c r="E36" s="90">
        <v>-0.22228620788943276</v>
      </c>
      <c r="F36" s="76">
        <v>49970</v>
      </c>
      <c r="G36" s="76">
        <v>85286</v>
      </c>
      <c r="H36" s="94">
        <v>-0.41408906502825787</v>
      </c>
      <c r="I36" s="4"/>
      <c r="J36" s="4"/>
    </row>
    <row r="37" spans="1:10">
      <c r="A37" s="46" t="s">
        <v>62</v>
      </c>
      <c r="B37" s="22" t="s">
        <v>63</v>
      </c>
      <c r="C37" s="29">
        <v>5890</v>
      </c>
      <c r="D37" s="23">
        <v>19803</v>
      </c>
      <c r="E37" s="90">
        <v>-0.70257031762864208</v>
      </c>
      <c r="F37" s="76">
        <v>209496</v>
      </c>
      <c r="G37" s="76">
        <v>478818</v>
      </c>
      <c r="H37" s="94">
        <v>-0.56247258874979633</v>
      </c>
      <c r="I37" s="4"/>
      <c r="J37" s="4"/>
    </row>
    <row r="38" spans="1:10">
      <c r="A38" s="46" t="s">
        <v>64</v>
      </c>
      <c r="B38" s="22" t="s">
        <v>65</v>
      </c>
      <c r="C38" s="23">
        <v>8112</v>
      </c>
      <c r="D38" s="23">
        <v>11889</v>
      </c>
      <c r="E38" s="90">
        <v>-0.31768861973252588</v>
      </c>
      <c r="F38" s="76">
        <v>265314</v>
      </c>
      <c r="G38" s="76">
        <v>437957</v>
      </c>
      <c r="H38" s="94">
        <v>-0.39420080053521234</v>
      </c>
      <c r="I38" s="4"/>
      <c r="J38" s="4"/>
    </row>
    <row r="39" spans="1:10">
      <c r="A39" s="46" t="s">
        <v>66</v>
      </c>
      <c r="B39" s="22" t="s">
        <v>67</v>
      </c>
      <c r="C39" s="23">
        <v>13436</v>
      </c>
      <c r="D39" s="23">
        <v>18010</v>
      </c>
      <c r="E39" s="90">
        <v>-0.25397001665741253</v>
      </c>
      <c r="F39" s="76">
        <v>436075</v>
      </c>
      <c r="G39" s="76">
        <v>379086</v>
      </c>
      <c r="H39" s="94">
        <v>0.15033264219728504</v>
      </c>
      <c r="I39" s="4"/>
      <c r="J39" s="4"/>
    </row>
    <row r="40" spans="1:10">
      <c r="A40" s="46" t="s">
        <v>68</v>
      </c>
      <c r="B40" s="22" t="s">
        <v>69</v>
      </c>
      <c r="C40" s="23">
        <v>74236</v>
      </c>
      <c r="D40" s="23">
        <v>168370</v>
      </c>
      <c r="E40" s="90">
        <v>-0.5590900991863158</v>
      </c>
      <c r="F40" s="76">
        <v>1062633</v>
      </c>
      <c r="G40" s="76">
        <v>2738813</v>
      </c>
      <c r="H40" s="94">
        <v>-0.6120096552776696</v>
      </c>
      <c r="I40" s="4"/>
      <c r="J40" s="4"/>
    </row>
    <row r="41" spans="1:10">
      <c r="A41" s="46" t="s">
        <v>70</v>
      </c>
      <c r="B41" s="22" t="s">
        <v>71</v>
      </c>
      <c r="C41" s="23">
        <v>1792</v>
      </c>
      <c r="D41" s="23">
        <v>4281</v>
      </c>
      <c r="E41" s="90">
        <v>-0.58140621350151833</v>
      </c>
      <c r="F41" s="76">
        <v>22278</v>
      </c>
      <c r="G41" s="76">
        <v>65418</v>
      </c>
      <c r="H41" s="94">
        <v>-0.65945152710263233</v>
      </c>
      <c r="I41" s="4"/>
      <c r="J41" s="4"/>
    </row>
    <row r="42" spans="1:10" ht="18.75" customHeight="1" thickBot="1">
      <c r="A42" s="48" t="s">
        <v>24</v>
      </c>
      <c r="B42" s="49"/>
      <c r="C42" s="63">
        <v>576809</v>
      </c>
      <c r="D42" s="63">
        <v>1193623</v>
      </c>
      <c r="E42" s="91">
        <v>-0.51675780376215941</v>
      </c>
      <c r="F42" s="77">
        <v>23521585</v>
      </c>
      <c r="G42" s="77">
        <v>36947531</v>
      </c>
      <c r="H42" s="91">
        <v>-0.36337870587347232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77" priority="7" operator="greaterThanOrEqual">
      <formula>0</formula>
    </cfRule>
    <cfRule type="cellIs" dxfId="76" priority="8" operator="lessThan">
      <formula>0</formula>
    </cfRule>
  </conditionalFormatting>
  <conditionalFormatting sqref="E13">
    <cfRule type="cellIs" dxfId="75" priority="5" operator="greaterThanOrEqual">
      <formula>0</formula>
    </cfRule>
    <cfRule type="cellIs" dxfId="74" priority="6" operator="lessThan">
      <formula>0</formula>
    </cfRule>
  </conditionalFormatting>
  <conditionalFormatting sqref="E20:E41">
    <cfRule type="cellIs" dxfId="73" priority="11" operator="greaterThanOrEqual">
      <formula>0</formula>
    </cfRule>
    <cfRule type="cellIs" dxfId="72" priority="12" operator="lessThan">
      <formula>0</formula>
    </cfRule>
  </conditionalFormatting>
  <conditionalFormatting sqref="H5:H10">
    <cfRule type="cellIs" dxfId="71" priority="9" operator="greaterThanOrEqual">
      <formula>0</formula>
    </cfRule>
    <cfRule type="cellIs" dxfId="70" priority="10" operator="lessThan">
      <formula>0</formula>
    </cfRule>
  </conditionalFormatting>
  <conditionalFormatting sqref="H13">
    <cfRule type="cellIs" dxfId="69" priority="13" operator="greaterThanOrEqual">
      <formula>0</formula>
    </cfRule>
    <cfRule type="cellIs" dxfId="68" priority="14" operator="lessThan">
      <formula>0</formula>
    </cfRule>
  </conditionalFormatting>
  <conditionalFormatting sqref="K5:K10">
    <cfRule type="cellIs" dxfId="67" priority="3" operator="greaterThanOrEqual">
      <formula>0</formula>
    </cfRule>
    <cfRule type="cellIs" dxfId="66" priority="4" operator="lessThan">
      <formula>0</formula>
    </cfRule>
  </conditionalFormatting>
  <conditionalFormatting sqref="K13">
    <cfRule type="cellIs" dxfId="65" priority="1" operator="greaterThanOrEqual">
      <formula>0</formula>
    </cfRule>
    <cfRule type="cellIs" dxfId="64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0.39997558519241921"/>
  </sheetPr>
  <dimension ref="A1:K46"/>
  <sheetViews>
    <sheetView topLeftCell="A19" zoomScaleNormal="100" workbookViewId="0">
      <selection activeCell="B35" sqref="B35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8.875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8.875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8.875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8.875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8.875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8.875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8.875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8.875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8.875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8.875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8.875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8.875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8.875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8.875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8.875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8.875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8.875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8.875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8.875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8.875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8.875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8.875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8.875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8.875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8.875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8.875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8.875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8.875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8.875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8.875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8.875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8.875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8.875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8.875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8.875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8.875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8.875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8.875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8.875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8.875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8.875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8.875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8.875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8.875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8.875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8.875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8.875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8.875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8.875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8.875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8.875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8.875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8.875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8.875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8.875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8.875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8.875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8.875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8.875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8.875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8.875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8.875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8.875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8.875" style="3"/>
  </cols>
  <sheetData>
    <row r="1" spans="1:11" s="42" customFormat="1" ht="19.5">
      <c r="A1" s="131" t="s">
        <v>104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0</v>
      </c>
      <c r="B3" s="6" t="s">
        <v>1</v>
      </c>
      <c r="C3" s="7" t="s">
        <v>108</v>
      </c>
      <c r="D3" s="7" t="s">
        <v>110</v>
      </c>
      <c r="E3" s="9" t="s">
        <v>83</v>
      </c>
      <c r="F3" s="74" t="s">
        <v>111</v>
      </c>
      <c r="G3" s="74" t="s">
        <v>109</v>
      </c>
      <c r="H3" s="9" t="s">
        <v>83</v>
      </c>
      <c r="I3" s="56" t="s">
        <v>95</v>
      </c>
      <c r="J3" s="56" t="s">
        <v>96</v>
      </c>
      <c r="K3" s="64" t="s">
        <v>74</v>
      </c>
    </row>
    <row r="4" spans="1:11">
      <c r="A4" s="13"/>
      <c r="B4" s="14"/>
      <c r="C4" s="15" t="s">
        <v>75</v>
      </c>
      <c r="D4" s="15" t="s">
        <v>75</v>
      </c>
      <c r="E4" s="16" t="s">
        <v>76</v>
      </c>
      <c r="F4" s="75" t="s">
        <v>77</v>
      </c>
      <c r="G4" s="75" t="s">
        <v>77</v>
      </c>
      <c r="H4" s="16" t="s">
        <v>78</v>
      </c>
      <c r="I4" s="58" t="s">
        <v>7</v>
      </c>
      <c r="J4" s="65" t="s">
        <v>7</v>
      </c>
      <c r="K4" s="66" t="s">
        <v>79</v>
      </c>
    </row>
    <row r="5" spans="1:11" ht="16.5">
      <c r="A5" s="21" t="s">
        <v>8</v>
      </c>
      <c r="B5" s="22" t="s">
        <v>9</v>
      </c>
      <c r="C5" s="23">
        <v>4873</v>
      </c>
      <c r="D5" s="23">
        <v>3732</v>
      </c>
      <c r="E5" s="90">
        <v>0.30573419078242231</v>
      </c>
      <c r="F5" s="76">
        <v>256460</v>
      </c>
      <c r="G5" s="76">
        <v>301881</v>
      </c>
      <c r="H5" s="90">
        <v>-0.15045994945028007</v>
      </c>
      <c r="I5" s="25">
        <v>52.62877077775498</v>
      </c>
      <c r="J5" s="25">
        <v>80.889871382636656</v>
      </c>
      <c r="K5" s="90">
        <v>-0.34937749463337681</v>
      </c>
    </row>
    <row r="6" spans="1:11" ht="16.5">
      <c r="A6" s="26" t="s">
        <v>10</v>
      </c>
      <c r="B6" s="27" t="s">
        <v>11</v>
      </c>
      <c r="C6" s="23">
        <v>4517</v>
      </c>
      <c r="D6" s="23">
        <v>6437</v>
      </c>
      <c r="E6" s="90">
        <v>-0.29827559422091038</v>
      </c>
      <c r="F6" s="76">
        <v>431157</v>
      </c>
      <c r="G6" s="76">
        <v>637946</v>
      </c>
      <c r="H6" s="90">
        <v>-0.32414812538992327</v>
      </c>
      <c r="I6" s="25">
        <v>95.452069957936686</v>
      </c>
      <c r="J6" s="25">
        <v>99.106105328569214</v>
      </c>
      <c r="K6" s="90">
        <v>-3.686993206440918E-2</v>
      </c>
    </row>
    <row r="7" spans="1:11" ht="16.5">
      <c r="A7" s="21" t="s">
        <v>12</v>
      </c>
      <c r="B7" s="28" t="s">
        <v>13</v>
      </c>
      <c r="C7" s="23">
        <v>6434</v>
      </c>
      <c r="D7" s="23">
        <v>4146</v>
      </c>
      <c r="E7" s="90">
        <v>0.55185721177038105</v>
      </c>
      <c r="F7" s="76">
        <v>362794</v>
      </c>
      <c r="G7" s="76">
        <v>280775</v>
      </c>
      <c r="H7" s="90">
        <v>0.29211646336034192</v>
      </c>
      <c r="I7" s="25">
        <v>56.387006527820951</v>
      </c>
      <c r="J7" s="25">
        <v>67.721900627110472</v>
      </c>
      <c r="K7" s="90">
        <v>-0.16737412852160752</v>
      </c>
    </row>
    <row r="8" spans="1:11" ht="16.5">
      <c r="A8" s="21" t="s">
        <v>14</v>
      </c>
      <c r="B8" s="28" t="s">
        <v>15</v>
      </c>
      <c r="C8" s="23">
        <v>7595</v>
      </c>
      <c r="D8" s="23">
        <v>9581</v>
      </c>
      <c r="E8" s="90">
        <v>-0.20728525206137147</v>
      </c>
      <c r="F8" s="76">
        <v>893425</v>
      </c>
      <c r="G8" s="76">
        <v>1359981</v>
      </c>
      <c r="H8" s="90">
        <v>-0.34306067511237287</v>
      </c>
      <c r="I8" s="25">
        <v>117.63331138907176</v>
      </c>
      <c r="J8" s="25">
        <v>141.94562154263647</v>
      </c>
      <c r="K8" s="90">
        <v>-0.17127904256111187</v>
      </c>
    </row>
    <row r="9" spans="1:11" ht="16.5">
      <c r="A9" s="21" t="s">
        <v>16</v>
      </c>
      <c r="B9" s="28" t="s">
        <v>17</v>
      </c>
      <c r="C9" s="23">
        <v>2214</v>
      </c>
      <c r="D9" s="23">
        <v>4202</v>
      </c>
      <c r="E9" s="90">
        <v>-0.47310804378867205</v>
      </c>
      <c r="F9" s="76">
        <v>297405</v>
      </c>
      <c r="G9" s="76">
        <v>485393</v>
      </c>
      <c r="H9" s="90">
        <v>-0.38729029878881649</v>
      </c>
      <c r="I9" s="25">
        <v>134.32926829268294</v>
      </c>
      <c r="J9" s="25">
        <v>115.51475487862922</v>
      </c>
      <c r="K9" s="90">
        <v>0.16287541304850656</v>
      </c>
    </row>
    <row r="10" spans="1:11" ht="16.5">
      <c r="A10" s="21" t="s">
        <v>18</v>
      </c>
      <c r="B10" s="28" t="s">
        <v>19</v>
      </c>
      <c r="C10" s="23">
        <v>2395</v>
      </c>
      <c r="D10" s="23">
        <v>2807</v>
      </c>
      <c r="E10" s="90">
        <v>-0.14677591734948345</v>
      </c>
      <c r="F10" s="76">
        <v>467353</v>
      </c>
      <c r="G10" s="76">
        <v>663681</v>
      </c>
      <c r="H10" s="90">
        <v>-0.2958168156087036</v>
      </c>
      <c r="I10" s="25">
        <v>195.13695198329853</v>
      </c>
      <c r="J10" s="25">
        <v>236.43783398646241</v>
      </c>
      <c r="K10" s="90">
        <v>-0.17467966656101502</v>
      </c>
    </row>
    <row r="11" spans="1:11" ht="17.25" thickBot="1">
      <c r="A11" s="48" t="s">
        <v>20</v>
      </c>
      <c r="B11" s="70" t="s">
        <v>21</v>
      </c>
      <c r="C11" s="63">
        <v>28028</v>
      </c>
      <c r="D11" s="63">
        <v>30905</v>
      </c>
      <c r="E11" s="91">
        <v>-9.3091732729331828E-2</v>
      </c>
      <c r="F11" s="77">
        <v>2708594</v>
      </c>
      <c r="G11" s="77">
        <v>3729657</v>
      </c>
      <c r="H11" s="91">
        <v>-0.27376860660377078</v>
      </c>
      <c r="I11" s="72">
        <v>96.638861138861145</v>
      </c>
      <c r="J11" s="72">
        <v>120.68134606050801</v>
      </c>
      <c r="K11" s="91">
        <v>-0.19922287666224969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22</v>
      </c>
      <c r="B13" s="22" t="s">
        <v>23</v>
      </c>
      <c r="C13" s="23">
        <v>522</v>
      </c>
      <c r="D13" s="23">
        <v>6</v>
      </c>
      <c r="E13" s="92">
        <v>86</v>
      </c>
      <c r="F13" s="76">
        <v>21679</v>
      </c>
      <c r="G13" s="76">
        <v>794</v>
      </c>
      <c r="H13" s="92">
        <v>26.303526448362721</v>
      </c>
      <c r="I13" s="25">
        <v>41.530651340996165</v>
      </c>
      <c r="J13" s="25">
        <v>132.33333333333334</v>
      </c>
      <c r="K13" s="92">
        <v>-0.68616636266249742</v>
      </c>
    </row>
    <row r="14" spans="1:11" ht="17.25" thickBot="1">
      <c r="A14" s="48" t="s">
        <v>24</v>
      </c>
      <c r="B14" s="73" t="s">
        <v>80</v>
      </c>
      <c r="C14" s="63">
        <v>28550</v>
      </c>
      <c r="D14" s="63">
        <v>30911</v>
      </c>
      <c r="E14" s="91">
        <v>-7.6380576493804794E-2</v>
      </c>
      <c r="F14" s="77">
        <v>2730273</v>
      </c>
      <c r="G14" s="77">
        <v>3730451</v>
      </c>
      <c r="H14" s="97">
        <v>-0.26811181811528956</v>
      </c>
      <c r="I14" s="72">
        <v>95.631278458844136</v>
      </c>
      <c r="J14" s="72">
        <v>120.6836077771667</v>
      </c>
      <c r="K14" s="91">
        <v>-0.20758684447501624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105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111</v>
      </c>
      <c r="D18" s="7" t="s">
        <v>109</v>
      </c>
      <c r="E18" s="9" t="s">
        <v>83</v>
      </c>
      <c r="F18" s="74" t="s">
        <v>111</v>
      </c>
      <c r="G18" s="74" t="s">
        <v>109</v>
      </c>
      <c r="H18" s="9" t="s">
        <v>83</v>
      </c>
      <c r="I18" s="44"/>
      <c r="J18" s="44"/>
    </row>
    <row r="19" spans="1:10">
      <c r="A19" s="13"/>
      <c r="B19" s="14"/>
      <c r="C19" s="15" t="s">
        <v>81</v>
      </c>
      <c r="D19" s="15" t="s">
        <v>81</v>
      </c>
      <c r="E19" s="16" t="s">
        <v>76</v>
      </c>
      <c r="F19" s="75" t="s">
        <v>77</v>
      </c>
      <c r="G19" s="75" t="s">
        <v>77</v>
      </c>
      <c r="H19" s="16" t="s">
        <v>78</v>
      </c>
      <c r="I19" s="4"/>
      <c r="J19" s="4"/>
    </row>
    <row r="20" spans="1:10">
      <c r="A20" s="46" t="s">
        <v>28</v>
      </c>
      <c r="B20" s="22" t="s">
        <v>29</v>
      </c>
      <c r="C20" s="23">
        <v>4648</v>
      </c>
      <c r="D20" s="23">
        <v>11193</v>
      </c>
      <c r="E20" s="94">
        <v>-0.5847404627892433</v>
      </c>
      <c r="F20" s="76">
        <v>249733</v>
      </c>
      <c r="G20" s="76">
        <v>655909</v>
      </c>
      <c r="H20" s="94">
        <v>-0.61925663468560421</v>
      </c>
      <c r="I20" s="4"/>
      <c r="J20" s="4"/>
    </row>
    <row r="21" spans="1:10">
      <c r="A21" s="46" t="s">
        <v>30</v>
      </c>
      <c r="B21" s="22" t="s">
        <v>31</v>
      </c>
      <c r="C21" s="4">
        <v>3051</v>
      </c>
      <c r="D21" s="23">
        <v>5907</v>
      </c>
      <c r="E21" s="94">
        <v>-0.48349415947181312</v>
      </c>
      <c r="F21" s="76">
        <v>263148</v>
      </c>
      <c r="G21" s="76">
        <v>516446</v>
      </c>
      <c r="H21" s="94">
        <v>-0.49046366899927579</v>
      </c>
      <c r="I21" s="4"/>
      <c r="J21" s="4"/>
    </row>
    <row r="22" spans="1:10">
      <c r="A22" s="46" t="s">
        <v>32</v>
      </c>
      <c r="B22" s="22" t="s">
        <v>33</v>
      </c>
      <c r="C22" s="23">
        <v>1108693</v>
      </c>
      <c r="D22" s="23">
        <v>1674478</v>
      </c>
      <c r="E22" s="94">
        <v>-0.33788738938343771</v>
      </c>
      <c r="F22" s="76">
        <v>54806058</v>
      </c>
      <c r="G22" s="76">
        <v>69314161</v>
      </c>
      <c r="H22" s="94">
        <v>-0.20930936464772329</v>
      </c>
      <c r="I22" s="4"/>
      <c r="J22" s="4"/>
    </row>
    <row r="23" spans="1:10">
      <c r="A23" s="46" t="s">
        <v>34</v>
      </c>
      <c r="B23" s="22" t="s">
        <v>35</v>
      </c>
      <c r="C23" s="23">
        <v>160131</v>
      </c>
      <c r="D23" s="23">
        <v>254627</v>
      </c>
      <c r="E23" s="94">
        <v>-0.37111539624627399</v>
      </c>
      <c r="F23" s="76">
        <v>9820766</v>
      </c>
      <c r="G23" s="76">
        <v>10975420</v>
      </c>
      <c r="H23" s="94">
        <v>-0.10520362774271964</v>
      </c>
      <c r="I23" s="4"/>
      <c r="J23" s="4"/>
    </row>
    <row r="24" spans="1:10">
      <c r="A24" s="46" t="s">
        <v>36</v>
      </c>
      <c r="B24" s="22" t="s">
        <v>37</v>
      </c>
      <c r="C24" s="23">
        <v>10959</v>
      </c>
      <c r="D24" s="23">
        <v>12814</v>
      </c>
      <c r="E24" s="94">
        <v>-0.14476353987825816</v>
      </c>
      <c r="F24" s="76">
        <v>154873</v>
      </c>
      <c r="G24" s="76">
        <v>219464</v>
      </c>
      <c r="H24" s="95">
        <v>-0.29431250683483395</v>
      </c>
      <c r="I24" s="4"/>
      <c r="J24" s="4"/>
    </row>
    <row r="25" spans="1:10">
      <c r="A25" s="46" t="s">
        <v>38</v>
      </c>
      <c r="B25" s="22" t="s">
        <v>39</v>
      </c>
      <c r="C25" s="23">
        <v>22602</v>
      </c>
      <c r="D25" s="23">
        <v>52701</v>
      </c>
      <c r="E25" s="90">
        <v>-0.57112768258666824</v>
      </c>
      <c r="F25" s="76">
        <v>256687</v>
      </c>
      <c r="G25" s="76">
        <v>550268</v>
      </c>
      <c r="H25" s="94">
        <v>-0.53352366483240898</v>
      </c>
      <c r="I25" s="4"/>
      <c r="J25" s="4"/>
    </row>
    <row r="26" spans="1:10">
      <c r="A26" s="46" t="s">
        <v>40</v>
      </c>
      <c r="B26" s="22" t="s">
        <v>41</v>
      </c>
      <c r="C26" s="23">
        <v>218105</v>
      </c>
      <c r="D26" s="23">
        <v>365438</v>
      </c>
      <c r="E26" s="90">
        <v>-0.40316825289105129</v>
      </c>
      <c r="F26" s="76">
        <v>5728046</v>
      </c>
      <c r="G26" s="76">
        <v>8170770</v>
      </c>
      <c r="H26" s="94">
        <v>-0.29895884965554043</v>
      </c>
      <c r="I26" s="4"/>
      <c r="J26" s="4"/>
    </row>
    <row r="27" spans="1:10">
      <c r="A27" s="46" t="s">
        <v>116</v>
      </c>
      <c r="B27" s="22" t="s">
        <v>119</v>
      </c>
      <c r="C27" s="23">
        <v>2137</v>
      </c>
      <c r="D27" s="23">
        <v>0</v>
      </c>
      <c r="E27" s="90">
        <v>0</v>
      </c>
      <c r="F27" s="76">
        <v>17860</v>
      </c>
      <c r="G27" s="76">
        <v>0</v>
      </c>
      <c r="H27" s="94">
        <v>0</v>
      </c>
      <c r="I27" s="4"/>
      <c r="J27" s="4"/>
    </row>
    <row r="28" spans="1:10">
      <c r="A28" s="46" t="s">
        <v>44</v>
      </c>
      <c r="B28" s="22" t="s">
        <v>45</v>
      </c>
      <c r="C28" s="23">
        <v>12864</v>
      </c>
      <c r="D28" s="23">
        <v>8593</v>
      </c>
      <c r="E28" s="90">
        <v>0.49703246828814152</v>
      </c>
      <c r="F28" s="76">
        <v>51737</v>
      </c>
      <c r="G28" s="76">
        <v>145316</v>
      </c>
      <c r="H28" s="94">
        <v>-0.64396900547771752</v>
      </c>
      <c r="I28" s="4"/>
      <c r="J28" s="4"/>
    </row>
    <row r="29" spans="1:10">
      <c r="A29" s="46" t="s">
        <v>46</v>
      </c>
      <c r="B29" s="22" t="s">
        <v>47</v>
      </c>
      <c r="C29" s="23">
        <v>141512</v>
      </c>
      <c r="D29" s="23">
        <v>470367</v>
      </c>
      <c r="E29" s="90">
        <v>-0.69914556080677426</v>
      </c>
      <c r="F29" s="76">
        <v>2664930</v>
      </c>
      <c r="G29" s="76">
        <v>7803589</v>
      </c>
      <c r="H29" s="94">
        <v>-0.6584994417312342</v>
      </c>
      <c r="I29" s="4"/>
      <c r="J29" s="4"/>
    </row>
    <row r="30" spans="1:10">
      <c r="A30" s="46" t="s">
        <v>48</v>
      </c>
      <c r="B30" s="22" t="s">
        <v>49</v>
      </c>
      <c r="C30" s="23">
        <v>127059</v>
      </c>
      <c r="D30" s="23">
        <v>306819</v>
      </c>
      <c r="E30" s="90">
        <v>-0.58588288209009221</v>
      </c>
      <c r="F30" s="76">
        <v>1349807</v>
      </c>
      <c r="G30" s="76">
        <v>4098053</v>
      </c>
      <c r="H30" s="94">
        <v>-0.67062236627979188</v>
      </c>
      <c r="I30" s="4"/>
      <c r="J30" s="4"/>
    </row>
    <row r="31" spans="1:10">
      <c r="A31" s="46" t="s">
        <v>50</v>
      </c>
      <c r="B31" s="22" t="s">
        <v>51</v>
      </c>
      <c r="C31" s="23">
        <v>38734</v>
      </c>
      <c r="D31" s="23">
        <v>147877</v>
      </c>
      <c r="E31" s="90">
        <v>-0.73806609547123625</v>
      </c>
      <c r="F31" s="76">
        <v>316711</v>
      </c>
      <c r="G31" s="76">
        <v>1456295</v>
      </c>
      <c r="H31" s="94">
        <v>-0.78252277182851004</v>
      </c>
      <c r="I31" s="4"/>
      <c r="J31" s="4"/>
    </row>
    <row r="32" spans="1:10">
      <c r="A32" s="46" t="s">
        <v>52</v>
      </c>
      <c r="B32" s="22" t="s">
        <v>53</v>
      </c>
      <c r="C32" s="23">
        <v>149457</v>
      </c>
      <c r="D32" s="23">
        <v>391766</v>
      </c>
      <c r="E32" s="90">
        <v>-0.6185044133487847</v>
      </c>
      <c r="F32" s="76">
        <v>1399368</v>
      </c>
      <c r="G32" s="76">
        <v>3499664</v>
      </c>
      <c r="H32" s="94">
        <v>-0.60014218507833894</v>
      </c>
      <c r="I32" s="4"/>
      <c r="J32" s="4"/>
    </row>
    <row r="33" spans="1:10">
      <c r="A33" s="46" t="s">
        <v>54</v>
      </c>
      <c r="B33" s="22" t="s">
        <v>55</v>
      </c>
      <c r="C33" s="23">
        <v>64071</v>
      </c>
      <c r="D33" s="23">
        <v>195785</v>
      </c>
      <c r="E33" s="90">
        <v>-0.6727481676328626</v>
      </c>
      <c r="F33" s="76">
        <v>304882</v>
      </c>
      <c r="G33" s="76">
        <v>771618</v>
      </c>
      <c r="H33" s="95">
        <v>-0.60487961659785028</v>
      </c>
      <c r="I33" s="4"/>
      <c r="J33" s="4"/>
    </row>
    <row r="34" spans="1:10">
      <c r="A34" s="46" t="s">
        <v>56</v>
      </c>
      <c r="B34" s="22" t="s">
        <v>57</v>
      </c>
      <c r="C34" s="23">
        <v>27118</v>
      </c>
      <c r="D34" s="23">
        <v>121524</v>
      </c>
      <c r="E34" s="90">
        <v>-0.77685066324347452</v>
      </c>
      <c r="F34" s="76">
        <v>665381</v>
      </c>
      <c r="G34" s="76">
        <v>2150418</v>
      </c>
      <c r="H34" s="94">
        <v>-0.69058062200000181</v>
      </c>
      <c r="I34" s="4"/>
      <c r="J34" s="4"/>
    </row>
    <row r="35" spans="1:10">
      <c r="A35" s="46" t="s">
        <v>117</v>
      </c>
      <c r="B35" s="22" t="s">
        <v>118</v>
      </c>
      <c r="C35" s="23">
        <v>55183</v>
      </c>
      <c r="D35" s="23">
        <v>0</v>
      </c>
      <c r="E35" s="90">
        <v>0</v>
      </c>
      <c r="F35" s="76">
        <v>635644</v>
      </c>
      <c r="G35" s="76">
        <v>0</v>
      </c>
      <c r="H35" s="94">
        <v>0</v>
      </c>
      <c r="I35" s="4"/>
      <c r="J35" s="4"/>
    </row>
    <row r="36" spans="1:10">
      <c r="A36" s="46" t="s">
        <v>60</v>
      </c>
      <c r="B36" s="22" t="s">
        <v>61</v>
      </c>
      <c r="C36" s="23">
        <v>3288</v>
      </c>
      <c r="D36" s="23">
        <v>19152</v>
      </c>
      <c r="E36" s="90">
        <v>-0.82832080200501257</v>
      </c>
      <c r="F36" s="76">
        <v>5847</v>
      </c>
      <c r="G36" s="76">
        <v>84554</v>
      </c>
      <c r="H36" s="95">
        <v>-0.93084892494737093</v>
      </c>
      <c r="I36" s="4"/>
      <c r="J36" s="4"/>
    </row>
    <row r="37" spans="1:10">
      <c r="A37" s="46" t="s">
        <v>62</v>
      </c>
      <c r="B37" s="22" t="s">
        <v>63</v>
      </c>
      <c r="C37" s="23">
        <v>39359</v>
      </c>
      <c r="D37" s="23">
        <v>82757</v>
      </c>
      <c r="E37" s="90">
        <v>-0.52440276955423715</v>
      </c>
      <c r="F37" s="76">
        <v>876051</v>
      </c>
      <c r="G37" s="76">
        <v>1398909</v>
      </c>
      <c r="H37" s="94">
        <v>-0.37376126681578287</v>
      </c>
      <c r="I37" s="4"/>
      <c r="J37" s="4"/>
    </row>
    <row r="38" spans="1:10">
      <c r="A38" s="46" t="s">
        <v>64</v>
      </c>
      <c r="B38" s="22" t="s">
        <v>65</v>
      </c>
      <c r="C38" s="23">
        <v>76994</v>
      </c>
      <c r="D38" s="23">
        <v>129988</v>
      </c>
      <c r="E38" s="90">
        <v>-0.40768378619564882</v>
      </c>
      <c r="F38" s="76">
        <v>1993206</v>
      </c>
      <c r="G38" s="76">
        <v>2387908</v>
      </c>
      <c r="H38" s="94">
        <v>-0.16529196267192872</v>
      </c>
      <c r="I38" s="4"/>
      <c r="J38" s="4"/>
    </row>
    <row r="39" spans="1:10">
      <c r="A39" s="46" t="s">
        <v>66</v>
      </c>
      <c r="B39" s="22" t="s">
        <v>67</v>
      </c>
      <c r="C39" s="23">
        <v>88632</v>
      </c>
      <c r="D39" s="23">
        <v>135659</v>
      </c>
      <c r="E39" s="90">
        <v>-0.34665595353054351</v>
      </c>
      <c r="F39" s="76">
        <v>2852050</v>
      </c>
      <c r="G39" s="76">
        <v>4094711</v>
      </c>
      <c r="H39" s="94">
        <v>-0.30347953738371281</v>
      </c>
      <c r="I39" s="4"/>
      <c r="J39" s="4"/>
    </row>
    <row r="40" spans="1:10">
      <c r="A40" s="46" t="s">
        <v>68</v>
      </c>
      <c r="B40" s="22" t="s">
        <v>69</v>
      </c>
      <c r="C40" s="23">
        <v>170532</v>
      </c>
      <c r="D40" s="23">
        <v>241594</v>
      </c>
      <c r="E40" s="90">
        <v>-0.2941380994561123</v>
      </c>
      <c r="F40" s="76">
        <v>1093509</v>
      </c>
      <c r="G40" s="76">
        <v>1811903</v>
      </c>
      <c r="H40" s="94">
        <v>-0.39648590459864574</v>
      </c>
      <c r="I40" s="4"/>
      <c r="J40" s="4"/>
    </row>
    <row r="41" spans="1:10">
      <c r="A41" s="46" t="s">
        <v>70</v>
      </c>
      <c r="B41" s="22" t="s">
        <v>71</v>
      </c>
      <c r="C41" s="23">
        <v>51832</v>
      </c>
      <c r="D41" s="23">
        <v>95320</v>
      </c>
      <c r="E41" s="90">
        <v>-0.45623164078892153</v>
      </c>
      <c r="F41" s="76">
        <v>322536</v>
      </c>
      <c r="G41" s="76">
        <v>476161</v>
      </c>
      <c r="H41" s="94">
        <v>-0.32263247094995179</v>
      </c>
      <c r="I41" s="4"/>
      <c r="J41" s="4"/>
    </row>
    <row r="42" spans="1:10" ht="18.75" customHeight="1" thickBot="1">
      <c r="A42" s="48" t="s">
        <v>24</v>
      </c>
      <c r="B42" s="49"/>
      <c r="C42" s="63">
        <v>2576961</v>
      </c>
      <c r="D42" s="63">
        <v>4724359</v>
      </c>
      <c r="E42" s="91">
        <v>-0.45453743036886063</v>
      </c>
      <c r="F42" s="77">
        <v>85828830</v>
      </c>
      <c r="G42" s="77">
        <v>120581537</v>
      </c>
      <c r="H42" s="91">
        <v>-0.28820918910662086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63" priority="7" operator="greaterThanOrEqual">
      <formula>0</formula>
    </cfRule>
    <cfRule type="cellIs" dxfId="62" priority="8" operator="lessThan">
      <formula>0</formula>
    </cfRule>
  </conditionalFormatting>
  <conditionalFormatting sqref="E13">
    <cfRule type="cellIs" dxfId="61" priority="13" operator="greaterThanOrEqual">
      <formula>0</formula>
    </cfRule>
    <cfRule type="cellIs" dxfId="60" priority="14" operator="lessThan">
      <formula>0</formula>
    </cfRule>
  </conditionalFormatting>
  <conditionalFormatting sqref="E25:E41">
    <cfRule type="cellIs" dxfId="59" priority="11" operator="greaterThanOrEqual">
      <formula>0</formula>
    </cfRule>
    <cfRule type="cellIs" dxfId="58" priority="12" operator="lessThan">
      <formula>0</formula>
    </cfRule>
  </conditionalFormatting>
  <conditionalFormatting sqref="H5:H10">
    <cfRule type="cellIs" dxfId="57" priority="3" operator="greaterThanOrEqual">
      <formula>0</formula>
    </cfRule>
    <cfRule type="cellIs" dxfId="56" priority="4" operator="lessThan">
      <formula>0</formula>
    </cfRule>
  </conditionalFormatting>
  <conditionalFormatting sqref="H13">
    <cfRule type="cellIs" dxfId="55" priority="1" operator="greaterThanOrEqual">
      <formula>0</formula>
    </cfRule>
    <cfRule type="cellIs" dxfId="54" priority="2" operator="lessThan">
      <formula>0</formula>
    </cfRule>
  </conditionalFormatting>
  <conditionalFormatting sqref="H24">
    <cfRule type="cellIs" dxfId="53" priority="25" operator="greaterThanOrEqual">
      <formula>0</formula>
    </cfRule>
    <cfRule type="cellIs" dxfId="52" priority="26" operator="lessThan">
      <formula>0</formula>
    </cfRule>
  </conditionalFormatting>
  <conditionalFormatting sqref="H33">
    <cfRule type="cellIs" dxfId="51" priority="20" operator="greaterThanOrEqual">
      <formula>0</formula>
    </cfRule>
    <cfRule type="cellIs" dxfId="50" priority="21" operator="lessThan">
      <formula>0</formula>
    </cfRule>
    <cfRule type="cellIs" dxfId="49" priority="22" operator="lessThanOrEqual">
      <formula>0</formula>
    </cfRule>
    <cfRule type="cellIs" priority="23" operator="greaterThanOrEqual">
      <formula>0</formula>
    </cfRule>
    <cfRule type="cellIs" dxfId="48" priority="24" operator="lessThan">
      <formula>0</formula>
    </cfRule>
  </conditionalFormatting>
  <conditionalFormatting sqref="H36">
    <cfRule type="cellIs" dxfId="47" priority="15" operator="greaterThanOrEqual">
      <formula>0</formula>
    </cfRule>
    <cfRule type="cellIs" dxfId="46" priority="16" operator="lessThan">
      <formula>0</formula>
    </cfRule>
    <cfRule type="cellIs" dxfId="45" priority="17" operator="lessThanOrEqual">
      <formula>0</formula>
    </cfRule>
    <cfRule type="cellIs" priority="18" operator="greaterThanOrEqual">
      <formula>0</formula>
    </cfRule>
    <cfRule type="cellIs" dxfId="44" priority="19" operator="lessThan">
      <formula>0</formula>
    </cfRule>
  </conditionalFormatting>
  <conditionalFormatting sqref="K5:K10">
    <cfRule type="cellIs" dxfId="43" priority="31" operator="greaterThanOrEqual">
      <formula>0</formula>
    </cfRule>
    <cfRule type="cellIs" dxfId="42" priority="32" operator="lessThan">
      <formula>0</formula>
    </cfRule>
  </conditionalFormatting>
  <conditionalFormatting sqref="K13">
    <cfRule type="cellIs" dxfId="41" priority="5" operator="greaterThanOrEqual">
      <formula>0</formula>
    </cfRule>
    <cfRule type="cellIs" dxfId="40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D7A9C8"/>
    <pageSetUpPr fitToPage="1"/>
  </sheetPr>
  <dimension ref="A1:J89"/>
  <sheetViews>
    <sheetView topLeftCell="A22" zoomScaleNormal="100" workbookViewId="0">
      <selection activeCell="A27" sqref="A27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1.7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31.15" customHeight="1">
      <c r="A1" s="130" t="s">
        <v>100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0</v>
      </c>
      <c r="B3" s="6" t="s">
        <v>1</v>
      </c>
      <c r="C3" s="7" t="s">
        <v>84</v>
      </c>
      <c r="D3" s="8" t="s">
        <v>85</v>
      </c>
      <c r="E3" s="9" t="s">
        <v>2</v>
      </c>
      <c r="F3" s="10" t="s">
        <v>86</v>
      </c>
      <c r="G3" s="11" t="s">
        <v>87</v>
      </c>
      <c r="H3" s="9" t="s">
        <v>3</v>
      </c>
      <c r="I3" s="12" t="s">
        <v>4</v>
      </c>
      <c r="J3" s="12" t="s">
        <v>5</v>
      </c>
    </row>
    <row r="4" spans="1:10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8</v>
      </c>
      <c r="B5" s="22" t="s">
        <v>9</v>
      </c>
      <c r="C5" s="23">
        <v>4354</v>
      </c>
      <c r="D5" s="23">
        <v>3988</v>
      </c>
      <c r="E5" s="84">
        <v>366</v>
      </c>
      <c r="F5" s="23">
        <v>707745</v>
      </c>
      <c r="G5" s="23">
        <v>200979</v>
      </c>
      <c r="H5" s="84">
        <v>506766</v>
      </c>
      <c r="I5" s="25">
        <v>162.55052824988516</v>
      </c>
      <c r="J5" s="25">
        <v>50.39593781344032</v>
      </c>
    </row>
    <row r="6" spans="1:10" ht="16.5">
      <c r="A6" s="26" t="s">
        <v>10</v>
      </c>
      <c r="B6" s="27" t="s">
        <v>11</v>
      </c>
      <c r="C6" s="23">
        <v>28</v>
      </c>
      <c r="D6" s="23">
        <v>3880</v>
      </c>
      <c r="E6" s="84">
        <v>-3852</v>
      </c>
      <c r="F6" s="23">
        <v>52320</v>
      </c>
      <c r="G6" s="23">
        <v>330330</v>
      </c>
      <c r="H6" s="84">
        <v>-278010</v>
      </c>
      <c r="I6" s="25">
        <v>1868.5714285714287</v>
      </c>
      <c r="J6" s="25">
        <v>85.136597938144334</v>
      </c>
    </row>
    <row r="7" spans="1:10" ht="16.5">
      <c r="A7" s="21" t="s">
        <v>12</v>
      </c>
      <c r="B7" s="28" t="s">
        <v>13</v>
      </c>
      <c r="C7" s="29">
        <v>0</v>
      </c>
      <c r="D7" s="23">
        <v>4480</v>
      </c>
      <c r="E7" s="84">
        <v>-4480</v>
      </c>
      <c r="F7" s="23">
        <v>0</v>
      </c>
      <c r="G7" s="23">
        <v>224770</v>
      </c>
      <c r="H7" s="84">
        <v>-224770</v>
      </c>
      <c r="I7" s="25">
        <v>0</v>
      </c>
      <c r="J7" s="25">
        <v>50.171875</v>
      </c>
    </row>
    <row r="8" spans="1:10" ht="16.5">
      <c r="A8" s="21" t="s">
        <v>14</v>
      </c>
      <c r="B8" s="28" t="s">
        <v>15</v>
      </c>
      <c r="C8" s="23">
        <v>156</v>
      </c>
      <c r="D8" s="23">
        <v>5426</v>
      </c>
      <c r="E8" s="84">
        <v>-5270</v>
      </c>
      <c r="F8" s="23">
        <v>61438</v>
      </c>
      <c r="G8" s="23">
        <v>584083</v>
      </c>
      <c r="H8" s="84">
        <v>-522645</v>
      </c>
      <c r="I8" s="25">
        <v>393.83333333333331</v>
      </c>
      <c r="J8" s="25">
        <v>107.6452266863251</v>
      </c>
    </row>
    <row r="9" spans="1:10" ht="16.5">
      <c r="A9" s="21" t="s">
        <v>16</v>
      </c>
      <c r="B9" s="28" t="s">
        <v>17</v>
      </c>
      <c r="C9" s="23">
        <v>465</v>
      </c>
      <c r="D9" s="23">
        <v>1421</v>
      </c>
      <c r="E9" s="84">
        <v>-956</v>
      </c>
      <c r="F9" s="23">
        <v>675230</v>
      </c>
      <c r="G9" s="23">
        <v>188563</v>
      </c>
      <c r="H9" s="84">
        <v>486667</v>
      </c>
      <c r="I9" s="25">
        <v>1452.1075268817203</v>
      </c>
      <c r="J9" s="25">
        <v>132.69739619985924</v>
      </c>
    </row>
    <row r="10" spans="1:10" ht="16.5">
      <c r="A10" s="21" t="s">
        <v>18</v>
      </c>
      <c r="B10" s="28" t="s">
        <v>19</v>
      </c>
      <c r="C10" s="23">
        <v>3769</v>
      </c>
      <c r="D10" s="23">
        <v>1536</v>
      </c>
      <c r="E10" s="84">
        <v>2233</v>
      </c>
      <c r="F10" s="23">
        <v>5460031</v>
      </c>
      <c r="G10" s="23">
        <v>235423</v>
      </c>
      <c r="H10" s="86">
        <v>5224608</v>
      </c>
      <c r="I10" s="25">
        <v>1448.6683470416556</v>
      </c>
      <c r="J10" s="25">
        <v>153.27018229166666</v>
      </c>
    </row>
    <row r="11" spans="1:10" ht="17.25" thickBot="1">
      <c r="A11" s="48" t="s">
        <v>20</v>
      </c>
      <c r="B11" s="70" t="s">
        <v>21</v>
      </c>
      <c r="C11" s="63">
        <v>8772</v>
      </c>
      <c r="D11" s="63">
        <v>20731</v>
      </c>
      <c r="E11" s="80">
        <v>-11959</v>
      </c>
      <c r="F11" s="63">
        <v>6956764</v>
      </c>
      <c r="G11" s="63">
        <v>1764148</v>
      </c>
      <c r="H11" s="82">
        <v>5192616</v>
      </c>
      <c r="I11" s="72">
        <v>793.0647514819882</v>
      </c>
      <c r="J11" s="72">
        <v>85.097100959915096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22</v>
      </c>
      <c r="B13" s="22" t="s">
        <v>23</v>
      </c>
      <c r="C13" s="23">
        <v>0</v>
      </c>
      <c r="D13" s="23">
        <v>512</v>
      </c>
      <c r="E13" s="84">
        <v>-512</v>
      </c>
      <c r="F13" s="23">
        <v>0</v>
      </c>
      <c r="G13" s="23">
        <v>20555</v>
      </c>
      <c r="H13" s="84">
        <v>-20555</v>
      </c>
      <c r="I13" s="25">
        <v>0</v>
      </c>
      <c r="J13" s="25">
        <v>40.146484375</v>
      </c>
    </row>
    <row r="14" spans="1:10" ht="17.25" thickBot="1">
      <c r="A14" s="30" t="s">
        <v>24</v>
      </c>
      <c r="B14" s="36" t="s">
        <v>25</v>
      </c>
      <c r="C14" s="31">
        <v>8772</v>
      </c>
      <c r="D14" s="31">
        <v>21243</v>
      </c>
      <c r="E14" s="81">
        <v>-12471</v>
      </c>
      <c r="F14" s="31">
        <v>6956764</v>
      </c>
      <c r="G14" s="31">
        <v>1784703</v>
      </c>
      <c r="H14" s="83">
        <v>5172061</v>
      </c>
      <c r="I14" s="32">
        <v>793.0647514819882</v>
      </c>
      <c r="J14" s="32">
        <v>84.013698630136986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101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84</v>
      </c>
      <c r="D18" s="8" t="s">
        <v>85</v>
      </c>
      <c r="E18" s="9" t="s">
        <v>2</v>
      </c>
      <c r="F18" s="10" t="s">
        <v>86</v>
      </c>
      <c r="G18" s="11" t="s">
        <v>87</v>
      </c>
      <c r="H18" s="9" t="s">
        <v>26</v>
      </c>
      <c r="I18" s="44"/>
      <c r="J18" s="44"/>
    </row>
    <row r="19" spans="1:10">
      <c r="A19" s="13"/>
      <c r="B19" s="14"/>
      <c r="C19" s="15" t="s">
        <v>27</v>
      </c>
      <c r="D19" s="15" t="s">
        <v>27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28</v>
      </c>
      <c r="B20" s="22" t="s">
        <v>29</v>
      </c>
      <c r="C20" s="23">
        <v>222</v>
      </c>
      <c r="D20" s="23">
        <v>2351</v>
      </c>
      <c r="E20" s="24">
        <v>-2129</v>
      </c>
      <c r="F20" s="23">
        <v>28497</v>
      </c>
      <c r="G20" s="23">
        <v>151633</v>
      </c>
      <c r="H20" s="24">
        <v>-123136</v>
      </c>
      <c r="I20" s="4"/>
      <c r="J20" s="4"/>
    </row>
    <row r="21" spans="1:10">
      <c r="A21" s="46" t="s">
        <v>30</v>
      </c>
      <c r="B21" s="22" t="s">
        <v>31</v>
      </c>
      <c r="C21" s="23">
        <v>136</v>
      </c>
      <c r="D21" s="23">
        <v>2279</v>
      </c>
      <c r="E21" s="24">
        <v>-2143</v>
      </c>
      <c r="F21" s="23">
        <v>21144</v>
      </c>
      <c r="G21" s="23">
        <v>167843</v>
      </c>
      <c r="H21" s="24">
        <v>-146699</v>
      </c>
      <c r="I21" s="4"/>
      <c r="J21" s="4"/>
    </row>
    <row r="22" spans="1:10">
      <c r="A22" s="46" t="s">
        <v>32</v>
      </c>
      <c r="B22" s="22" t="s">
        <v>33</v>
      </c>
      <c r="C22" s="23">
        <v>82703</v>
      </c>
      <c r="D22" s="23">
        <v>660261</v>
      </c>
      <c r="E22" s="24">
        <v>-577558</v>
      </c>
      <c r="F22" s="23">
        <v>3912319</v>
      </c>
      <c r="G22" s="23">
        <v>35182059</v>
      </c>
      <c r="H22" s="24">
        <v>-31269740</v>
      </c>
      <c r="I22" s="4"/>
      <c r="J22" s="4"/>
    </row>
    <row r="23" spans="1:10">
      <c r="A23" s="46" t="s">
        <v>34</v>
      </c>
      <c r="B23" s="22" t="s">
        <v>35</v>
      </c>
      <c r="C23" s="23">
        <v>2347</v>
      </c>
      <c r="D23" s="23">
        <v>98000</v>
      </c>
      <c r="E23" s="24">
        <v>-95653</v>
      </c>
      <c r="F23" s="23">
        <v>62321</v>
      </c>
      <c r="G23" s="23">
        <v>5377679</v>
      </c>
      <c r="H23" s="24">
        <v>-5315358</v>
      </c>
      <c r="I23" s="4"/>
      <c r="J23" s="4"/>
    </row>
    <row r="24" spans="1:10">
      <c r="A24" s="46" t="s">
        <v>36</v>
      </c>
      <c r="B24" s="22" t="s">
        <v>37</v>
      </c>
      <c r="C24" s="23">
        <v>1634</v>
      </c>
      <c r="D24" s="23">
        <v>9103</v>
      </c>
      <c r="E24" s="24">
        <v>-7469</v>
      </c>
      <c r="F24" s="23">
        <v>45392</v>
      </c>
      <c r="G24" s="23">
        <v>74183</v>
      </c>
      <c r="H24" s="24">
        <v>-28791</v>
      </c>
      <c r="I24" s="4"/>
      <c r="J24" s="4"/>
    </row>
    <row r="25" spans="1:10">
      <c r="A25" s="46" t="s">
        <v>38</v>
      </c>
      <c r="B25" s="22" t="s">
        <v>39</v>
      </c>
      <c r="C25" s="23">
        <v>5737</v>
      </c>
      <c r="D25" s="23">
        <v>15710</v>
      </c>
      <c r="E25" s="24">
        <v>-9973</v>
      </c>
      <c r="F25" s="23">
        <v>527682</v>
      </c>
      <c r="G25" s="23">
        <v>174707</v>
      </c>
      <c r="H25" s="24">
        <v>352975</v>
      </c>
      <c r="I25" s="4"/>
      <c r="J25" s="4"/>
    </row>
    <row r="26" spans="1:10">
      <c r="A26" s="46" t="s">
        <v>40</v>
      </c>
      <c r="B26" s="22" t="s">
        <v>41</v>
      </c>
      <c r="C26" s="23">
        <v>2188</v>
      </c>
      <c r="D26" s="23">
        <v>186996</v>
      </c>
      <c r="E26" s="24">
        <v>-184808</v>
      </c>
      <c r="F26" s="23">
        <v>123596</v>
      </c>
      <c r="G26" s="23">
        <v>4784533</v>
      </c>
      <c r="H26" s="24">
        <v>-4660937</v>
      </c>
      <c r="I26" s="4"/>
      <c r="J26" s="4"/>
    </row>
    <row r="27" spans="1:10">
      <c r="A27" s="46" t="s">
        <v>42</v>
      </c>
      <c r="B27" s="22" t="s">
        <v>43</v>
      </c>
      <c r="C27" s="23">
        <v>701</v>
      </c>
      <c r="D27" s="23">
        <v>1940</v>
      </c>
      <c r="E27" s="24">
        <v>-1239</v>
      </c>
      <c r="F27" s="23">
        <v>33268</v>
      </c>
      <c r="G27" s="23">
        <v>14183</v>
      </c>
      <c r="H27" s="24">
        <v>19085</v>
      </c>
      <c r="I27" s="4"/>
      <c r="J27" s="4"/>
    </row>
    <row r="28" spans="1:10">
      <c r="A28" s="46" t="s">
        <v>44</v>
      </c>
      <c r="B28" s="22" t="s">
        <v>45</v>
      </c>
      <c r="C28" s="23">
        <v>0</v>
      </c>
      <c r="D28" s="23">
        <v>9268</v>
      </c>
      <c r="E28" s="24">
        <v>-9268</v>
      </c>
      <c r="F28" s="23">
        <v>0</v>
      </c>
      <c r="G28" s="23">
        <v>29453</v>
      </c>
      <c r="H28" s="24">
        <v>-29453</v>
      </c>
      <c r="I28" s="4"/>
      <c r="J28" s="4"/>
    </row>
    <row r="29" spans="1:10">
      <c r="A29" s="46" t="s">
        <v>46</v>
      </c>
      <c r="B29" s="22" t="s">
        <v>47</v>
      </c>
      <c r="C29" s="23">
        <v>51776</v>
      </c>
      <c r="D29" s="23">
        <v>89238</v>
      </c>
      <c r="E29" s="24">
        <v>-37462</v>
      </c>
      <c r="F29" s="23">
        <v>2122777</v>
      </c>
      <c r="G29" s="23">
        <v>1837440</v>
      </c>
      <c r="H29" s="24">
        <v>285337</v>
      </c>
      <c r="I29" s="4"/>
      <c r="J29" s="4"/>
    </row>
    <row r="30" spans="1:10">
      <c r="A30" s="46" t="s">
        <v>48</v>
      </c>
      <c r="B30" s="22" t="s">
        <v>49</v>
      </c>
      <c r="C30" s="23">
        <v>972</v>
      </c>
      <c r="D30" s="23">
        <v>78164</v>
      </c>
      <c r="E30" s="24">
        <v>-77192</v>
      </c>
      <c r="F30" s="23">
        <v>44379</v>
      </c>
      <c r="G30" s="23">
        <v>870036</v>
      </c>
      <c r="H30" s="24">
        <v>-825657</v>
      </c>
      <c r="I30" s="4"/>
      <c r="J30" s="4"/>
    </row>
    <row r="31" spans="1:10">
      <c r="A31" s="46" t="s">
        <v>50</v>
      </c>
      <c r="B31" s="22" t="s">
        <v>51</v>
      </c>
      <c r="C31" s="23">
        <v>1622</v>
      </c>
      <c r="D31" s="23">
        <v>24947</v>
      </c>
      <c r="E31" s="24">
        <v>-23325</v>
      </c>
      <c r="F31" s="23">
        <v>21274</v>
      </c>
      <c r="G31" s="23">
        <v>235608</v>
      </c>
      <c r="H31" s="24">
        <v>-214334</v>
      </c>
      <c r="I31" s="4"/>
      <c r="J31" s="4"/>
    </row>
    <row r="32" spans="1:10">
      <c r="A32" s="46" t="s">
        <v>52</v>
      </c>
      <c r="B32" s="22" t="s">
        <v>53</v>
      </c>
      <c r="C32" s="23">
        <v>12355</v>
      </c>
      <c r="D32" s="23">
        <v>112942</v>
      </c>
      <c r="E32" s="24">
        <v>-100587</v>
      </c>
      <c r="F32" s="23">
        <v>605195</v>
      </c>
      <c r="G32" s="23">
        <v>864086</v>
      </c>
      <c r="H32" s="24">
        <v>-258891</v>
      </c>
      <c r="I32" s="4"/>
      <c r="J32" s="4"/>
    </row>
    <row r="33" spans="1:10">
      <c r="A33" s="46" t="s">
        <v>54</v>
      </c>
      <c r="B33" s="22" t="s">
        <v>55</v>
      </c>
      <c r="C33" s="23">
        <v>4414</v>
      </c>
      <c r="D33" s="23">
        <v>37092</v>
      </c>
      <c r="E33" s="24">
        <v>-32678</v>
      </c>
      <c r="F33" s="23">
        <v>118596</v>
      </c>
      <c r="G33" s="23">
        <v>179510</v>
      </c>
      <c r="H33" s="24">
        <v>-60914</v>
      </c>
      <c r="I33" s="4"/>
      <c r="J33" s="4"/>
    </row>
    <row r="34" spans="1:10">
      <c r="A34" s="46" t="s">
        <v>56</v>
      </c>
      <c r="B34" s="22" t="s">
        <v>57</v>
      </c>
      <c r="C34" s="23">
        <v>8132</v>
      </c>
      <c r="D34" s="23">
        <v>20019</v>
      </c>
      <c r="E34" s="24">
        <v>-11887</v>
      </c>
      <c r="F34" s="23">
        <v>694084</v>
      </c>
      <c r="G34" s="23">
        <v>460182</v>
      </c>
      <c r="H34" s="24">
        <v>233902</v>
      </c>
      <c r="I34" s="4"/>
      <c r="J34" s="4"/>
    </row>
    <row r="35" spans="1:10">
      <c r="A35" s="46" t="s">
        <v>58</v>
      </c>
      <c r="B35" s="22" t="s">
        <v>59</v>
      </c>
      <c r="C35" s="23">
        <v>15566</v>
      </c>
      <c r="D35" s="23">
        <v>44961</v>
      </c>
      <c r="E35" s="24">
        <v>-29395</v>
      </c>
      <c r="F35" s="23">
        <v>456241</v>
      </c>
      <c r="G35" s="23">
        <v>502157</v>
      </c>
      <c r="H35" s="24">
        <v>-45916</v>
      </c>
      <c r="I35" s="4"/>
      <c r="J35" s="4"/>
    </row>
    <row r="36" spans="1:10">
      <c r="A36" s="46" t="s">
        <v>60</v>
      </c>
      <c r="B36" s="22" t="s">
        <v>61</v>
      </c>
      <c r="C36" s="23">
        <v>105</v>
      </c>
      <c r="D36" s="47">
        <v>3271</v>
      </c>
      <c r="E36" s="24">
        <v>-3166</v>
      </c>
      <c r="F36" s="23">
        <v>5882</v>
      </c>
      <c r="G36" s="23">
        <v>5817</v>
      </c>
      <c r="H36" s="24">
        <v>65</v>
      </c>
      <c r="I36" s="4"/>
      <c r="J36" s="4"/>
    </row>
    <row r="37" spans="1:10">
      <c r="A37" s="46" t="s">
        <v>62</v>
      </c>
      <c r="B37" s="22" t="s">
        <v>63</v>
      </c>
      <c r="C37" s="23">
        <v>2493</v>
      </c>
      <c r="D37" s="23">
        <v>27788</v>
      </c>
      <c r="E37" s="24">
        <v>-25295</v>
      </c>
      <c r="F37" s="23">
        <v>71567</v>
      </c>
      <c r="G37" s="23">
        <v>632725</v>
      </c>
      <c r="H37" s="24">
        <v>-561158</v>
      </c>
      <c r="I37" s="4"/>
      <c r="J37" s="4"/>
    </row>
    <row r="38" spans="1:10">
      <c r="A38" s="46" t="s">
        <v>64</v>
      </c>
      <c r="B38" s="22" t="s">
        <v>65</v>
      </c>
      <c r="C38" s="23">
        <v>2353</v>
      </c>
      <c r="D38" s="23">
        <v>52408</v>
      </c>
      <c r="E38" s="24">
        <v>-50055</v>
      </c>
      <c r="F38" s="23">
        <v>61570</v>
      </c>
      <c r="G38" s="23">
        <v>1172568</v>
      </c>
      <c r="H38" s="24">
        <v>-1110998</v>
      </c>
      <c r="I38" s="4"/>
      <c r="J38" s="4"/>
    </row>
    <row r="39" spans="1:10">
      <c r="A39" s="46" t="s">
        <v>66</v>
      </c>
      <c r="B39" s="22" t="s">
        <v>67</v>
      </c>
      <c r="C39" s="23">
        <v>4674</v>
      </c>
      <c r="D39" s="23">
        <v>51786</v>
      </c>
      <c r="E39" s="24">
        <v>-47112</v>
      </c>
      <c r="F39" s="23">
        <v>128790</v>
      </c>
      <c r="G39" s="23">
        <v>1598985</v>
      </c>
      <c r="H39" s="24">
        <v>-1470195</v>
      </c>
      <c r="I39" s="4"/>
      <c r="J39" s="4"/>
    </row>
    <row r="40" spans="1:10">
      <c r="A40" s="46" t="s">
        <v>68</v>
      </c>
      <c r="B40" s="22" t="s">
        <v>69</v>
      </c>
      <c r="C40" s="23">
        <v>10156</v>
      </c>
      <c r="D40" s="23">
        <v>91494</v>
      </c>
      <c r="E40" s="24">
        <v>-81338</v>
      </c>
      <c r="F40" s="23">
        <v>207482</v>
      </c>
      <c r="G40" s="23">
        <v>576177</v>
      </c>
      <c r="H40" s="24">
        <v>-368695</v>
      </c>
      <c r="I40" s="4"/>
      <c r="J40" s="4"/>
    </row>
    <row r="41" spans="1:10">
      <c r="A41" s="46" t="s">
        <v>70</v>
      </c>
      <c r="B41" s="22" t="s">
        <v>71</v>
      </c>
      <c r="C41" s="23">
        <v>920</v>
      </c>
      <c r="D41" s="23">
        <v>27359</v>
      </c>
      <c r="E41" s="24">
        <v>-26439</v>
      </c>
      <c r="F41" s="23">
        <v>13334</v>
      </c>
      <c r="G41" s="23">
        <v>170967</v>
      </c>
      <c r="H41" s="24">
        <v>-157633</v>
      </c>
      <c r="I41" s="4"/>
      <c r="J41" s="4"/>
    </row>
    <row r="42" spans="1:10" ht="18.75" customHeight="1" thickBot="1">
      <c r="A42" s="48" t="s">
        <v>24</v>
      </c>
      <c r="B42" s="49"/>
      <c r="C42" s="50">
        <v>211206</v>
      </c>
      <c r="D42" s="50">
        <v>1647377</v>
      </c>
      <c r="E42" s="51">
        <v>-1436171</v>
      </c>
      <c r="F42" s="50">
        <v>9305390</v>
      </c>
      <c r="G42" s="50">
        <v>55062531</v>
      </c>
      <c r="H42" s="51">
        <v>-45757141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D7A9C8"/>
    <pageSetUpPr fitToPage="1"/>
  </sheetPr>
  <dimension ref="A1:K46"/>
  <sheetViews>
    <sheetView topLeftCell="A13" zoomScaleNormal="100" workbookViewId="0">
      <selection activeCell="K20" sqref="K20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34.15" customHeight="1">
      <c r="A1" s="134" t="s">
        <v>99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0</v>
      </c>
      <c r="B3" s="6" t="s">
        <v>1</v>
      </c>
      <c r="C3" s="7" t="s">
        <v>91</v>
      </c>
      <c r="D3" s="7" t="s">
        <v>93</v>
      </c>
      <c r="E3" s="9" t="s">
        <v>73</v>
      </c>
      <c r="F3" s="74" t="s">
        <v>94</v>
      </c>
      <c r="G3" s="74" t="s">
        <v>92</v>
      </c>
      <c r="H3" s="9" t="s">
        <v>73</v>
      </c>
      <c r="I3" s="56" t="s">
        <v>89</v>
      </c>
      <c r="J3" s="56" t="s">
        <v>88</v>
      </c>
      <c r="K3" s="57" t="s">
        <v>74</v>
      </c>
    </row>
    <row r="4" spans="1:11">
      <c r="A4" s="13"/>
      <c r="B4" s="14"/>
      <c r="C4" s="15" t="s">
        <v>75</v>
      </c>
      <c r="D4" s="15" t="s">
        <v>75</v>
      </c>
      <c r="E4" s="16" t="s">
        <v>76</v>
      </c>
      <c r="F4" s="75" t="s">
        <v>77</v>
      </c>
      <c r="G4" s="75" t="s">
        <v>77</v>
      </c>
      <c r="H4" s="16" t="s">
        <v>78</v>
      </c>
      <c r="I4" s="58" t="s">
        <v>7</v>
      </c>
      <c r="J4" s="14" t="s">
        <v>7</v>
      </c>
      <c r="K4" s="59" t="s">
        <v>79</v>
      </c>
    </row>
    <row r="5" spans="1:11" ht="16.5">
      <c r="A5" s="21" t="s">
        <v>8</v>
      </c>
      <c r="B5" s="22" t="s">
        <v>9</v>
      </c>
      <c r="C5" s="23">
        <v>4354</v>
      </c>
      <c r="D5" s="23">
        <v>0</v>
      </c>
      <c r="E5" s="89">
        <v>0</v>
      </c>
      <c r="F5" s="76">
        <v>707745</v>
      </c>
      <c r="G5" s="76">
        <v>0</v>
      </c>
      <c r="H5" s="90">
        <v>0</v>
      </c>
      <c r="I5" s="25">
        <v>162.55052824988516</v>
      </c>
      <c r="J5" s="25">
        <v>0</v>
      </c>
      <c r="K5" s="89">
        <v>0</v>
      </c>
    </row>
    <row r="6" spans="1:11" ht="16.5">
      <c r="A6" s="26" t="s">
        <v>10</v>
      </c>
      <c r="B6" s="27" t="s">
        <v>11</v>
      </c>
      <c r="C6" s="23">
        <v>28</v>
      </c>
      <c r="D6" s="23">
        <v>0</v>
      </c>
      <c r="E6" s="89">
        <v>0</v>
      </c>
      <c r="F6" s="76">
        <v>52320</v>
      </c>
      <c r="G6" s="76">
        <v>0</v>
      </c>
      <c r="H6" s="90">
        <v>0</v>
      </c>
      <c r="I6" s="25">
        <v>1868.5714285714287</v>
      </c>
      <c r="J6" s="25">
        <v>0</v>
      </c>
      <c r="K6" s="89">
        <v>0</v>
      </c>
    </row>
    <row r="7" spans="1:11" ht="16.5">
      <c r="A7" s="21" t="s">
        <v>12</v>
      </c>
      <c r="B7" s="28" t="s">
        <v>13</v>
      </c>
      <c r="C7" s="23">
        <v>0</v>
      </c>
      <c r="D7" s="23">
        <v>0</v>
      </c>
      <c r="E7" s="89">
        <v>0</v>
      </c>
      <c r="F7" s="76">
        <v>0</v>
      </c>
      <c r="G7" s="76">
        <v>0</v>
      </c>
      <c r="H7" s="90">
        <v>0</v>
      </c>
      <c r="I7" s="25">
        <v>0</v>
      </c>
      <c r="J7" s="25">
        <v>0</v>
      </c>
      <c r="K7" s="89">
        <v>0</v>
      </c>
    </row>
    <row r="8" spans="1:11" ht="16.5">
      <c r="A8" s="21" t="s">
        <v>14</v>
      </c>
      <c r="B8" s="28" t="s">
        <v>15</v>
      </c>
      <c r="C8" s="23">
        <v>156</v>
      </c>
      <c r="D8" s="23">
        <v>0</v>
      </c>
      <c r="E8" s="89">
        <v>0</v>
      </c>
      <c r="F8" s="76">
        <v>61438</v>
      </c>
      <c r="G8" s="76">
        <v>0</v>
      </c>
      <c r="H8" s="90">
        <v>0</v>
      </c>
      <c r="I8" s="25">
        <v>393.83333333333331</v>
      </c>
      <c r="J8" s="25">
        <v>0</v>
      </c>
      <c r="K8" s="89">
        <v>0</v>
      </c>
    </row>
    <row r="9" spans="1:11" ht="16.5">
      <c r="A9" s="21" t="s">
        <v>16</v>
      </c>
      <c r="B9" s="28" t="s">
        <v>17</v>
      </c>
      <c r="C9" s="23">
        <v>465</v>
      </c>
      <c r="D9" s="23">
        <v>147</v>
      </c>
      <c r="E9" s="89">
        <v>2.1632653061224492</v>
      </c>
      <c r="F9" s="76">
        <v>675230</v>
      </c>
      <c r="G9" s="76">
        <v>181229</v>
      </c>
      <c r="H9" s="90">
        <v>2.725838579918225</v>
      </c>
      <c r="I9" s="25">
        <v>1452.1075268817203</v>
      </c>
      <c r="J9" s="25">
        <v>1232.8503401360545</v>
      </c>
      <c r="K9" s="89">
        <v>0.17784574461930974</v>
      </c>
    </row>
    <row r="10" spans="1:11" ht="16.5">
      <c r="A10" s="21" t="s">
        <v>18</v>
      </c>
      <c r="B10" s="28" t="s">
        <v>19</v>
      </c>
      <c r="C10" s="23">
        <v>3769</v>
      </c>
      <c r="D10" s="23">
        <v>1203</v>
      </c>
      <c r="E10" s="89">
        <v>2.1330008312551954</v>
      </c>
      <c r="F10" s="76">
        <v>5460031</v>
      </c>
      <c r="G10" s="76">
        <v>1606582</v>
      </c>
      <c r="H10" s="90">
        <v>2.3985386366833441</v>
      </c>
      <c r="I10" s="25">
        <v>1448.6683470416556</v>
      </c>
      <c r="J10" s="25">
        <v>1335.4796342477141</v>
      </c>
      <c r="K10" s="89">
        <v>8.4755102130555177E-2</v>
      </c>
    </row>
    <row r="11" spans="1:11" ht="17.25" thickBot="1">
      <c r="A11" s="30" t="s">
        <v>20</v>
      </c>
      <c r="B11" s="70" t="s">
        <v>21</v>
      </c>
      <c r="C11" s="63">
        <v>8772</v>
      </c>
      <c r="D11" s="63">
        <v>1350</v>
      </c>
      <c r="E11" s="91">
        <v>5.4977777777777774</v>
      </c>
      <c r="F11" s="77">
        <v>6956764</v>
      </c>
      <c r="G11" s="77">
        <v>1787811</v>
      </c>
      <c r="H11" s="91">
        <v>2.8912189263853953</v>
      </c>
      <c r="I11" s="71">
        <v>793.0647514819882</v>
      </c>
      <c r="J11" s="72">
        <v>1324.3044444444445</v>
      </c>
      <c r="K11" s="91">
        <v>-0.40114619805970314</v>
      </c>
    </row>
    <row r="12" spans="1:11" ht="11.25" customHeight="1" thickTop="1">
      <c r="A12" s="33"/>
      <c r="B12" s="34"/>
      <c r="E12" s="68"/>
      <c r="F12" s="78"/>
      <c r="G12" s="78"/>
      <c r="H12" s="68"/>
      <c r="I12" s="60"/>
      <c r="J12" s="69"/>
      <c r="K12" s="61"/>
    </row>
    <row r="13" spans="1:11" ht="16.5">
      <c r="A13" s="21" t="s">
        <v>22</v>
      </c>
      <c r="B13" s="22" t="s">
        <v>23</v>
      </c>
      <c r="C13" s="23">
        <v>0</v>
      </c>
      <c r="D13" s="23">
        <v>0</v>
      </c>
      <c r="E13" s="89">
        <v>0</v>
      </c>
      <c r="F13" s="76">
        <v>0</v>
      </c>
      <c r="G13" s="76">
        <v>0</v>
      </c>
      <c r="H13" s="92">
        <v>0</v>
      </c>
      <c r="I13" s="25">
        <v>0</v>
      </c>
      <c r="J13" s="25">
        <v>0</v>
      </c>
      <c r="K13" s="89">
        <v>0</v>
      </c>
    </row>
    <row r="14" spans="1:11" ht="17.25" thickBot="1">
      <c r="A14" s="30" t="s">
        <v>24</v>
      </c>
      <c r="B14" s="36" t="s">
        <v>80</v>
      </c>
      <c r="C14" s="31">
        <v>8772</v>
      </c>
      <c r="D14" s="31">
        <v>1350</v>
      </c>
      <c r="E14" s="91">
        <v>5.4977777777777774</v>
      </c>
      <c r="F14" s="79">
        <v>6956764</v>
      </c>
      <c r="G14" s="79">
        <v>1787811</v>
      </c>
      <c r="H14" s="93">
        <v>2.8912189263853953</v>
      </c>
      <c r="I14" s="32">
        <v>793.0647514819882</v>
      </c>
      <c r="J14" s="62">
        <v>1324.3044444444445</v>
      </c>
      <c r="K14" s="88">
        <v>-0.40114619805970314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98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91</v>
      </c>
      <c r="D18" s="7" t="s">
        <v>93</v>
      </c>
      <c r="E18" s="9" t="s">
        <v>73</v>
      </c>
      <c r="F18" s="74" t="s">
        <v>94</v>
      </c>
      <c r="G18" s="74" t="s">
        <v>92</v>
      </c>
      <c r="H18" s="9" t="s">
        <v>73</v>
      </c>
      <c r="I18" s="44"/>
      <c r="J18" s="44"/>
    </row>
    <row r="19" spans="1:10">
      <c r="A19" s="13"/>
      <c r="B19" s="14"/>
      <c r="C19" s="15" t="s">
        <v>81</v>
      </c>
      <c r="D19" s="15" t="s">
        <v>81</v>
      </c>
      <c r="E19" s="16" t="s">
        <v>76</v>
      </c>
      <c r="F19" s="75" t="s">
        <v>77</v>
      </c>
      <c r="G19" s="75" t="s">
        <v>77</v>
      </c>
      <c r="H19" s="16" t="s">
        <v>82</v>
      </c>
      <c r="I19" s="45"/>
      <c r="J19" s="44"/>
    </row>
    <row r="20" spans="1:10">
      <c r="A20" s="46" t="s">
        <v>28</v>
      </c>
      <c r="B20" s="22" t="s">
        <v>29</v>
      </c>
      <c r="C20" s="23">
        <v>222</v>
      </c>
      <c r="D20" s="23">
        <v>600</v>
      </c>
      <c r="E20" s="90">
        <v>-0.63</v>
      </c>
      <c r="F20" s="76">
        <v>28497</v>
      </c>
      <c r="G20" s="76">
        <v>57577</v>
      </c>
      <c r="H20" s="94">
        <v>-0.50506278548726058</v>
      </c>
      <c r="I20" s="4"/>
      <c r="J20" s="4"/>
    </row>
    <row r="21" spans="1:10">
      <c r="A21" s="46" t="s">
        <v>30</v>
      </c>
      <c r="B21" s="22" t="s">
        <v>31</v>
      </c>
      <c r="C21" s="23">
        <v>136</v>
      </c>
      <c r="D21" s="23">
        <v>0</v>
      </c>
      <c r="E21" s="90">
        <v>0</v>
      </c>
      <c r="F21" s="76">
        <v>21144</v>
      </c>
      <c r="G21" s="76">
        <v>0</v>
      </c>
      <c r="H21" s="94">
        <v>0</v>
      </c>
      <c r="I21" s="4"/>
      <c r="J21" s="4"/>
    </row>
    <row r="22" spans="1:10">
      <c r="A22" s="46" t="s">
        <v>32</v>
      </c>
      <c r="B22" s="22" t="s">
        <v>33</v>
      </c>
      <c r="C22" s="23">
        <v>82703</v>
      </c>
      <c r="D22" s="23">
        <v>184640</v>
      </c>
      <c r="E22" s="90">
        <v>-0.55208513864818021</v>
      </c>
      <c r="F22" s="76">
        <v>3912319</v>
      </c>
      <c r="G22" s="76">
        <v>5754971</v>
      </c>
      <c r="H22" s="94">
        <v>-0.3201844110074577</v>
      </c>
      <c r="I22" s="4"/>
      <c r="J22" s="4"/>
    </row>
    <row r="23" spans="1:10">
      <c r="A23" s="46" t="s">
        <v>34</v>
      </c>
      <c r="B23" s="22" t="s">
        <v>35</v>
      </c>
      <c r="C23" s="23">
        <v>2347</v>
      </c>
      <c r="D23" s="23">
        <v>7439</v>
      </c>
      <c r="E23" s="90">
        <v>-0.68450060492001608</v>
      </c>
      <c r="F23" s="76">
        <v>62321</v>
      </c>
      <c r="G23" s="76">
        <v>126869</v>
      </c>
      <c r="H23" s="94">
        <v>-0.50877676973886454</v>
      </c>
      <c r="I23" s="4"/>
      <c r="J23" s="4"/>
    </row>
    <row r="24" spans="1:10">
      <c r="A24" s="46" t="s">
        <v>36</v>
      </c>
      <c r="B24" s="22" t="s">
        <v>37</v>
      </c>
      <c r="C24" s="23">
        <v>1634</v>
      </c>
      <c r="D24" s="23">
        <v>15213</v>
      </c>
      <c r="E24" s="90">
        <v>-0.89259186222309872</v>
      </c>
      <c r="F24" s="76">
        <v>45392</v>
      </c>
      <c r="G24" s="76">
        <v>198408</v>
      </c>
      <c r="H24" s="94">
        <v>-0.77121890246361036</v>
      </c>
      <c r="I24" s="4"/>
      <c r="J24" s="4"/>
    </row>
    <row r="25" spans="1:10">
      <c r="A25" s="46" t="s">
        <v>38</v>
      </c>
      <c r="B25" s="22" t="s">
        <v>39</v>
      </c>
      <c r="C25" s="23">
        <v>5737</v>
      </c>
      <c r="D25" s="23">
        <v>369</v>
      </c>
      <c r="E25" s="90">
        <v>14.547425474254743</v>
      </c>
      <c r="F25" s="76">
        <v>527682</v>
      </c>
      <c r="G25" s="76">
        <v>32803</v>
      </c>
      <c r="H25" s="94">
        <v>15.086394537085022</v>
      </c>
      <c r="I25" s="4"/>
      <c r="J25" s="4"/>
    </row>
    <row r="26" spans="1:10">
      <c r="A26" s="46" t="s">
        <v>40</v>
      </c>
      <c r="B26" s="22" t="s">
        <v>41</v>
      </c>
      <c r="C26" s="23">
        <v>2188</v>
      </c>
      <c r="D26" s="23">
        <v>8287</v>
      </c>
      <c r="E26" s="90">
        <v>-0.73597200434415344</v>
      </c>
      <c r="F26" s="76">
        <v>123596</v>
      </c>
      <c r="G26" s="76">
        <v>376417</v>
      </c>
      <c r="H26" s="94">
        <v>-0.67165138662706525</v>
      </c>
      <c r="I26" s="4"/>
      <c r="J26" s="4"/>
    </row>
    <row r="27" spans="1:10">
      <c r="A27" s="46" t="s">
        <v>42</v>
      </c>
      <c r="B27" s="22" t="s">
        <v>43</v>
      </c>
      <c r="C27" s="23">
        <v>701</v>
      </c>
      <c r="D27" s="23">
        <v>0</v>
      </c>
      <c r="E27" s="90">
        <v>0</v>
      </c>
      <c r="F27" s="76">
        <v>33268</v>
      </c>
      <c r="G27" s="76">
        <v>0</v>
      </c>
      <c r="H27" s="94">
        <v>0</v>
      </c>
      <c r="I27" s="4"/>
      <c r="J27" s="4"/>
    </row>
    <row r="28" spans="1:10">
      <c r="A28" s="46" t="s">
        <v>44</v>
      </c>
      <c r="B28" s="22" t="s">
        <v>45</v>
      </c>
      <c r="C28" s="23">
        <v>0</v>
      </c>
      <c r="D28" s="23">
        <v>364</v>
      </c>
      <c r="E28" s="90">
        <v>-1</v>
      </c>
      <c r="F28" s="76">
        <v>0</v>
      </c>
      <c r="G28" s="76">
        <v>7595</v>
      </c>
      <c r="H28" s="94">
        <v>-1</v>
      </c>
      <c r="I28" s="4"/>
      <c r="J28" s="4"/>
    </row>
    <row r="29" spans="1:10">
      <c r="A29" s="46" t="s">
        <v>46</v>
      </c>
      <c r="B29" s="22" t="s">
        <v>47</v>
      </c>
      <c r="C29" s="23">
        <v>51776</v>
      </c>
      <c r="D29" s="23">
        <v>182941</v>
      </c>
      <c r="E29" s="90">
        <v>-0.71697979129883405</v>
      </c>
      <c r="F29" s="76">
        <v>2122777</v>
      </c>
      <c r="G29" s="76">
        <v>5332478</v>
      </c>
      <c r="H29" s="94">
        <v>-0.60191546969345211</v>
      </c>
      <c r="I29" s="4"/>
      <c r="J29" s="4"/>
    </row>
    <row r="30" spans="1:10">
      <c r="A30" s="46" t="s">
        <v>48</v>
      </c>
      <c r="B30" s="22" t="s">
        <v>49</v>
      </c>
      <c r="C30" s="23">
        <v>972</v>
      </c>
      <c r="D30" s="23">
        <v>2430</v>
      </c>
      <c r="E30" s="90">
        <v>-0.6</v>
      </c>
      <c r="F30" s="76">
        <v>44379</v>
      </c>
      <c r="G30" s="76">
        <v>92151</v>
      </c>
      <c r="H30" s="94">
        <v>-0.5184100009766579</v>
      </c>
      <c r="I30" s="4"/>
      <c r="J30" s="4"/>
    </row>
    <row r="31" spans="1:10">
      <c r="A31" s="46" t="s">
        <v>50</v>
      </c>
      <c r="B31" s="22" t="s">
        <v>51</v>
      </c>
      <c r="C31" s="23">
        <v>1622</v>
      </c>
      <c r="D31" s="23">
        <v>29391</v>
      </c>
      <c r="E31" s="90">
        <v>-0.94481303800483141</v>
      </c>
      <c r="F31" s="76">
        <v>21274</v>
      </c>
      <c r="G31" s="76">
        <v>508356</v>
      </c>
      <c r="H31" s="94">
        <v>-0.9581513742338047</v>
      </c>
      <c r="I31" s="4"/>
      <c r="J31" s="4"/>
    </row>
    <row r="32" spans="1:10">
      <c r="A32" s="46" t="s">
        <v>52</v>
      </c>
      <c r="B32" s="22" t="s">
        <v>53</v>
      </c>
      <c r="C32" s="23">
        <v>12355</v>
      </c>
      <c r="D32" s="23">
        <v>31214</v>
      </c>
      <c r="E32" s="90">
        <v>-0.60418401999102966</v>
      </c>
      <c r="F32" s="76">
        <v>605195</v>
      </c>
      <c r="G32" s="76">
        <v>1030740</v>
      </c>
      <c r="H32" s="94">
        <v>-0.41285387197547391</v>
      </c>
      <c r="I32" s="4"/>
      <c r="J32" s="4"/>
    </row>
    <row r="33" spans="1:10">
      <c r="A33" s="46" t="s">
        <v>54</v>
      </c>
      <c r="B33" s="22" t="s">
        <v>55</v>
      </c>
      <c r="C33" s="23">
        <v>4414</v>
      </c>
      <c r="D33" s="23">
        <v>6373</v>
      </c>
      <c r="E33" s="90">
        <v>-0.30739055389926251</v>
      </c>
      <c r="F33" s="76">
        <v>118596</v>
      </c>
      <c r="G33" s="76">
        <v>103545</v>
      </c>
      <c r="H33" s="94">
        <v>0.14535709111980299</v>
      </c>
      <c r="I33" s="4"/>
      <c r="J33" s="4"/>
    </row>
    <row r="34" spans="1:10">
      <c r="A34" s="46" t="s">
        <v>56</v>
      </c>
      <c r="B34" s="22" t="s">
        <v>57</v>
      </c>
      <c r="C34" s="23">
        <v>8132</v>
      </c>
      <c r="D34" s="23">
        <v>10601</v>
      </c>
      <c r="E34" s="90">
        <v>-0.23290255636260729</v>
      </c>
      <c r="F34" s="76">
        <v>694084</v>
      </c>
      <c r="G34" s="76">
        <v>795912</v>
      </c>
      <c r="H34" s="94">
        <v>-0.12793876709988039</v>
      </c>
      <c r="I34" s="4"/>
      <c r="J34" s="4"/>
    </row>
    <row r="35" spans="1:10">
      <c r="A35" s="46" t="s">
        <v>58</v>
      </c>
      <c r="B35" s="22" t="s">
        <v>59</v>
      </c>
      <c r="C35" s="23">
        <v>15566</v>
      </c>
      <c r="D35" s="23">
        <v>0</v>
      </c>
      <c r="E35" s="90">
        <v>0</v>
      </c>
      <c r="F35" s="76">
        <v>456241</v>
      </c>
      <c r="G35" s="76">
        <v>0</v>
      </c>
      <c r="H35" s="94">
        <v>0</v>
      </c>
      <c r="I35" s="4"/>
      <c r="J35" s="4"/>
    </row>
    <row r="36" spans="1:10">
      <c r="A36" s="46" t="s">
        <v>60</v>
      </c>
      <c r="B36" s="22" t="s">
        <v>61</v>
      </c>
      <c r="C36" s="23">
        <v>105</v>
      </c>
      <c r="D36" s="23">
        <v>401</v>
      </c>
      <c r="E36" s="90">
        <v>-0.73815461346633415</v>
      </c>
      <c r="F36" s="76">
        <v>5882</v>
      </c>
      <c r="G36" s="76">
        <v>5063</v>
      </c>
      <c r="H36" s="94">
        <v>0.16176180130357495</v>
      </c>
      <c r="I36" s="4"/>
      <c r="J36" s="4"/>
    </row>
    <row r="37" spans="1:10">
      <c r="A37" s="46" t="s">
        <v>62</v>
      </c>
      <c r="B37" s="22" t="s">
        <v>63</v>
      </c>
      <c r="C37" s="29">
        <v>2493</v>
      </c>
      <c r="D37" s="23">
        <v>7493</v>
      </c>
      <c r="E37" s="90">
        <v>-0.66728947017216067</v>
      </c>
      <c r="F37" s="76">
        <v>71567</v>
      </c>
      <c r="G37" s="76">
        <v>213270</v>
      </c>
      <c r="H37" s="94">
        <v>-0.66443006517559899</v>
      </c>
      <c r="I37" s="4"/>
      <c r="J37" s="4"/>
    </row>
    <row r="38" spans="1:10">
      <c r="A38" s="46" t="s">
        <v>64</v>
      </c>
      <c r="B38" s="22" t="s">
        <v>65</v>
      </c>
      <c r="C38" s="23">
        <v>2353</v>
      </c>
      <c r="D38" s="23">
        <v>6679</v>
      </c>
      <c r="E38" s="90">
        <v>-0.64770175175924538</v>
      </c>
      <c r="F38" s="76">
        <v>61570</v>
      </c>
      <c r="G38" s="76">
        <v>222639</v>
      </c>
      <c r="H38" s="94">
        <v>-0.72345366265568922</v>
      </c>
      <c r="I38" s="4"/>
      <c r="J38" s="4"/>
    </row>
    <row r="39" spans="1:10">
      <c r="A39" s="46" t="s">
        <v>66</v>
      </c>
      <c r="B39" s="22" t="s">
        <v>67</v>
      </c>
      <c r="C39" s="23">
        <v>4674</v>
      </c>
      <c r="D39" s="23">
        <v>9268</v>
      </c>
      <c r="E39" s="90">
        <v>-0.49568407423392319</v>
      </c>
      <c r="F39" s="76">
        <v>128790</v>
      </c>
      <c r="G39" s="76">
        <v>203181</v>
      </c>
      <c r="H39" s="94">
        <v>-0.36613167569802296</v>
      </c>
      <c r="I39" s="4"/>
      <c r="J39" s="4"/>
    </row>
    <row r="40" spans="1:10">
      <c r="A40" s="46" t="s">
        <v>68</v>
      </c>
      <c r="B40" s="22" t="s">
        <v>69</v>
      </c>
      <c r="C40" s="23">
        <v>10156</v>
      </c>
      <c r="D40" s="23">
        <v>98271</v>
      </c>
      <c r="E40" s="90">
        <v>-0.89665313266375635</v>
      </c>
      <c r="F40" s="76">
        <v>207482</v>
      </c>
      <c r="G40" s="76">
        <v>1509222</v>
      </c>
      <c r="H40" s="94">
        <v>-0.86252386991443275</v>
      </c>
      <c r="I40" s="4"/>
      <c r="J40" s="4"/>
    </row>
    <row r="41" spans="1:10">
      <c r="A41" s="46" t="s">
        <v>70</v>
      </c>
      <c r="B41" s="22" t="s">
        <v>71</v>
      </c>
      <c r="C41" s="23">
        <v>920</v>
      </c>
      <c r="D41" s="23">
        <v>3003</v>
      </c>
      <c r="E41" s="90">
        <v>-0.69363969363969369</v>
      </c>
      <c r="F41" s="76">
        <v>13334</v>
      </c>
      <c r="G41" s="76">
        <v>51789</v>
      </c>
      <c r="H41" s="94">
        <v>-0.74253219795709513</v>
      </c>
      <c r="I41" s="4"/>
      <c r="J41" s="4"/>
    </row>
    <row r="42" spans="1:10" ht="18.75" customHeight="1" thickBot="1">
      <c r="A42" s="48" t="s">
        <v>24</v>
      </c>
      <c r="B42" s="49"/>
      <c r="C42" s="63">
        <v>211206</v>
      </c>
      <c r="D42" s="63">
        <v>604977</v>
      </c>
      <c r="E42" s="91">
        <v>-0.65088590144749303</v>
      </c>
      <c r="F42" s="77">
        <v>9305390</v>
      </c>
      <c r="G42" s="77">
        <v>16622986</v>
      </c>
      <c r="H42" s="91">
        <v>-0.44020947860992005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39" priority="7" operator="greaterThanOrEqual">
      <formula>0</formula>
    </cfRule>
    <cfRule type="cellIs" dxfId="38" priority="8" operator="lessThan">
      <formula>0</formula>
    </cfRule>
  </conditionalFormatting>
  <conditionalFormatting sqref="E13">
    <cfRule type="cellIs" dxfId="37" priority="5" operator="greaterThanOrEqual">
      <formula>0</formula>
    </cfRule>
    <cfRule type="cellIs" dxfId="36" priority="6" operator="lessThan">
      <formula>0</formula>
    </cfRule>
  </conditionalFormatting>
  <conditionalFormatting sqref="E20:E41">
    <cfRule type="cellIs" dxfId="35" priority="21" operator="greaterThanOrEqual">
      <formula>0</formula>
    </cfRule>
    <cfRule type="cellIs" dxfId="34" priority="22" operator="lessThan">
      <formula>0</formula>
    </cfRule>
  </conditionalFormatting>
  <conditionalFormatting sqref="H5:H10">
    <cfRule type="cellIs" dxfId="33" priority="17" operator="greaterThanOrEqual">
      <formula>0</formula>
    </cfRule>
    <cfRule type="cellIs" dxfId="32" priority="18" operator="lessThan">
      <formula>0</formula>
    </cfRule>
  </conditionalFormatting>
  <conditionalFormatting sqref="H13">
    <cfRule type="cellIs" dxfId="31" priority="29" operator="greaterThanOrEqual">
      <formula>0</formula>
    </cfRule>
    <cfRule type="cellIs" dxfId="30" priority="30" operator="lessThan">
      <formula>0</formula>
    </cfRule>
  </conditionalFormatting>
  <conditionalFormatting sqref="K5:K10">
    <cfRule type="cellIs" dxfId="29" priority="3" operator="greaterThanOrEqual">
      <formula>0</formula>
    </cfRule>
    <cfRule type="cellIs" dxfId="28" priority="4" operator="lessThan">
      <formula>0</formula>
    </cfRule>
  </conditionalFormatting>
  <conditionalFormatting sqref="K13">
    <cfRule type="cellIs" dxfId="27" priority="1" operator="greaterThanOrEqual">
      <formula>0</formula>
    </cfRule>
    <cfRule type="cellIs" dxfId="26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D7A9C8"/>
  </sheetPr>
  <dimension ref="A1:K46"/>
  <sheetViews>
    <sheetView zoomScaleNormal="100" workbookViewId="0">
      <selection activeCell="L22" sqref="L2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2" customFormat="1" ht="19.5">
      <c r="A1" s="131" t="s">
        <v>90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0</v>
      </c>
      <c r="B3" s="6" t="s">
        <v>1</v>
      </c>
      <c r="C3" s="7" t="s">
        <v>91</v>
      </c>
      <c r="D3" s="7" t="s">
        <v>93</v>
      </c>
      <c r="E3" s="9" t="s">
        <v>83</v>
      </c>
      <c r="F3" s="74" t="s">
        <v>94</v>
      </c>
      <c r="G3" s="74" t="s">
        <v>92</v>
      </c>
      <c r="H3" s="9" t="s">
        <v>83</v>
      </c>
      <c r="I3" s="56" t="s">
        <v>95</v>
      </c>
      <c r="J3" s="56" t="s">
        <v>96</v>
      </c>
      <c r="K3" s="64" t="s">
        <v>74</v>
      </c>
    </row>
    <row r="4" spans="1:11">
      <c r="A4" s="13"/>
      <c r="B4" s="14"/>
      <c r="C4" s="15" t="s">
        <v>75</v>
      </c>
      <c r="D4" s="15" t="s">
        <v>75</v>
      </c>
      <c r="E4" s="16" t="s">
        <v>76</v>
      </c>
      <c r="F4" s="75" t="s">
        <v>77</v>
      </c>
      <c r="G4" s="75" t="s">
        <v>77</v>
      </c>
      <c r="H4" s="16" t="s">
        <v>78</v>
      </c>
      <c r="I4" s="58" t="s">
        <v>7</v>
      </c>
      <c r="J4" s="65" t="s">
        <v>7</v>
      </c>
      <c r="K4" s="66" t="s">
        <v>79</v>
      </c>
    </row>
    <row r="5" spans="1:11" ht="16.5">
      <c r="A5" s="21" t="s">
        <v>8</v>
      </c>
      <c r="B5" s="22" t="s">
        <v>9</v>
      </c>
      <c r="C5" s="23">
        <v>3988</v>
      </c>
      <c r="D5" s="23">
        <v>2284</v>
      </c>
      <c r="E5" s="90">
        <v>0.74605954465849389</v>
      </c>
      <c r="F5" s="76">
        <v>200979</v>
      </c>
      <c r="G5" s="76">
        <v>182086</v>
      </c>
      <c r="H5" s="90">
        <v>0.10375866348868117</v>
      </c>
      <c r="I5" s="25">
        <v>50.39593781344032</v>
      </c>
      <c r="J5" s="25">
        <v>79.722416812609453</v>
      </c>
      <c r="K5" s="90">
        <v>-0.36785737527378437</v>
      </c>
    </row>
    <row r="6" spans="1:11" ht="16.5">
      <c r="A6" s="26" t="s">
        <v>10</v>
      </c>
      <c r="B6" s="27" t="s">
        <v>11</v>
      </c>
      <c r="C6" s="23">
        <v>3880</v>
      </c>
      <c r="D6" s="23">
        <v>3066</v>
      </c>
      <c r="E6" s="90">
        <v>0.26549249836921068</v>
      </c>
      <c r="F6" s="76">
        <v>330330</v>
      </c>
      <c r="G6" s="76">
        <v>352151</v>
      </c>
      <c r="H6" s="90">
        <v>-6.196489574074758E-2</v>
      </c>
      <c r="I6" s="25">
        <v>85.136597938144334</v>
      </c>
      <c r="J6" s="25">
        <v>114.85681669928245</v>
      </c>
      <c r="K6" s="90">
        <v>-0.25875885833534323</v>
      </c>
    </row>
    <row r="7" spans="1:11" ht="16.5">
      <c r="A7" s="21" t="s">
        <v>12</v>
      </c>
      <c r="B7" s="28" t="s">
        <v>13</v>
      </c>
      <c r="C7" s="23">
        <v>4480</v>
      </c>
      <c r="D7" s="23">
        <v>2812</v>
      </c>
      <c r="E7" s="90">
        <v>0.59317211948790893</v>
      </c>
      <c r="F7" s="76">
        <v>224770</v>
      </c>
      <c r="G7" s="76">
        <v>183076</v>
      </c>
      <c r="H7" s="90">
        <v>0.22774148441084577</v>
      </c>
      <c r="I7" s="25">
        <v>50.171875</v>
      </c>
      <c r="J7" s="25">
        <v>65.10526315789474</v>
      </c>
      <c r="K7" s="90">
        <v>-0.22937297898140666</v>
      </c>
    </row>
    <row r="8" spans="1:11" ht="16.5">
      <c r="A8" s="21" t="s">
        <v>14</v>
      </c>
      <c r="B8" s="28" t="s">
        <v>15</v>
      </c>
      <c r="C8" s="23">
        <v>5426</v>
      </c>
      <c r="D8" s="23">
        <v>7001</v>
      </c>
      <c r="E8" s="90">
        <v>-0.22496786173403799</v>
      </c>
      <c r="F8" s="76">
        <v>584083</v>
      </c>
      <c r="G8" s="76">
        <v>963146</v>
      </c>
      <c r="H8" s="90">
        <v>-0.39356753804719119</v>
      </c>
      <c r="I8" s="25">
        <v>107.6452266863251</v>
      </c>
      <c r="J8" s="25">
        <v>137.57263248107412</v>
      </c>
      <c r="K8" s="90">
        <v>-0.2175389483723526</v>
      </c>
    </row>
    <row r="9" spans="1:11" ht="16.5">
      <c r="A9" s="21" t="s">
        <v>16</v>
      </c>
      <c r="B9" s="28" t="s">
        <v>17</v>
      </c>
      <c r="C9" s="23">
        <v>1421</v>
      </c>
      <c r="D9" s="23">
        <v>3703</v>
      </c>
      <c r="E9" s="90">
        <v>-0.61625708884688091</v>
      </c>
      <c r="F9" s="76">
        <v>188563</v>
      </c>
      <c r="G9" s="76">
        <v>385932</v>
      </c>
      <c r="H9" s="90">
        <v>-0.51140874558212324</v>
      </c>
      <c r="I9" s="25">
        <v>132.69739619985924</v>
      </c>
      <c r="J9" s="25">
        <v>104.22144207399406</v>
      </c>
      <c r="K9" s="90">
        <v>0.27322548565052596</v>
      </c>
    </row>
    <row r="10" spans="1:11" ht="16.5">
      <c r="A10" s="21" t="s">
        <v>18</v>
      </c>
      <c r="B10" s="28" t="s">
        <v>19</v>
      </c>
      <c r="C10" s="23">
        <v>1536</v>
      </c>
      <c r="D10" s="23">
        <v>2128</v>
      </c>
      <c r="E10" s="90">
        <v>-0.2781954887218045</v>
      </c>
      <c r="F10" s="76">
        <v>235423</v>
      </c>
      <c r="G10" s="76">
        <v>424268</v>
      </c>
      <c r="H10" s="90">
        <v>-0.44510780921493021</v>
      </c>
      <c r="I10" s="25">
        <v>153.27018229166666</v>
      </c>
      <c r="J10" s="25">
        <v>199.37406015037595</v>
      </c>
      <c r="K10" s="90">
        <v>-0.23124311068318462</v>
      </c>
    </row>
    <row r="11" spans="1:11" ht="17.25" thickBot="1">
      <c r="A11" s="48" t="s">
        <v>20</v>
      </c>
      <c r="B11" s="70" t="s">
        <v>21</v>
      </c>
      <c r="C11" s="63">
        <v>20731</v>
      </c>
      <c r="D11" s="63">
        <v>20994</v>
      </c>
      <c r="E11" s="91">
        <v>-1.2527388777746023E-2</v>
      </c>
      <c r="F11" s="77">
        <v>1764148</v>
      </c>
      <c r="G11" s="77">
        <v>2490659</v>
      </c>
      <c r="H11" s="91">
        <v>-0.29169428653219892</v>
      </c>
      <c r="I11" s="72">
        <v>85.097100959915096</v>
      </c>
      <c r="J11" s="72">
        <v>118.63670572544537</v>
      </c>
      <c r="K11" s="91">
        <v>-0.28270849700723483</v>
      </c>
    </row>
    <row r="12" spans="1:11" ht="11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22</v>
      </c>
      <c r="B13" s="22" t="s">
        <v>23</v>
      </c>
      <c r="C13" s="23">
        <v>512</v>
      </c>
      <c r="D13" s="23">
        <v>5</v>
      </c>
      <c r="E13" s="92">
        <v>101.4</v>
      </c>
      <c r="F13" s="76">
        <v>20555</v>
      </c>
      <c r="G13" s="76">
        <v>614</v>
      </c>
      <c r="H13" s="92">
        <v>32.477198697068403</v>
      </c>
      <c r="I13" s="25">
        <v>40.146484375</v>
      </c>
      <c r="J13" s="25">
        <v>122.8</v>
      </c>
      <c r="K13" s="92">
        <v>-0.67307423147394141</v>
      </c>
    </row>
    <row r="14" spans="1:11" ht="17.25" thickBot="1">
      <c r="A14" s="48" t="s">
        <v>24</v>
      </c>
      <c r="B14" s="73" t="s">
        <v>80</v>
      </c>
      <c r="C14" s="63">
        <v>21243</v>
      </c>
      <c r="D14" s="63">
        <v>20999</v>
      </c>
      <c r="E14" s="91">
        <v>1.161960093337778E-2</v>
      </c>
      <c r="F14" s="77">
        <v>1784703</v>
      </c>
      <c r="G14" s="77">
        <v>2491273</v>
      </c>
      <c r="H14" s="97">
        <v>-0.28361805390256306</v>
      </c>
      <c r="I14" s="72">
        <v>84.013698630136986</v>
      </c>
      <c r="J14" s="72">
        <v>118.63769703319205</v>
      </c>
      <c r="K14" s="91">
        <v>-0.29184651480016577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97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0</v>
      </c>
      <c r="B18" s="6" t="s">
        <v>1</v>
      </c>
      <c r="C18" s="7" t="s">
        <v>91</v>
      </c>
      <c r="D18" s="7" t="s">
        <v>93</v>
      </c>
      <c r="E18" s="9" t="s">
        <v>83</v>
      </c>
      <c r="F18" s="74" t="s">
        <v>94</v>
      </c>
      <c r="G18" s="74" t="s">
        <v>92</v>
      </c>
      <c r="H18" s="9" t="s">
        <v>83</v>
      </c>
      <c r="I18" s="44"/>
      <c r="J18" s="44"/>
    </row>
    <row r="19" spans="1:10">
      <c r="A19" s="13"/>
      <c r="B19" s="14"/>
      <c r="C19" s="15" t="s">
        <v>81</v>
      </c>
      <c r="D19" s="15" t="s">
        <v>81</v>
      </c>
      <c r="E19" s="16" t="s">
        <v>76</v>
      </c>
      <c r="F19" s="75" t="s">
        <v>77</v>
      </c>
      <c r="G19" s="75" t="s">
        <v>77</v>
      </c>
      <c r="H19" s="16" t="s">
        <v>78</v>
      </c>
      <c r="I19" s="4"/>
      <c r="J19" s="4"/>
    </row>
    <row r="20" spans="1:10">
      <c r="A20" s="46" t="s">
        <v>28</v>
      </c>
      <c r="B20" s="22" t="s">
        <v>29</v>
      </c>
      <c r="C20" s="23">
        <v>2351</v>
      </c>
      <c r="D20" s="23">
        <v>6753</v>
      </c>
      <c r="E20" s="94">
        <v>-0.65185843328890858</v>
      </c>
      <c r="F20" s="76">
        <v>151633</v>
      </c>
      <c r="G20" s="76">
        <v>349198</v>
      </c>
      <c r="H20" s="94">
        <v>-0.5657678451766619</v>
      </c>
      <c r="I20" s="4"/>
      <c r="J20" s="4"/>
    </row>
    <row r="21" spans="1:10">
      <c r="A21" s="46" t="s">
        <v>30</v>
      </c>
      <c r="B21" s="22" t="s">
        <v>31</v>
      </c>
      <c r="C21" s="4">
        <v>2279</v>
      </c>
      <c r="D21" s="23">
        <v>3364</v>
      </c>
      <c r="E21" s="94">
        <v>-0.32253269916765753</v>
      </c>
      <c r="F21" s="76">
        <v>167843</v>
      </c>
      <c r="G21" s="76">
        <v>252358</v>
      </c>
      <c r="H21" s="94">
        <v>-0.33490121177057991</v>
      </c>
      <c r="I21" s="4"/>
      <c r="J21" s="4"/>
    </row>
    <row r="22" spans="1:10">
      <c r="A22" s="46" t="s">
        <v>32</v>
      </c>
      <c r="B22" s="22" t="s">
        <v>33</v>
      </c>
      <c r="C22" s="23">
        <v>660261</v>
      </c>
      <c r="D22" s="23">
        <v>1054261</v>
      </c>
      <c r="E22" s="94">
        <v>-0.37372149780746894</v>
      </c>
      <c r="F22" s="76">
        <v>35182059</v>
      </c>
      <c r="G22" s="76">
        <v>43017741</v>
      </c>
      <c r="H22" s="94">
        <v>-0.18215001108496143</v>
      </c>
      <c r="I22" s="4"/>
      <c r="J22" s="4"/>
    </row>
    <row r="23" spans="1:10">
      <c r="A23" s="46" t="s">
        <v>34</v>
      </c>
      <c r="B23" s="22" t="s">
        <v>35</v>
      </c>
      <c r="C23" s="23">
        <v>98000</v>
      </c>
      <c r="D23" s="23">
        <v>167076</v>
      </c>
      <c r="E23" s="94">
        <v>-0.41344058991117816</v>
      </c>
      <c r="F23" s="76">
        <v>5377679</v>
      </c>
      <c r="G23" s="76">
        <v>6767450</v>
      </c>
      <c r="H23" s="94">
        <v>-0.20536110351757308</v>
      </c>
      <c r="I23" s="4"/>
      <c r="J23" s="4"/>
    </row>
    <row r="24" spans="1:10">
      <c r="A24" s="46" t="s">
        <v>36</v>
      </c>
      <c r="B24" s="22" t="s">
        <v>37</v>
      </c>
      <c r="C24" s="23">
        <v>9103</v>
      </c>
      <c r="D24" s="23">
        <v>9654</v>
      </c>
      <c r="E24" s="94">
        <v>-5.707478765278641E-2</v>
      </c>
      <c r="F24" s="76">
        <v>74183</v>
      </c>
      <c r="G24" s="76">
        <v>152151</v>
      </c>
      <c r="H24" s="95">
        <v>-0.51243830142424307</v>
      </c>
      <c r="I24" s="4"/>
      <c r="J24" s="4"/>
    </row>
    <row r="25" spans="1:10">
      <c r="A25" s="46" t="s">
        <v>38</v>
      </c>
      <c r="B25" s="22" t="s">
        <v>39</v>
      </c>
      <c r="C25" s="23">
        <v>15710</v>
      </c>
      <c r="D25" s="23">
        <v>45644</v>
      </c>
      <c r="E25" s="90">
        <v>-0.65581456489352374</v>
      </c>
      <c r="F25" s="76">
        <v>174707</v>
      </c>
      <c r="G25" s="76">
        <v>443651</v>
      </c>
      <c r="H25" s="94">
        <v>-0.60620622967152105</v>
      </c>
      <c r="I25" s="4"/>
      <c r="J25" s="4"/>
    </row>
    <row r="26" spans="1:10">
      <c r="A26" s="46" t="s">
        <v>40</v>
      </c>
      <c r="B26" s="22" t="s">
        <v>41</v>
      </c>
      <c r="C26" s="23">
        <v>186996</v>
      </c>
      <c r="D26" s="23">
        <v>250069</v>
      </c>
      <c r="E26" s="90">
        <v>-0.25222238662129254</v>
      </c>
      <c r="F26" s="76">
        <v>4784533</v>
      </c>
      <c r="G26" s="76">
        <v>5901152</v>
      </c>
      <c r="H26" s="94">
        <v>-0.18922051152046246</v>
      </c>
      <c r="I26" s="4"/>
      <c r="J26" s="4"/>
    </row>
    <row r="27" spans="1:10">
      <c r="A27" s="46" t="s">
        <v>42</v>
      </c>
      <c r="B27" s="22" t="s">
        <v>43</v>
      </c>
      <c r="C27" s="23">
        <v>1940</v>
      </c>
      <c r="D27" s="23">
        <v>0</v>
      </c>
      <c r="E27" s="90">
        <v>0</v>
      </c>
      <c r="F27" s="76">
        <v>14183</v>
      </c>
      <c r="G27" s="76">
        <v>0</v>
      </c>
      <c r="H27" s="94">
        <v>0</v>
      </c>
      <c r="I27" s="4"/>
      <c r="J27" s="4"/>
    </row>
    <row r="28" spans="1:10">
      <c r="A28" s="46" t="s">
        <v>44</v>
      </c>
      <c r="B28" s="22" t="s">
        <v>45</v>
      </c>
      <c r="C28" s="23">
        <v>9268</v>
      </c>
      <c r="D28" s="23">
        <v>4658</v>
      </c>
      <c r="E28" s="90">
        <v>0.98969514813224557</v>
      </c>
      <c r="F28" s="76">
        <v>29453</v>
      </c>
      <c r="G28" s="76">
        <v>51645</v>
      </c>
      <c r="H28" s="94">
        <v>-0.42970277858456774</v>
      </c>
      <c r="I28" s="4"/>
      <c r="J28" s="4"/>
    </row>
    <row r="29" spans="1:10">
      <c r="A29" s="46" t="s">
        <v>46</v>
      </c>
      <c r="B29" s="22" t="s">
        <v>47</v>
      </c>
      <c r="C29" s="23">
        <v>89238</v>
      </c>
      <c r="D29" s="23">
        <v>317085</v>
      </c>
      <c r="E29" s="90">
        <v>-0.7185675765173376</v>
      </c>
      <c r="F29" s="76">
        <v>1837440</v>
      </c>
      <c r="G29" s="76">
        <v>4970671</v>
      </c>
      <c r="H29" s="94">
        <v>-0.6303436698988929</v>
      </c>
      <c r="I29" s="4"/>
      <c r="J29" s="4"/>
    </row>
    <row r="30" spans="1:10">
      <c r="A30" s="46" t="s">
        <v>48</v>
      </c>
      <c r="B30" s="22" t="s">
        <v>49</v>
      </c>
      <c r="C30" s="23">
        <v>78164</v>
      </c>
      <c r="D30" s="23">
        <v>179172</v>
      </c>
      <c r="E30" s="90">
        <v>-0.56374880003571992</v>
      </c>
      <c r="F30" s="76">
        <v>870036</v>
      </c>
      <c r="G30" s="76">
        <v>2275832</v>
      </c>
      <c r="H30" s="94">
        <v>-0.61770640363612073</v>
      </c>
      <c r="I30" s="4"/>
      <c r="J30" s="4"/>
    </row>
    <row r="31" spans="1:10">
      <c r="A31" s="46" t="s">
        <v>50</v>
      </c>
      <c r="B31" s="22" t="s">
        <v>51</v>
      </c>
      <c r="C31" s="23">
        <v>24947</v>
      </c>
      <c r="D31" s="23">
        <v>111186</v>
      </c>
      <c r="E31" s="90">
        <v>-0.77562822657528829</v>
      </c>
      <c r="F31" s="76">
        <v>235608</v>
      </c>
      <c r="G31" s="76">
        <v>841987</v>
      </c>
      <c r="H31" s="94">
        <v>-0.7201762022454028</v>
      </c>
      <c r="I31" s="4"/>
      <c r="J31" s="4"/>
    </row>
    <row r="32" spans="1:10">
      <c r="A32" s="46" t="s">
        <v>52</v>
      </c>
      <c r="B32" s="22" t="s">
        <v>53</v>
      </c>
      <c r="C32" s="23">
        <v>112942</v>
      </c>
      <c r="D32" s="23">
        <v>290928</v>
      </c>
      <c r="E32" s="90">
        <v>-0.61178710883792553</v>
      </c>
      <c r="F32" s="76">
        <v>864086</v>
      </c>
      <c r="G32" s="76">
        <v>2463346</v>
      </c>
      <c r="H32" s="94">
        <v>-0.64922264269818364</v>
      </c>
      <c r="I32" s="4"/>
      <c r="J32" s="4"/>
    </row>
    <row r="33" spans="1:10">
      <c r="A33" s="46" t="s">
        <v>54</v>
      </c>
      <c r="B33" s="22" t="s">
        <v>55</v>
      </c>
      <c r="C33" s="23">
        <v>37092</v>
      </c>
      <c r="D33" s="23">
        <v>119786</v>
      </c>
      <c r="E33" s="90">
        <v>-0.69034778688661447</v>
      </c>
      <c r="F33" s="76">
        <v>179510</v>
      </c>
      <c r="G33" s="76">
        <v>485749</v>
      </c>
      <c r="H33" s="95">
        <v>-0.63044700040555923</v>
      </c>
      <c r="I33" s="4"/>
      <c r="J33" s="4"/>
    </row>
    <row r="34" spans="1:10">
      <c r="A34" s="46" t="s">
        <v>56</v>
      </c>
      <c r="B34" s="22" t="s">
        <v>57</v>
      </c>
      <c r="C34" s="23">
        <v>20019</v>
      </c>
      <c r="D34" s="23">
        <v>79377</v>
      </c>
      <c r="E34" s="90">
        <v>-0.74779848066820365</v>
      </c>
      <c r="F34" s="76">
        <v>460182</v>
      </c>
      <c r="G34" s="76">
        <v>1378967</v>
      </c>
      <c r="H34" s="94">
        <v>-0.66628497998864367</v>
      </c>
      <c r="I34" s="4"/>
      <c r="J34" s="4"/>
    </row>
    <row r="35" spans="1:10">
      <c r="A35" s="46" t="s">
        <v>58</v>
      </c>
      <c r="B35" s="22" t="s">
        <v>59</v>
      </c>
      <c r="C35" s="23">
        <v>44961</v>
      </c>
      <c r="D35" s="23">
        <v>0</v>
      </c>
      <c r="E35" s="90">
        <v>0</v>
      </c>
      <c r="F35" s="76">
        <v>502157</v>
      </c>
      <c r="G35" s="76">
        <v>0</v>
      </c>
      <c r="H35" s="94">
        <v>0</v>
      </c>
      <c r="I35" s="4"/>
      <c r="J35" s="4"/>
    </row>
    <row r="36" spans="1:10">
      <c r="A36" s="46" t="s">
        <v>60</v>
      </c>
      <c r="B36" s="22" t="s">
        <v>61</v>
      </c>
      <c r="C36" s="23">
        <v>3271</v>
      </c>
      <c r="D36" s="23">
        <v>6863</v>
      </c>
      <c r="E36" s="90">
        <v>-0.52338627422410022</v>
      </c>
      <c r="F36" s="76">
        <v>5817</v>
      </c>
      <c r="G36" s="76">
        <v>40434</v>
      </c>
      <c r="H36" s="95">
        <v>-0.85613592521145565</v>
      </c>
      <c r="I36" s="4"/>
      <c r="J36" s="4"/>
    </row>
    <row r="37" spans="1:10">
      <c r="A37" s="46" t="s">
        <v>62</v>
      </c>
      <c r="B37" s="22" t="s">
        <v>63</v>
      </c>
      <c r="C37" s="23">
        <v>27788</v>
      </c>
      <c r="D37" s="23">
        <v>48681</v>
      </c>
      <c r="E37" s="90">
        <v>-0.42918181631437319</v>
      </c>
      <c r="F37" s="76">
        <v>632725</v>
      </c>
      <c r="G37" s="76">
        <v>960256</v>
      </c>
      <c r="H37" s="94">
        <v>-0.34108716842175418</v>
      </c>
      <c r="I37" s="4"/>
      <c r="J37" s="4"/>
    </row>
    <row r="38" spans="1:10">
      <c r="A38" s="46" t="s">
        <v>64</v>
      </c>
      <c r="B38" s="22" t="s">
        <v>65</v>
      </c>
      <c r="C38" s="23">
        <v>52408</v>
      </c>
      <c r="D38" s="23">
        <v>78232</v>
      </c>
      <c r="E38" s="90">
        <v>-0.33009510174864504</v>
      </c>
      <c r="F38" s="76">
        <v>1172568</v>
      </c>
      <c r="G38" s="76">
        <v>1467773</v>
      </c>
      <c r="H38" s="94">
        <v>-0.20112442455338803</v>
      </c>
      <c r="I38" s="4"/>
      <c r="J38" s="4"/>
    </row>
    <row r="39" spans="1:10">
      <c r="A39" s="46" t="s">
        <v>66</v>
      </c>
      <c r="B39" s="22" t="s">
        <v>67</v>
      </c>
      <c r="C39" s="23">
        <v>51786</v>
      </c>
      <c r="D39" s="23">
        <v>86338</v>
      </c>
      <c r="E39" s="90">
        <v>-0.40019458407653641</v>
      </c>
      <c r="F39" s="76">
        <v>1598985</v>
      </c>
      <c r="G39" s="76">
        <v>2363358</v>
      </c>
      <c r="H39" s="94">
        <v>-0.32342666663281655</v>
      </c>
      <c r="I39" s="4"/>
      <c r="J39" s="4"/>
    </row>
    <row r="40" spans="1:10">
      <c r="A40" s="46" t="s">
        <v>68</v>
      </c>
      <c r="B40" s="22" t="s">
        <v>69</v>
      </c>
      <c r="C40" s="23">
        <v>91494</v>
      </c>
      <c r="D40" s="23">
        <v>126546</v>
      </c>
      <c r="E40" s="90">
        <v>-0.27699018538713194</v>
      </c>
      <c r="F40" s="76">
        <v>576177</v>
      </c>
      <c r="G40" s="76">
        <v>1081579</v>
      </c>
      <c r="H40" s="94">
        <v>-0.46728163176245102</v>
      </c>
      <c r="I40" s="4"/>
      <c r="J40" s="4"/>
    </row>
    <row r="41" spans="1:10">
      <c r="A41" s="46" t="s">
        <v>70</v>
      </c>
      <c r="B41" s="22" t="s">
        <v>71</v>
      </c>
      <c r="C41" s="23">
        <v>27359</v>
      </c>
      <c r="D41" s="23">
        <v>62940</v>
      </c>
      <c r="E41" s="90">
        <v>-0.56531617413409596</v>
      </c>
      <c r="F41" s="76">
        <v>170967</v>
      </c>
      <c r="G41" s="76">
        <v>275127</v>
      </c>
      <c r="H41" s="94">
        <v>-0.37858879717366889</v>
      </c>
      <c r="I41" s="4"/>
      <c r="J41" s="4"/>
    </row>
    <row r="42" spans="1:10" ht="18.75" customHeight="1" thickBot="1">
      <c r="A42" s="48" t="s">
        <v>24</v>
      </c>
      <c r="B42" s="49"/>
      <c r="C42" s="63">
        <v>1647377</v>
      </c>
      <c r="D42" s="63">
        <v>3048613</v>
      </c>
      <c r="E42" s="91">
        <v>-0.45963065826984273</v>
      </c>
      <c r="F42" s="77">
        <v>55062531</v>
      </c>
      <c r="G42" s="77">
        <v>75540425</v>
      </c>
      <c r="H42" s="91">
        <v>-0.27108523681194541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25" priority="7" operator="greaterThanOrEqual">
      <formula>0</formula>
    </cfRule>
    <cfRule type="cellIs" dxfId="24" priority="8" operator="lessThan">
      <formula>0</formula>
    </cfRule>
  </conditionalFormatting>
  <conditionalFormatting sqref="E13">
    <cfRule type="cellIs" dxfId="23" priority="13" operator="greaterThanOrEqual">
      <formula>0</formula>
    </cfRule>
    <cfRule type="cellIs" dxfId="22" priority="14" operator="lessThan">
      <formula>0</formula>
    </cfRule>
  </conditionalFormatting>
  <conditionalFormatting sqref="E25:E41">
    <cfRule type="cellIs" dxfId="21" priority="11" operator="greaterThanOrEqual">
      <formula>0</formula>
    </cfRule>
    <cfRule type="cellIs" dxfId="20" priority="12" operator="lessThan">
      <formula>0</formula>
    </cfRule>
  </conditionalFormatting>
  <conditionalFormatting sqref="H5:H10">
    <cfRule type="cellIs" dxfId="19" priority="3" operator="greaterThanOrEqual">
      <formula>0</formula>
    </cfRule>
    <cfRule type="cellIs" dxfId="18" priority="4" operator="lessThan">
      <formula>0</formula>
    </cfRule>
  </conditionalFormatting>
  <conditionalFormatting sqref="H13">
    <cfRule type="cellIs" dxfId="17" priority="1" operator="greaterThanOrEqual">
      <formula>0</formula>
    </cfRule>
    <cfRule type="cellIs" dxfId="16" priority="2" operator="lessThan">
      <formula>0</formula>
    </cfRule>
  </conditionalFormatting>
  <conditionalFormatting sqref="H24">
    <cfRule type="cellIs" dxfId="15" priority="25" operator="greaterThanOrEqual">
      <formula>0</formula>
    </cfRule>
    <cfRule type="cellIs" dxfId="14" priority="26" operator="lessThan">
      <formula>0</formula>
    </cfRule>
  </conditionalFormatting>
  <conditionalFormatting sqref="H33">
    <cfRule type="cellIs" dxfId="13" priority="20" operator="greaterThanOrEqual">
      <formula>0</formula>
    </cfRule>
    <cfRule type="cellIs" dxfId="12" priority="21" operator="lessThan">
      <formula>0</formula>
    </cfRule>
    <cfRule type="cellIs" dxfId="11" priority="22" operator="lessThanOrEqual">
      <formula>0</formula>
    </cfRule>
    <cfRule type="cellIs" priority="23" operator="greaterThanOrEqual">
      <formula>0</formula>
    </cfRule>
    <cfRule type="cellIs" dxfId="10" priority="24" operator="lessThan">
      <formula>0</formula>
    </cfRule>
  </conditionalFormatting>
  <conditionalFormatting sqref="H36">
    <cfRule type="cellIs" dxfId="9" priority="15" operator="greaterThanOrEqual">
      <formula>0</formula>
    </cfRule>
    <cfRule type="cellIs" dxfId="8" priority="16" operator="lessThan">
      <formula>0</formula>
    </cfRule>
    <cfRule type="cellIs" dxfId="7" priority="17" operator="lessThanOrEqual">
      <formula>0</formula>
    </cfRule>
    <cfRule type="cellIs" priority="18" operator="greaterThanOrEqual">
      <formula>0</formula>
    </cfRule>
    <cfRule type="cellIs" dxfId="6" priority="19" operator="lessThan">
      <formula>0</formula>
    </cfRule>
  </conditionalFormatting>
  <conditionalFormatting sqref="K5:K10">
    <cfRule type="cellIs" dxfId="5" priority="31" operator="greaterThanOrEqual">
      <formula>0</formula>
    </cfRule>
    <cfRule type="cellIs" dxfId="4" priority="32" operator="lessThan">
      <formula>0</formula>
    </cfRule>
  </conditionalFormatting>
  <conditionalFormatting sqref="K13">
    <cfRule type="cellIs" dxfId="3" priority="5" operator="greaterThanOrEqual">
      <formula>0</formula>
    </cfRule>
    <cfRule type="cellIs" dxfId="2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30CF0"/>
    <pageSetUpPr fitToPage="1"/>
  </sheetPr>
  <dimension ref="A1:J89"/>
  <sheetViews>
    <sheetView zoomScaleNormal="100" workbookViewId="0">
      <selection activeCell="D27" sqref="D27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7.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8.875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8.875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8.875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8.875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8.875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8.875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8.875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8.875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8.875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8.875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8.875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8.875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8.875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8.875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8.875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8.875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8.875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8.875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8.875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8.875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8.875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8.875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8.875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8.875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8.875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8.875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8.875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8.875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8.875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8.875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8.875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8.875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8.875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8.875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8.875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8.875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8.875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8.875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8.875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8.875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8.875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8.875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8.875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8.875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8.875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8.875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8.875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8.875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8.875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8.875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8.875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8.875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8.875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8.875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8.875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8.875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8.875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8.875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8.875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8.875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8.875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8.875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8.875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8.875" style="3"/>
  </cols>
  <sheetData>
    <row r="1" spans="1:10" s="1" customFormat="1" ht="23.25" customHeight="1">
      <c r="A1" s="130" t="s">
        <v>338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137</v>
      </c>
      <c r="B3" s="6" t="s">
        <v>138</v>
      </c>
      <c r="C3" s="110" t="s">
        <v>339</v>
      </c>
      <c r="D3" s="111" t="s">
        <v>340</v>
      </c>
      <c r="E3" s="112" t="s">
        <v>2</v>
      </c>
      <c r="F3" s="113" t="s">
        <v>341</v>
      </c>
      <c r="G3" s="114" t="s">
        <v>342</v>
      </c>
      <c r="H3" s="9" t="s">
        <v>144</v>
      </c>
      <c r="I3" s="56" t="s">
        <v>145</v>
      </c>
      <c r="J3" s="56" t="s">
        <v>146</v>
      </c>
    </row>
    <row r="4" spans="1:10" ht="15" customHeight="1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206</v>
      </c>
      <c r="B5" s="22" t="s">
        <v>147</v>
      </c>
      <c r="C5" s="23">
        <v>468</v>
      </c>
      <c r="D5" s="23">
        <v>1431</v>
      </c>
      <c r="E5" s="101">
        <v>-963</v>
      </c>
      <c r="F5" s="23">
        <v>296931</v>
      </c>
      <c r="G5" s="23">
        <v>85635</v>
      </c>
      <c r="H5" s="84">
        <v>211296</v>
      </c>
      <c r="I5" s="25">
        <v>634.46794871794873</v>
      </c>
      <c r="J5" s="25">
        <v>59.842767295597483</v>
      </c>
    </row>
    <row r="6" spans="1:10" ht="16.5">
      <c r="A6" s="26" t="s">
        <v>205</v>
      </c>
      <c r="B6" s="27" t="s">
        <v>148</v>
      </c>
      <c r="C6" s="23">
        <v>0</v>
      </c>
      <c r="D6" s="23">
        <v>2378</v>
      </c>
      <c r="E6" s="101">
        <v>-2378</v>
      </c>
      <c r="F6" s="23">
        <v>0</v>
      </c>
      <c r="G6" s="23">
        <v>201702</v>
      </c>
      <c r="H6" s="84">
        <v>-201702</v>
      </c>
      <c r="I6" s="25">
        <v>0</v>
      </c>
      <c r="J6" s="25">
        <v>84.820016820857859</v>
      </c>
    </row>
    <row r="7" spans="1:10" ht="16.5">
      <c r="A7" s="21" t="s">
        <v>149</v>
      </c>
      <c r="B7" s="28" t="s">
        <v>150</v>
      </c>
      <c r="C7" s="29">
        <v>0</v>
      </c>
      <c r="D7" s="23">
        <v>1030</v>
      </c>
      <c r="E7" s="101">
        <v>-1030</v>
      </c>
      <c r="F7" s="23">
        <v>0</v>
      </c>
      <c r="G7" s="23">
        <v>65984</v>
      </c>
      <c r="H7" s="84">
        <v>-65984</v>
      </c>
      <c r="I7" s="25">
        <v>0</v>
      </c>
      <c r="J7" s="25">
        <v>64.0621359223301</v>
      </c>
    </row>
    <row r="8" spans="1:10" ht="16.5">
      <c r="A8" s="21" t="s">
        <v>151</v>
      </c>
      <c r="B8" s="28" t="s">
        <v>152</v>
      </c>
      <c r="C8" s="23">
        <v>59</v>
      </c>
      <c r="D8" s="23">
        <v>15303</v>
      </c>
      <c r="E8" s="101">
        <v>-15244</v>
      </c>
      <c r="F8" s="23">
        <v>38791</v>
      </c>
      <c r="G8" s="23">
        <v>745922</v>
      </c>
      <c r="H8" s="84">
        <v>-707131</v>
      </c>
      <c r="I8" s="25">
        <v>657.47457627118649</v>
      </c>
      <c r="J8" s="25">
        <v>48.743514343592757</v>
      </c>
    </row>
    <row r="9" spans="1:10" ht="16.5">
      <c r="A9" s="21" t="s">
        <v>153</v>
      </c>
      <c r="B9" s="28" t="s">
        <v>154</v>
      </c>
      <c r="C9" s="23">
        <v>642</v>
      </c>
      <c r="D9" s="23">
        <v>1306</v>
      </c>
      <c r="E9" s="101">
        <v>-664</v>
      </c>
      <c r="F9" s="23">
        <v>615036</v>
      </c>
      <c r="G9" s="23">
        <v>132899</v>
      </c>
      <c r="H9" s="84">
        <v>482137</v>
      </c>
      <c r="I9" s="25">
        <v>958</v>
      </c>
      <c r="J9" s="25">
        <v>101.760336906585</v>
      </c>
    </row>
    <row r="10" spans="1:10" ht="16.5">
      <c r="A10" s="21" t="s">
        <v>155</v>
      </c>
      <c r="B10" s="28" t="s">
        <v>156</v>
      </c>
      <c r="C10" s="23">
        <v>8096</v>
      </c>
      <c r="D10" s="23">
        <v>865</v>
      </c>
      <c r="E10" s="101">
        <v>7231</v>
      </c>
      <c r="F10" s="23">
        <v>10936807</v>
      </c>
      <c r="G10" s="23">
        <v>204991</v>
      </c>
      <c r="H10" s="84">
        <v>10731816</v>
      </c>
      <c r="I10" s="25">
        <v>1350.890192687747</v>
      </c>
      <c r="J10" s="25">
        <v>236.98381502890174</v>
      </c>
    </row>
    <row r="11" spans="1:10" ht="17.25" thickBot="1">
      <c r="A11" s="48" t="s">
        <v>157</v>
      </c>
      <c r="B11" s="70" t="s">
        <v>158</v>
      </c>
      <c r="C11" s="63">
        <v>9265</v>
      </c>
      <c r="D11" s="63">
        <v>22313</v>
      </c>
      <c r="E11" s="100">
        <v>-13048</v>
      </c>
      <c r="F11" s="63">
        <v>11887565</v>
      </c>
      <c r="G11" s="63">
        <v>1437133</v>
      </c>
      <c r="H11" s="82">
        <v>10450432</v>
      </c>
      <c r="I11" s="102">
        <v>1283.061521856449</v>
      </c>
      <c r="J11" s="72">
        <v>64.407878815040561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207</v>
      </c>
      <c r="B13" s="22" t="s">
        <v>159</v>
      </c>
      <c r="C13" s="23">
        <v>0</v>
      </c>
      <c r="D13" s="23">
        <v>582</v>
      </c>
      <c r="E13" s="101">
        <v>-582</v>
      </c>
      <c r="F13" s="23">
        <v>0</v>
      </c>
      <c r="G13" s="23">
        <v>24156</v>
      </c>
      <c r="H13" s="103">
        <v>-24156</v>
      </c>
      <c r="I13" s="25">
        <v>0</v>
      </c>
      <c r="J13" s="25">
        <v>41.505154639175259</v>
      </c>
    </row>
    <row r="14" spans="1:10" ht="17.25" thickBot="1">
      <c r="A14" s="106" t="s">
        <v>160</v>
      </c>
      <c r="B14" s="105" t="s">
        <v>80</v>
      </c>
      <c r="C14" s="63">
        <v>9265</v>
      </c>
      <c r="D14" s="63">
        <v>22895</v>
      </c>
      <c r="E14" s="80">
        <v>-13630</v>
      </c>
      <c r="F14" s="63">
        <v>11887565</v>
      </c>
      <c r="G14" s="63">
        <v>1461289</v>
      </c>
      <c r="H14" s="107">
        <v>10426276</v>
      </c>
      <c r="I14" s="72">
        <v>1283.061521856449</v>
      </c>
      <c r="J14" s="104">
        <v>63.825682463419959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343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110" t="s">
        <v>339</v>
      </c>
      <c r="D18" s="111" t="s">
        <v>340</v>
      </c>
      <c r="E18" s="112" t="s">
        <v>2</v>
      </c>
      <c r="F18" s="113" t="s">
        <v>344</v>
      </c>
      <c r="G18" s="114" t="s">
        <v>342</v>
      </c>
      <c r="H18" s="9" t="s">
        <v>144</v>
      </c>
      <c r="I18" s="44"/>
      <c r="J18" s="44"/>
    </row>
    <row r="19" spans="1:10">
      <c r="A19" s="13"/>
      <c r="B19" s="14"/>
      <c r="C19" s="15" t="s">
        <v>161</v>
      </c>
      <c r="D19" s="15" t="s">
        <v>161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208</v>
      </c>
      <c r="B20" s="22" t="s">
        <v>162</v>
      </c>
      <c r="C20" s="23">
        <v>401</v>
      </c>
      <c r="D20" s="23">
        <v>4705</v>
      </c>
      <c r="E20" s="24">
        <v>-4304</v>
      </c>
      <c r="F20" s="23">
        <v>42358</v>
      </c>
      <c r="G20" s="23">
        <v>180630</v>
      </c>
      <c r="H20" s="24">
        <v>-138272</v>
      </c>
      <c r="I20" s="4"/>
      <c r="J20" s="4"/>
    </row>
    <row r="21" spans="1:10">
      <c r="A21" s="46" t="s">
        <v>209</v>
      </c>
      <c r="B21" s="22" t="s">
        <v>163</v>
      </c>
      <c r="C21" s="23">
        <v>0</v>
      </c>
      <c r="D21" s="23">
        <v>2574</v>
      </c>
      <c r="E21" s="24">
        <v>-2574</v>
      </c>
      <c r="F21" s="23">
        <v>0</v>
      </c>
      <c r="G21" s="23">
        <v>121513</v>
      </c>
      <c r="H21" s="24">
        <v>-121513</v>
      </c>
      <c r="I21" s="4"/>
      <c r="J21" s="4"/>
    </row>
    <row r="22" spans="1:10">
      <c r="A22" s="46" t="s">
        <v>258</v>
      </c>
      <c r="B22" s="22" t="s">
        <v>164</v>
      </c>
      <c r="C22" s="23">
        <v>51664</v>
      </c>
      <c r="D22" s="23">
        <v>284424</v>
      </c>
      <c r="E22" s="24">
        <v>-232760</v>
      </c>
      <c r="F22" s="23">
        <v>2786726</v>
      </c>
      <c r="G22" s="23">
        <v>21629227</v>
      </c>
      <c r="H22" s="24">
        <v>-18842501</v>
      </c>
      <c r="I22" s="4"/>
      <c r="J22" s="4"/>
    </row>
    <row r="23" spans="1:10">
      <c r="A23" s="46" t="s">
        <v>345</v>
      </c>
      <c r="B23" s="22" t="s">
        <v>165</v>
      </c>
      <c r="C23" s="23">
        <v>19559</v>
      </c>
      <c r="D23" s="23">
        <v>32126</v>
      </c>
      <c r="E23" s="24">
        <v>-12567</v>
      </c>
      <c r="F23" s="23">
        <v>240184</v>
      </c>
      <c r="G23" s="23">
        <v>4027784</v>
      </c>
      <c r="H23" s="24">
        <v>-3787600</v>
      </c>
      <c r="I23" s="4"/>
      <c r="J23" s="4"/>
    </row>
    <row r="24" spans="1:10">
      <c r="A24" s="46">
        <v>87149200206</v>
      </c>
      <c r="B24" s="22" t="s">
        <v>166</v>
      </c>
      <c r="C24" s="23">
        <v>15202</v>
      </c>
      <c r="D24" s="23">
        <v>6202</v>
      </c>
      <c r="E24" s="24">
        <v>9000</v>
      </c>
      <c r="F24" s="23">
        <v>290233</v>
      </c>
      <c r="G24" s="23">
        <v>284898</v>
      </c>
      <c r="H24" s="24">
        <v>5335</v>
      </c>
      <c r="I24" s="4"/>
      <c r="J24" s="4"/>
    </row>
    <row r="25" spans="1:10">
      <c r="A25" s="46">
        <v>87149200304</v>
      </c>
      <c r="B25" s="22" t="s">
        <v>167</v>
      </c>
      <c r="C25" s="23">
        <v>11588</v>
      </c>
      <c r="D25" s="23">
        <v>14207</v>
      </c>
      <c r="E25" s="24">
        <v>-2619</v>
      </c>
      <c r="F25" s="23">
        <v>1326697</v>
      </c>
      <c r="G25" s="23">
        <v>211618</v>
      </c>
      <c r="H25" s="24">
        <v>1115079</v>
      </c>
      <c r="I25" s="4"/>
      <c r="J25" s="4"/>
    </row>
    <row r="26" spans="1:10">
      <c r="A26" s="46">
        <v>87149310007</v>
      </c>
      <c r="B26" s="22" t="s">
        <v>168</v>
      </c>
      <c r="C26" s="23">
        <v>3236</v>
      </c>
      <c r="D26" s="23">
        <v>27474</v>
      </c>
      <c r="E26" s="24">
        <v>-24238</v>
      </c>
      <c r="F26" s="23">
        <v>435257</v>
      </c>
      <c r="G26" s="23">
        <v>1221335</v>
      </c>
      <c r="H26" s="24">
        <v>-786078</v>
      </c>
      <c r="I26" s="4"/>
      <c r="J26" s="4"/>
    </row>
    <row r="27" spans="1:10">
      <c r="A27" s="46">
        <v>87149320103</v>
      </c>
      <c r="B27" s="22" t="s">
        <v>169</v>
      </c>
      <c r="C27" s="23">
        <v>0</v>
      </c>
      <c r="D27" s="23">
        <v>91</v>
      </c>
      <c r="E27" s="24">
        <v>-91</v>
      </c>
      <c r="F27" s="23">
        <v>0</v>
      </c>
      <c r="G27" s="23">
        <v>713</v>
      </c>
      <c r="H27" s="24">
        <v>-713</v>
      </c>
      <c r="I27" s="4"/>
      <c r="J27" s="4"/>
    </row>
    <row r="28" spans="1:10">
      <c r="A28" s="46">
        <v>87149410006</v>
      </c>
      <c r="B28" s="22" t="s">
        <v>170</v>
      </c>
      <c r="C28" s="23">
        <v>0</v>
      </c>
      <c r="D28" s="23">
        <v>1836</v>
      </c>
      <c r="E28" s="24">
        <v>-1836</v>
      </c>
      <c r="F28" s="23">
        <v>0</v>
      </c>
      <c r="G28" s="23">
        <v>18419</v>
      </c>
      <c r="H28" s="24">
        <v>-18419</v>
      </c>
      <c r="I28" s="4"/>
      <c r="J28" s="4"/>
    </row>
    <row r="29" spans="1:10">
      <c r="A29" s="46">
        <v>87149490009</v>
      </c>
      <c r="B29" s="22" t="s">
        <v>171</v>
      </c>
      <c r="C29" s="23">
        <v>83056</v>
      </c>
      <c r="D29" s="23">
        <v>38876</v>
      </c>
      <c r="E29" s="24">
        <v>44180</v>
      </c>
      <c r="F29" s="23">
        <v>2173115</v>
      </c>
      <c r="G29" s="23">
        <v>578953</v>
      </c>
      <c r="H29" s="24">
        <v>1594162</v>
      </c>
      <c r="I29" s="4"/>
      <c r="J29" s="4"/>
    </row>
    <row r="30" spans="1:10">
      <c r="A30" s="46">
        <v>87149500007</v>
      </c>
      <c r="B30" s="22" t="s">
        <v>172</v>
      </c>
      <c r="C30" s="23">
        <v>3945</v>
      </c>
      <c r="D30" s="23">
        <v>20790</v>
      </c>
      <c r="E30" s="24">
        <v>-16845</v>
      </c>
      <c r="F30" s="23">
        <v>117240</v>
      </c>
      <c r="G30" s="23">
        <v>239888</v>
      </c>
      <c r="H30" s="24">
        <v>-122648</v>
      </c>
      <c r="I30" s="4"/>
      <c r="J30" s="4"/>
    </row>
    <row r="31" spans="1:10">
      <c r="A31" s="46">
        <v>87149610004</v>
      </c>
      <c r="B31" s="22" t="s">
        <v>173</v>
      </c>
      <c r="C31" s="23">
        <v>6632</v>
      </c>
      <c r="D31" s="23">
        <v>20981</v>
      </c>
      <c r="E31" s="24">
        <v>-14768</v>
      </c>
      <c r="F31" s="23">
        <v>205797</v>
      </c>
      <c r="G31" s="23">
        <v>115124</v>
      </c>
      <c r="H31" s="24">
        <v>87696</v>
      </c>
      <c r="I31" s="4"/>
      <c r="J31" s="4"/>
    </row>
    <row r="32" spans="1:10">
      <c r="A32" s="46">
        <v>87149620002</v>
      </c>
      <c r="B32" s="22" t="s">
        <v>174</v>
      </c>
      <c r="C32" s="23">
        <v>12079</v>
      </c>
      <c r="D32" s="23">
        <v>44471</v>
      </c>
      <c r="E32" s="24">
        <v>-32392</v>
      </c>
      <c r="F32" s="23">
        <v>606603</v>
      </c>
      <c r="G32" s="23">
        <v>577292</v>
      </c>
      <c r="H32" s="24">
        <v>29311</v>
      </c>
      <c r="I32" s="4"/>
      <c r="J32" s="4"/>
    </row>
    <row r="33" spans="1:10">
      <c r="A33" s="46" t="s">
        <v>210</v>
      </c>
      <c r="B33" s="22" t="s">
        <v>175</v>
      </c>
      <c r="C33" s="23">
        <v>6241</v>
      </c>
      <c r="D33" s="23">
        <v>26591</v>
      </c>
      <c r="E33" s="24">
        <v>-20350</v>
      </c>
      <c r="F33" s="23">
        <v>158453</v>
      </c>
      <c r="G33" s="23">
        <v>115183</v>
      </c>
      <c r="H33" s="24">
        <v>43270</v>
      </c>
      <c r="I33" s="4"/>
      <c r="J33" s="4"/>
    </row>
    <row r="34" spans="1:10">
      <c r="A34" s="46">
        <v>87149990111</v>
      </c>
      <c r="B34" s="22" t="s">
        <v>176</v>
      </c>
      <c r="C34" s="23">
        <v>6858</v>
      </c>
      <c r="D34" s="23">
        <v>12500</v>
      </c>
      <c r="E34" s="24">
        <v>-5642</v>
      </c>
      <c r="F34" s="23">
        <v>596587</v>
      </c>
      <c r="G34" s="23">
        <v>519065</v>
      </c>
      <c r="H34" s="24">
        <v>77522</v>
      </c>
      <c r="I34" s="4"/>
      <c r="J34" s="4"/>
    </row>
    <row r="35" spans="1:10">
      <c r="A35" s="46">
        <v>87149320906</v>
      </c>
      <c r="B35" s="22" t="s">
        <v>177</v>
      </c>
      <c r="C35" s="23">
        <v>26670</v>
      </c>
      <c r="D35" s="23">
        <v>9691</v>
      </c>
      <c r="E35" s="24">
        <v>16978</v>
      </c>
      <c r="F35" s="23">
        <v>672218</v>
      </c>
      <c r="G35" s="23">
        <v>73239</v>
      </c>
      <c r="H35" s="24">
        <v>598948</v>
      </c>
      <c r="I35" s="4"/>
      <c r="J35" s="4"/>
    </row>
    <row r="36" spans="1:10">
      <c r="A36" s="46">
        <v>87149990139</v>
      </c>
      <c r="B36" s="22" t="s">
        <v>178</v>
      </c>
      <c r="C36" s="23">
        <v>520</v>
      </c>
      <c r="D36" s="23">
        <v>2371</v>
      </c>
      <c r="E36" s="24">
        <v>-1851</v>
      </c>
      <c r="F36" s="23">
        <v>20310</v>
      </c>
      <c r="G36" s="23">
        <v>12403</v>
      </c>
      <c r="H36" s="24">
        <v>7907</v>
      </c>
      <c r="I36" s="4"/>
      <c r="J36" s="4"/>
    </row>
    <row r="37" spans="1:10">
      <c r="A37" s="46">
        <v>87149990148</v>
      </c>
      <c r="B37" s="22" t="s">
        <v>179</v>
      </c>
      <c r="C37" s="23">
        <v>2432</v>
      </c>
      <c r="D37" s="23">
        <v>11571</v>
      </c>
      <c r="E37" s="24">
        <v>-9139</v>
      </c>
      <c r="F37" s="23">
        <v>124681</v>
      </c>
      <c r="G37" s="23">
        <v>204590</v>
      </c>
      <c r="H37" s="24">
        <v>-79909</v>
      </c>
      <c r="I37" s="4"/>
      <c r="J37" s="4"/>
    </row>
    <row r="38" spans="1:10">
      <c r="A38" s="46">
        <v>87149990157</v>
      </c>
      <c r="B38" s="22" t="s">
        <v>180</v>
      </c>
      <c r="C38" s="23">
        <v>13358</v>
      </c>
      <c r="D38" s="23">
        <v>23038</v>
      </c>
      <c r="E38" s="24">
        <v>-9680</v>
      </c>
      <c r="F38" s="23">
        <v>116369</v>
      </c>
      <c r="G38" s="23">
        <v>987179</v>
      </c>
      <c r="H38" s="24">
        <v>-870810</v>
      </c>
      <c r="I38" s="4"/>
      <c r="J38" s="4"/>
    </row>
    <row r="39" spans="1:10">
      <c r="A39" s="46" t="s">
        <v>259</v>
      </c>
      <c r="B39" s="22" t="s">
        <v>181</v>
      </c>
      <c r="C39" s="23">
        <v>8852</v>
      </c>
      <c r="D39" s="23">
        <v>26083</v>
      </c>
      <c r="E39" s="24">
        <v>-17231</v>
      </c>
      <c r="F39" s="23">
        <v>416898</v>
      </c>
      <c r="G39" s="23">
        <v>1289142</v>
      </c>
      <c r="H39" s="24">
        <v>-872244</v>
      </c>
      <c r="I39" s="4"/>
      <c r="J39" s="4"/>
    </row>
    <row r="40" spans="1:10">
      <c r="A40" s="46" t="s">
        <v>211</v>
      </c>
      <c r="B40" s="22" t="s">
        <v>182</v>
      </c>
      <c r="C40" s="23">
        <v>36706</v>
      </c>
      <c r="D40" s="23">
        <v>41955</v>
      </c>
      <c r="E40" s="24">
        <v>-5249</v>
      </c>
      <c r="F40" s="23">
        <v>945240</v>
      </c>
      <c r="G40" s="23">
        <v>245263</v>
      </c>
      <c r="H40" s="24">
        <v>699977</v>
      </c>
      <c r="I40" s="4"/>
      <c r="J40" s="4"/>
    </row>
    <row r="41" spans="1:10">
      <c r="A41" s="46" t="s">
        <v>212</v>
      </c>
      <c r="B41" s="22" t="s">
        <v>183</v>
      </c>
      <c r="C41" s="23">
        <v>1355</v>
      </c>
      <c r="D41" s="23">
        <v>15831</v>
      </c>
      <c r="E41" s="24">
        <v>-14476</v>
      </c>
      <c r="F41" s="23">
        <v>17921</v>
      </c>
      <c r="G41" s="23">
        <v>76865</v>
      </c>
      <c r="H41" s="24">
        <v>-58944</v>
      </c>
      <c r="I41" s="4"/>
      <c r="J41" s="4"/>
    </row>
    <row r="42" spans="1:10" ht="18.75" customHeight="1" thickBot="1">
      <c r="A42" s="132" t="s">
        <v>160</v>
      </c>
      <c r="B42" s="133"/>
      <c r="C42" s="50">
        <v>309935</v>
      </c>
      <c r="D42" s="50">
        <v>668389</v>
      </c>
      <c r="E42" s="51">
        <v>-358454</v>
      </c>
      <c r="F42" s="50">
        <v>11289910</v>
      </c>
      <c r="G42" s="50">
        <v>32730354</v>
      </c>
      <c r="H42" s="51">
        <v>-21440444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30CF0"/>
    <pageSetUpPr fitToPage="1"/>
  </sheetPr>
  <dimension ref="A1:K46"/>
  <sheetViews>
    <sheetView zoomScaleNormal="100" workbookViewId="0">
      <selection activeCell="G5" sqref="G5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3.875" style="3" customWidth="1"/>
    <col min="11" max="11" width="11.125" style="3" customWidth="1"/>
    <col min="12" max="256" width="8.875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8.875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8.875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8.875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8.875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8.875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8.875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8.875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8.875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8.875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8.875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8.875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8.875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8.875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8.875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8.875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8.875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8.875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8.875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8.875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8.875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8.875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8.875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8.875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8.875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8.875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8.875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8.875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8.875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8.875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8.875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8.875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8.875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8.875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8.875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8.875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8.875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8.875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8.875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8.875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8.875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8.875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8.875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8.875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8.875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8.875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8.875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8.875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8.875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8.875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8.875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8.875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8.875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8.875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8.875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8.875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8.875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8.875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8.875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8.875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8.875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8.875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8.875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8.875" style="3"/>
  </cols>
  <sheetData>
    <row r="1" spans="1:11" ht="21" customHeight="1">
      <c r="A1" s="134" t="s">
        <v>328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137</v>
      </c>
      <c r="B3" s="6" t="s">
        <v>138</v>
      </c>
      <c r="C3" s="7" t="s">
        <v>329</v>
      </c>
      <c r="D3" s="7" t="s">
        <v>313</v>
      </c>
      <c r="E3" s="9" t="s">
        <v>186</v>
      </c>
      <c r="F3" s="74" t="s">
        <v>330</v>
      </c>
      <c r="G3" s="74" t="s">
        <v>316</v>
      </c>
      <c r="H3" s="9" t="s">
        <v>186</v>
      </c>
      <c r="I3" s="56" t="s">
        <v>187</v>
      </c>
      <c r="J3" s="56" t="s">
        <v>188</v>
      </c>
      <c r="K3" s="64" t="s">
        <v>189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14" t="s">
        <v>7</v>
      </c>
      <c r="K4" s="66" t="s">
        <v>194</v>
      </c>
    </row>
    <row r="5" spans="1:11" ht="16.5">
      <c r="A5" s="21" t="s">
        <v>331</v>
      </c>
      <c r="B5" s="22" t="s">
        <v>147</v>
      </c>
      <c r="C5" s="23">
        <v>20379</v>
      </c>
      <c r="D5" s="23">
        <v>2512</v>
      </c>
      <c r="E5" s="89">
        <v>7.1126592356687901</v>
      </c>
      <c r="F5" s="76">
        <v>7316621</v>
      </c>
      <c r="G5" s="76">
        <v>1077535</v>
      </c>
      <c r="H5" s="90">
        <v>5.7901469557833387</v>
      </c>
      <c r="I5" s="25">
        <v>359.02747926787379</v>
      </c>
      <c r="J5" s="25">
        <v>428.95501592356686</v>
      </c>
      <c r="K5" s="89">
        <v>-0.16301834472114687</v>
      </c>
    </row>
    <row r="6" spans="1:11" ht="16.5">
      <c r="A6" s="26" t="s">
        <v>205</v>
      </c>
      <c r="B6" s="27" t="s">
        <v>148</v>
      </c>
      <c r="C6" s="23">
        <v>3196</v>
      </c>
      <c r="D6" s="23">
        <v>2463</v>
      </c>
      <c r="E6" s="89">
        <v>0.2976045473000406</v>
      </c>
      <c r="F6" s="76">
        <v>2056250</v>
      </c>
      <c r="G6" s="76">
        <v>2367086</v>
      </c>
      <c r="H6" s="90">
        <v>-0.13131588797365198</v>
      </c>
      <c r="I6" s="25">
        <v>643.38235294117646</v>
      </c>
      <c r="J6" s="25">
        <v>961.0580592773041</v>
      </c>
      <c r="K6" s="89">
        <v>-0.33054788237769239</v>
      </c>
    </row>
    <row r="7" spans="1:11" ht="16.5">
      <c r="A7" s="21" t="s">
        <v>149</v>
      </c>
      <c r="B7" s="28" t="s">
        <v>150</v>
      </c>
      <c r="C7" s="23">
        <v>31</v>
      </c>
      <c r="D7" s="23">
        <v>189</v>
      </c>
      <c r="E7" s="89">
        <v>-0.83597883597883593</v>
      </c>
      <c r="F7" s="76">
        <v>3126</v>
      </c>
      <c r="G7" s="76">
        <v>24624</v>
      </c>
      <c r="H7" s="90">
        <v>-0.87305068226120852</v>
      </c>
      <c r="I7" s="25">
        <v>100.83870967741936</v>
      </c>
      <c r="J7" s="25">
        <v>130.28571428571428</v>
      </c>
      <c r="K7" s="89">
        <v>-0.2260186757215619</v>
      </c>
    </row>
    <row r="8" spans="1:11" ht="16.5">
      <c r="A8" s="21" t="s">
        <v>151</v>
      </c>
      <c r="B8" s="28" t="s">
        <v>152</v>
      </c>
      <c r="C8" s="23">
        <v>736</v>
      </c>
      <c r="D8" s="23">
        <v>3445</v>
      </c>
      <c r="E8" s="89">
        <v>-0.78635703918722788</v>
      </c>
      <c r="F8" s="76">
        <v>439087</v>
      </c>
      <c r="G8" s="76">
        <v>725270</v>
      </c>
      <c r="H8" s="90">
        <v>-0.39458822231720603</v>
      </c>
      <c r="I8" s="25">
        <v>596.585597826087</v>
      </c>
      <c r="J8" s="25">
        <v>210.52830188679246</v>
      </c>
      <c r="K8" s="89">
        <v>1.8337548561375345</v>
      </c>
    </row>
    <row r="9" spans="1:11" ht="16.5">
      <c r="A9" s="21" t="s">
        <v>153</v>
      </c>
      <c r="B9" s="28" t="s">
        <v>154</v>
      </c>
      <c r="C9" s="23">
        <v>23600</v>
      </c>
      <c r="D9" s="23">
        <v>13872</v>
      </c>
      <c r="E9" s="89">
        <v>0.70126874279123419</v>
      </c>
      <c r="F9" s="76">
        <v>13439849</v>
      </c>
      <c r="G9" s="76">
        <v>7997774</v>
      </c>
      <c r="H9" s="90">
        <v>0.68044870985351669</v>
      </c>
      <c r="I9" s="25">
        <v>569.48512711864407</v>
      </c>
      <c r="J9" s="25">
        <v>576.54080161476361</v>
      </c>
      <c r="K9" s="89">
        <v>-1.2237944784407536E-2</v>
      </c>
    </row>
    <row r="10" spans="1:11" ht="16.5">
      <c r="A10" s="21" t="s">
        <v>155</v>
      </c>
      <c r="B10" s="28" t="s">
        <v>156</v>
      </c>
      <c r="C10" s="23">
        <v>66470</v>
      </c>
      <c r="D10" s="23">
        <v>24261</v>
      </c>
      <c r="E10" s="89">
        <v>1.7397881373397635</v>
      </c>
      <c r="F10" s="76">
        <v>96701149</v>
      </c>
      <c r="G10" s="76">
        <v>32781194</v>
      </c>
      <c r="H10" s="90">
        <v>1.9498970964876996</v>
      </c>
      <c r="I10" s="25">
        <v>1454.8089213178878</v>
      </c>
      <c r="J10" s="25">
        <v>1351.1889040023082</v>
      </c>
      <c r="K10" s="89">
        <v>7.6688031561427478E-2</v>
      </c>
    </row>
    <row r="11" spans="1:11" ht="17.25" thickBot="1">
      <c r="A11" s="30" t="s">
        <v>157</v>
      </c>
      <c r="B11" s="70" t="s">
        <v>158</v>
      </c>
      <c r="C11" s="63">
        <v>114412</v>
      </c>
      <c r="D11" s="63">
        <v>46742</v>
      </c>
      <c r="E11" s="91">
        <v>1.447734371657182</v>
      </c>
      <c r="F11" s="77">
        <v>119956082</v>
      </c>
      <c r="G11" s="77">
        <v>44973483</v>
      </c>
      <c r="H11" s="91">
        <v>1.6672624399582305</v>
      </c>
      <c r="I11" s="71">
        <v>1048.4571723245813</v>
      </c>
      <c r="J11" s="72">
        <v>962.16428479739852</v>
      </c>
      <c r="K11" s="91">
        <v>8.9686230190256247E-2</v>
      </c>
    </row>
    <row r="12" spans="1:11" ht="11.25" customHeight="1" thickTop="1">
      <c r="A12" s="33"/>
      <c r="B12" s="34"/>
      <c r="E12" s="68"/>
      <c r="F12" s="78"/>
      <c r="G12" s="78"/>
      <c r="H12" s="68"/>
      <c r="I12" s="35"/>
      <c r="J12" s="69"/>
      <c r="K12" s="61"/>
    </row>
    <row r="13" spans="1:11" ht="16.5">
      <c r="A13" s="21" t="s">
        <v>332</v>
      </c>
      <c r="B13" s="22" t="s">
        <v>159</v>
      </c>
      <c r="C13" s="23">
        <v>44</v>
      </c>
      <c r="D13" s="23">
        <v>76</v>
      </c>
      <c r="E13" s="89">
        <v>-0.42105263157894735</v>
      </c>
      <c r="F13" s="76">
        <v>25799</v>
      </c>
      <c r="G13" s="76">
        <v>103494</v>
      </c>
      <c r="H13" s="92">
        <v>-0.75071984849363249</v>
      </c>
      <c r="I13" s="25">
        <v>586.34090909090912</v>
      </c>
      <c r="J13" s="25">
        <v>1361.7631578947369</v>
      </c>
      <c r="K13" s="89">
        <v>-0.56942519285263793</v>
      </c>
    </row>
    <row r="14" spans="1:11" ht="17.25" thickBot="1">
      <c r="A14" s="106" t="s">
        <v>160</v>
      </c>
      <c r="B14" s="105" t="s">
        <v>80</v>
      </c>
      <c r="C14" s="109">
        <v>114456</v>
      </c>
      <c r="D14" s="31">
        <v>46818</v>
      </c>
      <c r="E14" s="91">
        <v>1.4447007561194412</v>
      </c>
      <c r="F14" s="77">
        <v>119981881</v>
      </c>
      <c r="G14" s="108">
        <v>45076977</v>
      </c>
      <c r="H14" s="93">
        <v>1.6617108995574392</v>
      </c>
      <c r="I14" s="102">
        <v>1048.2795222618299</v>
      </c>
      <c r="J14" s="72">
        <v>962.81295655517113</v>
      </c>
      <c r="K14" s="91">
        <v>8.8767569157407147E-2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308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311</v>
      </c>
      <c r="D18" s="7" t="s">
        <v>313</v>
      </c>
      <c r="E18" s="9" t="s">
        <v>186</v>
      </c>
      <c r="F18" s="74" t="s">
        <v>333</v>
      </c>
      <c r="G18" s="74" t="s">
        <v>334</v>
      </c>
      <c r="H18" s="9" t="s">
        <v>186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196</v>
      </c>
      <c r="I19" s="45"/>
      <c r="J19" s="44"/>
    </row>
    <row r="20" spans="1:10">
      <c r="A20" s="46" t="s">
        <v>208</v>
      </c>
      <c r="B20" s="22" t="s">
        <v>162</v>
      </c>
      <c r="C20" s="23">
        <v>4101</v>
      </c>
      <c r="D20" s="23">
        <v>4688</v>
      </c>
      <c r="E20" s="90">
        <v>-0.12521331058020477</v>
      </c>
      <c r="F20" s="76">
        <v>475126</v>
      </c>
      <c r="G20" s="76">
        <v>531584</v>
      </c>
      <c r="H20" s="94">
        <v>-0.10620710931856489</v>
      </c>
      <c r="I20" s="4"/>
      <c r="J20" s="4"/>
    </row>
    <row r="21" spans="1:10">
      <c r="A21" s="46" t="s">
        <v>335</v>
      </c>
      <c r="B21" s="22" t="s">
        <v>163</v>
      </c>
      <c r="C21" s="23">
        <v>936</v>
      </c>
      <c r="D21" s="23">
        <v>2048</v>
      </c>
      <c r="E21" s="90">
        <v>-0.54296875</v>
      </c>
      <c r="F21" s="76">
        <v>138831</v>
      </c>
      <c r="G21" s="76">
        <v>224054</v>
      </c>
      <c r="H21" s="94">
        <v>-0.38036812554116417</v>
      </c>
      <c r="I21" s="4"/>
      <c r="J21" s="4"/>
    </row>
    <row r="22" spans="1:10">
      <c r="A22" s="46" t="s">
        <v>258</v>
      </c>
      <c r="B22" s="22" t="s">
        <v>164</v>
      </c>
      <c r="C22" s="23">
        <v>851727</v>
      </c>
      <c r="D22" s="23">
        <v>2014027</v>
      </c>
      <c r="E22" s="90">
        <v>-0.57710249167463989</v>
      </c>
      <c r="F22" s="76">
        <v>40783873</v>
      </c>
      <c r="G22" s="76">
        <v>76774969</v>
      </c>
      <c r="H22" s="94">
        <v>-0.46878685161045131</v>
      </c>
      <c r="I22" s="4"/>
      <c r="J22" s="4"/>
    </row>
    <row r="23" spans="1:10">
      <c r="A23" s="46">
        <v>87149200108</v>
      </c>
      <c r="B23" s="22" t="s">
        <v>165</v>
      </c>
      <c r="C23" s="23">
        <v>91982</v>
      </c>
      <c r="D23" s="23">
        <v>193351</v>
      </c>
      <c r="E23" s="90">
        <v>-0.52427450595031833</v>
      </c>
      <c r="F23" s="76">
        <v>1571266</v>
      </c>
      <c r="G23" s="76">
        <v>2541292</v>
      </c>
      <c r="H23" s="94">
        <v>-0.38170584096593385</v>
      </c>
      <c r="I23" s="4"/>
      <c r="J23" s="4"/>
    </row>
    <row r="24" spans="1:10">
      <c r="A24" s="46">
        <v>87149200206</v>
      </c>
      <c r="B24" s="22" t="s">
        <v>166</v>
      </c>
      <c r="C24" s="23">
        <v>98600</v>
      </c>
      <c r="D24" s="23">
        <v>107088</v>
      </c>
      <c r="E24" s="90">
        <v>-7.926191543403556E-2</v>
      </c>
      <c r="F24" s="76">
        <v>2590219</v>
      </c>
      <c r="G24" s="76">
        <v>2739727</v>
      </c>
      <c r="H24" s="94">
        <v>-5.457040062750778E-2</v>
      </c>
      <c r="I24" s="4"/>
      <c r="J24" s="4"/>
    </row>
    <row r="25" spans="1:10">
      <c r="A25" s="46">
        <v>87149200304</v>
      </c>
      <c r="B25" s="22" t="s">
        <v>167</v>
      </c>
      <c r="C25" s="23">
        <v>42361</v>
      </c>
      <c r="D25" s="23">
        <v>31876</v>
      </c>
      <c r="E25" s="90">
        <v>0.32893085707115072</v>
      </c>
      <c r="F25" s="76">
        <v>4742674</v>
      </c>
      <c r="G25" s="76">
        <v>2541107</v>
      </c>
      <c r="H25" s="94">
        <v>0.86638106935284509</v>
      </c>
      <c r="I25" s="4"/>
      <c r="J25" s="4"/>
    </row>
    <row r="26" spans="1:10">
      <c r="A26" s="46">
        <v>87149310007</v>
      </c>
      <c r="B26" s="22" t="s">
        <v>168</v>
      </c>
      <c r="C26" s="23">
        <v>33907</v>
      </c>
      <c r="D26" s="23">
        <v>90931</v>
      </c>
      <c r="E26" s="90">
        <v>-0.62711286579934233</v>
      </c>
      <c r="F26" s="76">
        <v>3592038</v>
      </c>
      <c r="G26" s="76">
        <v>8771970</v>
      </c>
      <c r="H26" s="94">
        <v>-0.59050954346629092</v>
      </c>
      <c r="I26" s="4"/>
      <c r="J26" s="4"/>
    </row>
    <row r="27" spans="1:10">
      <c r="A27" s="46">
        <v>87149320103</v>
      </c>
      <c r="B27" s="22" t="s">
        <v>169</v>
      </c>
      <c r="C27" s="23">
        <v>4619</v>
      </c>
      <c r="D27" s="23">
        <v>15811</v>
      </c>
      <c r="E27" s="90">
        <v>-0.70786161533109859</v>
      </c>
      <c r="F27" s="76">
        <v>246046</v>
      </c>
      <c r="G27" s="76">
        <v>682936</v>
      </c>
      <c r="H27" s="94">
        <v>-0.63972319514566522</v>
      </c>
      <c r="I27" s="4"/>
      <c r="J27" s="4"/>
    </row>
    <row r="28" spans="1:10">
      <c r="A28" s="46">
        <v>87149410006</v>
      </c>
      <c r="B28" s="22" t="s">
        <v>170</v>
      </c>
      <c r="C28" s="23">
        <v>1127</v>
      </c>
      <c r="D28" s="23">
        <v>2445</v>
      </c>
      <c r="E28" s="90">
        <v>-0.53905930470347652</v>
      </c>
      <c r="F28" s="76">
        <v>25392</v>
      </c>
      <c r="G28" s="76">
        <v>120727</v>
      </c>
      <c r="H28" s="94">
        <v>-0.78967422366164985</v>
      </c>
      <c r="I28" s="4"/>
      <c r="J28" s="4"/>
    </row>
    <row r="29" spans="1:10">
      <c r="A29" s="46">
        <v>87149490009</v>
      </c>
      <c r="B29" s="22" t="s">
        <v>171</v>
      </c>
      <c r="C29" s="23">
        <v>574809</v>
      </c>
      <c r="D29" s="23">
        <v>1680512</v>
      </c>
      <c r="E29" s="90">
        <v>-0.65795602768680017</v>
      </c>
      <c r="F29" s="76">
        <v>25615452</v>
      </c>
      <c r="G29" s="76">
        <v>56176318</v>
      </c>
      <c r="H29" s="94">
        <v>-0.54401689338201198</v>
      </c>
      <c r="I29" s="4"/>
      <c r="J29" s="4"/>
    </row>
    <row r="30" spans="1:10">
      <c r="A30" s="46">
        <v>87149500007</v>
      </c>
      <c r="B30" s="22" t="s">
        <v>172</v>
      </c>
      <c r="C30" s="23">
        <v>28990</v>
      </c>
      <c r="D30" s="23">
        <v>39542</v>
      </c>
      <c r="E30" s="90">
        <v>-0.26685549542258863</v>
      </c>
      <c r="F30" s="76">
        <v>1268314</v>
      </c>
      <c r="G30" s="76">
        <v>1466632</v>
      </c>
      <c r="H30" s="94">
        <v>-0.13522001429124689</v>
      </c>
      <c r="I30" s="4"/>
      <c r="J30" s="4"/>
    </row>
    <row r="31" spans="1:10">
      <c r="A31" s="46">
        <v>87149610004</v>
      </c>
      <c r="B31" s="22" t="s">
        <v>173</v>
      </c>
      <c r="C31" s="23">
        <v>82919</v>
      </c>
      <c r="D31" s="23">
        <v>179381</v>
      </c>
      <c r="E31" s="90">
        <v>-0.54008507032517383</v>
      </c>
      <c r="F31" s="76">
        <v>1783033</v>
      </c>
      <c r="G31" s="76">
        <v>2752009</v>
      </c>
      <c r="H31" s="94">
        <v>-0.35317944091025866</v>
      </c>
      <c r="I31" s="4"/>
      <c r="J31" s="4"/>
    </row>
    <row r="32" spans="1:10">
      <c r="A32" s="46">
        <v>87149620002</v>
      </c>
      <c r="B32" s="22" t="s">
        <v>174</v>
      </c>
      <c r="C32" s="23">
        <v>203910</v>
      </c>
      <c r="D32" s="23">
        <v>309318</v>
      </c>
      <c r="E32" s="90">
        <v>-0.34077551257928734</v>
      </c>
      <c r="F32" s="76">
        <v>9654183</v>
      </c>
      <c r="G32" s="76">
        <v>12172742</v>
      </c>
      <c r="H32" s="94">
        <v>-0.20690153459261684</v>
      </c>
      <c r="I32" s="4"/>
      <c r="J32" s="4"/>
    </row>
    <row r="33" spans="1:10">
      <c r="A33" s="46" t="s">
        <v>210</v>
      </c>
      <c r="B33" s="22" t="s">
        <v>175</v>
      </c>
      <c r="C33" s="23">
        <v>69084</v>
      </c>
      <c r="D33" s="23">
        <v>118205</v>
      </c>
      <c r="E33" s="90">
        <v>-0.41555771752463938</v>
      </c>
      <c r="F33" s="76">
        <v>1869622</v>
      </c>
      <c r="G33" s="76">
        <v>3043354</v>
      </c>
      <c r="H33" s="94">
        <v>-0.38567054637745068</v>
      </c>
      <c r="I33" s="4"/>
      <c r="J33" s="4"/>
    </row>
    <row r="34" spans="1:10">
      <c r="A34" s="46">
        <v>87149990111</v>
      </c>
      <c r="B34" s="22" t="s">
        <v>176</v>
      </c>
      <c r="C34" s="23">
        <v>142066</v>
      </c>
      <c r="D34" s="23">
        <v>179129</v>
      </c>
      <c r="E34" s="90">
        <v>-0.20690675435021688</v>
      </c>
      <c r="F34" s="76">
        <v>14687577</v>
      </c>
      <c r="G34" s="76">
        <v>16252807</v>
      </c>
      <c r="H34" s="94">
        <v>-9.6305210539939345E-2</v>
      </c>
      <c r="I34" s="4"/>
      <c r="J34" s="4"/>
    </row>
    <row r="35" spans="1:10">
      <c r="A35" s="46">
        <v>87149320906</v>
      </c>
      <c r="B35" s="22" t="s">
        <v>177</v>
      </c>
      <c r="C35" s="23">
        <v>253413</v>
      </c>
      <c r="D35" s="23">
        <v>296098</v>
      </c>
      <c r="E35" s="90">
        <v>-0.14415835297773036</v>
      </c>
      <c r="F35" s="76">
        <v>8493931</v>
      </c>
      <c r="G35" s="76">
        <v>9527708</v>
      </c>
      <c r="H35" s="94">
        <v>-0.10850217072143689</v>
      </c>
      <c r="I35" s="4"/>
      <c r="J35" s="4"/>
    </row>
    <row r="36" spans="1:10">
      <c r="A36" s="46">
        <v>87149990139</v>
      </c>
      <c r="B36" s="22" t="s">
        <v>178</v>
      </c>
      <c r="C36" s="23">
        <v>15365</v>
      </c>
      <c r="D36" s="23">
        <v>30430</v>
      </c>
      <c r="E36" s="90">
        <v>-0.49507065395990796</v>
      </c>
      <c r="F36" s="76">
        <v>415030</v>
      </c>
      <c r="G36" s="76">
        <v>649890</v>
      </c>
      <c r="H36" s="94">
        <v>-0.36138423425502775</v>
      </c>
      <c r="I36" s="4"/>
      <c r="J36" s="4"/>
    </row>
    <row r="37" spans="1:10">
      <c r="A37" s="46">
        <v>87149990148</v>
      </c>
      <c r="B37" s="22" t="s">
        <v>179</v>
      </c>
      <c r="C37" s="23">
        <v>22443</v>
      </c>
      <c r="D37" s="23">
        <v>56960</v>
      </c>
      <c r="E37" s="90">
        <v>-0.60598665730337076</v>
      </c>
      <c r="F37" s="76">
        <v>1057150</v>
      </c>
      <c r="G37" s="76">
        <v>1757791</v>
      </c>
      <c r="H37" s="94">
        <v>-0.39859175522004608</v>
      </c>
      <c r="I37" s="4"/>
      <c r="J37" s="4"/>
    </row>
    <row r="38" spans="1:10">
      <c r="A38" s="46">
        <v>87149990157</v>
      </c>
      <c r="B38" s="22" t="s">
        <v>180</v>
      </c>
      <c r="C38" s="23">
        <v>52143</v>
      </c>
      <c r="D38" s="23">
        <v>78881</v>
      </c>
      <c r="E38" s="90">
        <v>-0.33896629099529674</v>
      </c>
      <c r="F38" s="76">
        <v>1707105</v>
      </c>
      <c r="G38" s="76">
        <v>3705776</v>
      </c>
      <c r="H38" s="94">
        <v>-0.53933939881957249</v>
      </c>
      <c r="I38" s="4"/>
      <c r="J38" s="4"/>
    </row>
    <row r="39" spans="1:10">
      <c r="A39" s="46" t="s">
        <v>336</v>
      </c>
      <c r="B39" s="22" t="s">
        <v>181</v>
      </c>
      <c r="C39" s="23">
        <v>86947</v>
      </c>
      <c r="D39" s="23">
        <v>97544</v>
      </c>
      <c r="E39" s="90">
        <v>-0.10863815303862873</v>
      </c>
      <c r="F39" s="76">
        <v>3386698</v>
      </c>
      <c r="G39" s="76">
        <v>2214555</v>
      </c>
      <c r="H39" s="94">
        <v>0.52929053466723563</v>
      </c>
      <c r="I39" s="4"/>
      <c r="J39" s="4"/>
    </row>
    <row r="40" spans="1:10">
      <c r="A40" s="46" t="s">
        <v>211</v>
      </c>
      <c r="B40" s="22" t="s">
        <v>182</v>
      </c>
      <c r="C40" s="23">
        <v>451532</v>
      </c>
      <c r="D40" s="23">
        <v>822463</v>
      </c>
      <c r="E40" s="90">
        <v>-0.4510002273658511</v>
      </c>
      <c r="F40" s="76">
        <v>8862544</v>
      </c>
      <c r="G40" s="76">
        <v>13940119</v>
      </c>
      <c r="H40" s="94">
        <v>-0.36424186909738721</v>
      </c>
      <c r="I40" s="4"/>
      <c r="J40" s="4"/>
    </row>
    <row r="41" spans="1:10">
      <c r="A41" s="46" t="s">
        <v>337</v>
      </c>
      <c r="B41" s="22" t="s">
        <v>183</v>
      </c>
      <c r="C41" s="23">
        <v>12726</v>
      </c>
      <c r="D41" s="23">
        <v>42577</v>
      </c>
      <c r="E41" s="90">
        <v>-0.70110623106371983</v>
      </c>
      <c r="F41" s="76">
        <v>158956</v>
      </c>
      <c r="G41" s="76">
        <v>547793</v>
      </c>
      <c r="H41" s="94">
        <v>-0.70982469655508562</v>
      </c>
      <c r="I41" s="4"/>
      <c r="J41" s="4"/>
    </row>
    <row r="42" spans="1:10" ht="18.75" customHeight="1" thickBot="1">
      <c r="A42" s="132" t="s">
        <v>160</v>
      </c>
      <c r="B42" s="133"/>
      <c r="C42" s="63">
        <v>3125288</v>
      </c>
      <c r="D42" s="63">
        <v>6393305</v>
      </c>
      <c r="E42" s="91">
        <v>-0.51116238002097503</v>
      </c>
      <c r="F42" s="77">
        <v>133122083</v>
      </c>
      <c r="G42" s="77">
        <v>219135860</v>
      </c>
      <c r="H42" s="91">
        <v>-0.39251347086688598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329" priority="9" operator="greaterThanOrEqual">
      <formula>0</formula>
    </cfRule>
    <cfRule type="cellIs" dxfId="328" priority="10" operator="lessThan">
      <formula>0</formula>
    </cfRule>
  </conditionalFormatting>
  <conditionalFormatting sqref="E13">
    <cfRule type="cellIs" dxfId="327" priority="5" operator="greaterThanOrEqual">
      <formula>0</formula>
    </cfRule>
    <cfRule type="cellIs" dxfId="326" priority="6" operator="lessThan">
      <formula>0</formula>
    </cfRule>
  </conditionalFormatting>
  <conditionalFormatting sqref="E20:E41">
    <cfRule type="cellIs" dxfId="325" priority="13" operator="greaterThanOrEqual">
      <formula>0</formula>
    </cfRule>
    <cfRule type="cellIs" dxfId="324" priority="14" operator="lessThan">
      <formula>0</formula>
    </cfRule>
  </conditionalFormatting>
  <conditionalFormatting sqref="H5:H10">
    <cfRule type="cellIs" dxfId="323" priority="11" operator="greaterThanOrEqual">
      <formula>0</formula>
    </cfRule>
    <cfRule type="cellIs" dxfId="322" priority="12" operator="lessThan">
      <formula>0</formula>
    </cfRule>
  </conditionalFormatting>
  <conditionalFormatting sqref="H13">
    <cfRule type="cellIs" dxfId="321" priority="3" operator="greaterThanOrEqual">
      <formula>0</formula>
    </cfRule>
    <cfRule type="cellIs" dxfId="320" priority="4" operator="lessThan">
      <formula>0</formula>
    </cfRule>
  </conditionalFormatting>
  <conditionalFormatting sqref="K5:K10">
    <cfRule type="cellIs" dxfId="319" priority="7" operator="greaterThanOrEqual">
      <formula>0</formula>
    </cfRule>
    <cfRule type="cellIs" dxfId="318" priority="8" operator="lessThan">
      <formula>0</formula>
    </cfRule>
  </conditionalFormatting>
  <conditionalFormatting sqref="K13">
    <cfRule type="cellIs" dxfId="317" priority="1" operator="greaterThanOrEqual">
      <formula>0</formula>
    </cfRule>
    <cfRule type="cellIs" dxfId="316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30CF0"/>
  </sheetPr>
  <dimension ref="A1:K46"/>
  <sheetViews>
    <sheetView zoomScaleNormal="100" workbookViewId="0">
      <selection activeCell="D13" sqref="D13"/>
    </sheetView>
  </sheetViews>
  <sheetFormatPr defaultRowHeight="15.75"/>
  <cols>
    <col min="1" max="1" width="14.5" style="2" customWidth="1"/>
    <col min="2" max="2" width="26.375" style="3" customWidth="1"/>
    <col min="3" max="3" width="17.375" style="4" customWidth="1"/>
    <col min="4" max="4" width="16.2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8.875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8.875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8.875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8.875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8.875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8.875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8.875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8.875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8.875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8.875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8.875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8.875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8.875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8.875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8.875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8.875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8.875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8.875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8.875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8.875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8.875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8.875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8.875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8.875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8.875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8.875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8.875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8.875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8.875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8.875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8.875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8.875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8.875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8.875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8.875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8.875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8.875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8.875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8.875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8.875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8.875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8.875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8.875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8.875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8.875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8.875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8.875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8.875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8.875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8.875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8.875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8.875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8.875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8.875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8.875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8.875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8.875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8.875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8.875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8.875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8.875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8.875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8.875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8.875" style="3"/>
  </cols>
  <sheetData>
    <row r="1" spans="1:11" s="42" customFormat="1" ht="19.5">
      <c r="A1" s="131" t="s">
        <v>310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137</v>
      </c>
      <c r="B3" s="6" t="s">
        <v>138</v>
      </c>
      <c r="C3" s="7" t="s">
        <v>312</v>
      </c>
      <c r="D3" s="7" t="s">
        <v>314</v>
      </c>
      <c r="E3" s="9" t="s">
        <v>197</v>
      </c>
      <c r="F3" s="74" t="s">
        <v>315</v>
      </c>
      <c r="G3" s="74" t="s">
        <v>317</v>
      </c>
      <c r="H3" s="9" t="s">
        <v>197</v>
      </c>
      <c r="I3" s="56" t="s">
        <v>187</v>
      </c>
      <c r="J3" s="56" t="s">
        <v>227</v>
      </c>
      <c r="K3" s="64" t="s">
        <v>318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65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36759</v>
      </c>
      <c r="D5" s="23">
        <v>32955</v>
      </c>
      <c r="E5" s="89">
        <v>0.11543013199817934</v>
      </c>
      <c r="F5" s="76">
        <v>2295688</v>
      </c>
      <c r="G5" s="76">
        <v>2320619</v>
      </c>
      <c r="H5" s="90">
        <v>-1.0743254278276614E-2</v>
      </c>
      <c r="I5" s="25">
        <v>62.452406213444327</v>
      </c>
      <c r="J5" s="25">
        <v>70.417812168108028</v>
      </c>
      <c r="K5" s="89">
        <v>-0.11311635095461266</v>
      </c>
    </row>
    <row r="6" spans="1:11" ht="16.5">
      <c r="A6" s="26" t="s">
        <v>205</v>
      </c>
      <c r="B6" s="27" t="s">
        <v>148</v>
      </c>
      <c r="C6" s="23">
        <v>21697</v>
      </c>
      <c r="D6" s="23">
        <v>30475</v>
      </c>
      <c r="E6" s="89">
        <v>-0.28803937653814604</v>
      </c>
      <c r="F6" s="76">
        <v>2100401</v>
      </c>
      <c r="G6" s="76">
        <v>3393026</v>
      </c>
      <c r="H6" s="90">
        <v>-0.3809652504873231</v>
      </c>
      <c r="I6" s="25">
        <v>96.806056136793103</v>
      </c>
      <c r="J6" s="25">
        <v>111.33801476620181</v>
      </c>
      <c r="K6" s="89">
        <v>-0.13052108626082745</v>
      </c>
    </row>
    <row r="7" spans="1:11" ht="16.5">
      <c r="A7" s="21" t="s">
        <v>149</v>
      </c>
      <c r="B7" s="28" t="s">
        <v>150</v>
      </c>
      <c r="C7" s="23">
        <v>28834</v>
      </c>
      <c r="D7" s="23">
        <v>29961</v>
      </c>
      <c r="E7" s="89">
        <v>-3.7615566903641401E-2</v>
      </c>
      <c r="F7" s="76">
        <v>1622201</v>
      </c>
      <c r="G7" s="76">
        <v>1812192</v>
      </c>
      <c r="H7" s="90">
        <v>-0.10484043633345694</v>
      </c>
      <c r="I7" s="25">
        <v>56.260005549004646</v>
      </c>
      <c r="J7" s="25">
        <v>60.485030539701611</v>
      </c>
      <c r="K7" s="89">
        <v>-6.9852407331161256E-2</v>
      </c>
    </row>
    <row r="8" spans="1:11" ht="16.5">
      <c r="A8" s="21" t="s">
        <v>151</v>
      </c>
      <c r="B8" s="28" t="s">
        <v>152</v>
      </c>
      <c r="C8" s="23">
        <v>58540</v>
      </c>
      <c r="D8" s="23">
        <v>58591</v>
      </c>
      <c r="E8" s="89">
        <v>-8.7044085269068628E-4</v>
      </c>
      <c r="F8" s="76">
        <v>5731862</v>
      </c>
      <c r="G8" s="76">
        <v>7407749</v>
      </c>
      <c r="H8" s="90">
        <v>-0.22623431220469267</v>
      </c>
      <c r="I8" s="25">
        <v>97.913597540143485</v>
      </c>
      <c r="J8" s="25">
        <v>126.43151678585448</v>
      </c>
      <c r="K8" s="89">
        <v>-0.22556020817193631</v>
      </c>
    </row>
    <row r="9" spans="1:11" ht="16.5">
      <c r="A9" s="21" t="s">
        <v>153</v>
      </c>
      <c r="B9" s="28" t="s">
        <v>154</v>
      </c>
      <c r="C9" s="23">
        <v>16523</v>
      </c>
      <c r="D9" s="23">
        <v>17334</v>
      </c>
      <c r="E9" s="89">
        <v>-4.6786662051459559E-2</v>
      </c>
      <c r="F9" s="76">
        <v>1699184</v>
      </c>
      <c r="G9" s="76">
        <v>2031423</v>
      </c>
      <c r="H9" s="90">
        <v>-0.16354988596663522</v>
      </c>
      <c r="I9" s="25">
        <v>102.83749924347879</v>
      </c>
      <c r="J9" s="25">
        <v>117.19297334717895</v>
      </c>
      <c r="K9" s="89">
        <v>-0.12249432447773732</v>
      </c>
    </row>
    <row r="10" spans="1:11" ht="16.5">
      <c r="A10" s="21" t="s">
        <v>155</v>
      </c>
      <c r="B10" s="28" t="s">
        <v>156</v>
      </c>
      <c r="C10" s="23">
        <v>15013</v>
      </c>
      <c r="D10" s="23">
        <v>13617</v>
      </c>
      <c r="E10" s="89">
        <v>0.10251891018579716</v>
      </c>
      <c r="F10" s="76">
        <v>2912975</v>
      </c>
      <c r="G10" s="76">
        <v>2852968</v>
      </c>
      <c r="H10" s="90">
        <v>2.1033183688004914E-2</v>
      </c>
      <c r="I10" s="25">
        <v>194.03017384933057</v>
      </c>
      <c r="J10" s="25">
        <v>209.51516486744509</v>
      </c>
      <c r="K10" s="89">
        <v>-7.390868831815342E-2</v>
      </c>
    </row>
    <row r="11" spans="1:11" ht="17.25" thickBot="1">
      <c r="A11" s="48" t="s">
        <v>157</v>
      </c>
      <c r="B11" s="70" t="s">
        <v>158</v>
      </c>
      <c r="C11" s="63">
        <v>177366</v>
      </c>
      <c r="D11" s="63">
        <v>182933</v>
      </c>
      <c r="E11" s="91">
        <v>-3.0431906763678504E-2</v>
      </c>
      <c r="F11" s="77">
        <v>16362311</v>
      </c>
      <c r="G11" s="77">
        <v>19817977</v>
      </c>
      <c r="H11" s="91">
        <v>-0.17437026998265262</v>
      </c>
      <c r="I11" s="102">
        <v>92.251677322598468</v>
      </c>
      <c r="J11" s="72">
        <v>108.33461977882612</v>
      </c>
      <c r="K11" s="91">
        <v>-0.14845616746578594</v>
      </c>
    </row>
    <row r="12" spans="1:11" ht="5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319</v>
      </c>
      <c r="B13" s="22" t="s">
        <v>159</v>
      </c>
      <c r="C13" s="23">
        <v>2615</v>
      </c>
      <c r="D13" s="23">
        <v>653</v>
      </c>
      <c r="E13" s="89">
        <v>3.0045941807044412</v>
      </c>
      <c r="F13" s="76">
        <v>115532</v>
      </c>
      <c r="G13" s="76">
        <v>114046</v>
      </c>
      <c r="H13" s="92">
        <v>1.3029830068568823E-2</v>
      </c>
      <c r="I13" s="25">
        <v>44.180497131931169</v>
      </c>
      <c r="J13" s="25">
        <v>174.64931087289435</v>
      </c>
      <c r="K13" s="89">
        <v>-0.74703308641117583</v>
      </c>
    </row>
    <row r="14" spans="1:11" ht="17.25" thickBot="1">
      <c r="A14" s="48" t="s">
        <v>160</v>
      </c>
      <c r="B14" s="73" t="s">
        <v>80</v>
      </c>
      <c r="C14" s="109">
        <v>179981</v>
      </c>
      <c r="D14" s="31">
        <v>183586</v>
      </c>
      <c r="E14" s="91">
        <v>-1.9636573594936434E-2</v>
      </c>
      <c r="F14" s="77">
        <v>16477843</v>
      </c>
      <c r="G14" s="108">
        <v>19932023</v>
      </c>
      <c r="H14" s="93">
        <v>-0.17329801395473005</v>
      </c>
      <c r="I14" s="102">
        <v>91.55323617492958</v>
      </c>
      <c r="J14" s="72">
        <v>108.57049557155774</v>
      </c>
      <c r="K14" s="91">
        <v>-0.15673926242155037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320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312</v>
      </c>
      <c r="D18" s="7" t="s">
        <v>313</v>
      </c>
      <c r="E18" s="9" t="s">
        <v>197</v>
      </c>
      <c r="F18" s="74" t="s">
        <v>315</v>
      </c>
      <c r="G18" s="74" t="s">
        <v>316</v>
      </c>
      <c r="H18" s="9" t="s">
        <v>197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193</v>
      </c>
      <c r="I19" s="4"/>
      <c r="J19" s="4"/>
    </row>
    <row r="20" spans="1:10">
      <c r="A20" s="46" t="s">
        <v>208</v>
      </c>
      <c r="B20" s="22" t="s">
        <v>162</v>
      </c>
      <c r="C20" s="23">
        <v>28281</v>
      </c>
      <c r="D20" s="23">
        <v>46507</v>
      </c>
      <c r="E20" s="90">
        <v>-0.39189799385038809</v>
      </c>
      <c r="F20" s="76">
        <v>1349756</v>
      </c>
      <c r="G20" s="76">
        <v>2343743</v>
      </c>
      <c r="H20" s="94">
        <v>-0.42410238665246147</v>
      </c>
      <c r="I20" s="4"/>
      <c r="J20" s="4"/>
    </row>
    <row r="21" spans="1:10">
      <c r="A21" s="46" t="s">
        <v>321</v>
      </c>
      <c r="B21" s="22" t="s">
        <v>163</v>
      </c>
      <c r="C21" s="23">
        <v>18310</v>
      </c>
      <c r="D21" s="23">
        <v>31213</v>
      </c>
      <c r="E21" s="90">
        <v>-0.4133854483708711</v>
      </c>
      <c r="F21" s="76">
        <v>1143225</v>
      </c>
      <c r="G21" s="76">
        <v>1868475</v>
      </c>
      <c r="H21" s="94">
        <v>-0.38815076466102033</v>
      </c>
      <c r="I21" s="4"/>
      <c r="J21" s="4"/>
    </row>
    <row r="22" spans="1:10">
      <c r="A22" s="46" t="s">
        <v>322</v>
      </c>
      <c r="B22" s="22" t="s">
        <v>164</v>
      </c>
      <c r="C22" s="23">
        <v>4591974</v>
      </c>
      <c r="D22" s="23">
        <v>9931825</v>
      </c>
      <c r="E22" s="90">
        <v>-0.53765053250535522</v>
      </c>
      <c r="F22" s="76">
        <v>282994623</v>
      </c>
      <c r="G22" s="76">
        <v>412635118</v>
      </c>
      <c r="H22" s="94">
        <v>-0.31417707641645759</v>
      </c>
      <c r="I22" s="4"/>
      <c r="J22" s="4"/>
    </row>
    <row r="23" spans="1:10">
      <c r="A23" s="46">
        <v>87149200108</v>
      </c>
      <c r="B23" s="22" t="s">
        <v>165</v>
      </c>
      <c r="C23" s="23">
        <v>702485</v>
      </c>
      <c r="D23" s="23">
        <v>1419238</v>
      </c>
      <c r="E23" s="90">
        <v>-0.50502664105667971</v>
      </c>
      <c r="F23" s="76">
        <v>51791652</v>
      </c>
      <c r="G23" s="76">
        <v>78287831</v>
      </c>
      <c r="H23" s="94">
        <v>-0.3384456902376054</v>
      </c>
      <c r="I23" s="4"/>
      <c r="J23" s="4"/>
    </row>
    <row r="24" spans="1:10">
      <c r="A24" s="46">
        <v>87149200206</v>
      </c>
      <c r="B24" s="22" t="s">
        <v>166</v>
      </c>
      <c r="C24" s="23">
        <v>52779</v>
      </c>
      <c r="D24" s="23">
        <v>74790</v>
      </c>
      <c r="E24" s="90">
        <v>-0.29430405134376253</v>
      </c>
      <c r="F24" s="76">
        <v>2177080</v>
      </c>
      <c r="G24" s="76">
        <v>1177481</v>
      </c>
      <c r="H24" s="94">
        <v>0.84893004642962389</v>
      </c>
      <c r="I24" s="4"/>
      <c r="J24" s="4"/>
    </row>
    <row r="25" spans="1:10">
      <c r="A25" s="46">
        <v>87149200304</v>
      </c>
      <c r="B25" s="22" t="s">
        <v>167</v>
      </c>
      <c r="C25" s="23">
        <v>152815</v>
      </c>
      <c r="D25" s="23">
        <v>249559</v>
      </c>
      <c r="E25" s="90">
        <v>-0.38765983194354842</v>
      </c>
      <c r="F25" s="76">
        <v>2660451</v>
      </c>
      <c r="G25" s="76">
        <v>3339347</v>
      </c>
      <c r="H25" s="94">
        <v>-0.20330202282062931</v>
      </c>
      <c r="I25" s="4"/>
      <c r="J25" s="4"/>
    </row>
    <row r="26" spans="1:10">
      <c r="A26" s="46">
        <v>87149310007</v>
      </c>
      <c r="B26" s="22" t="s">
        <v>168</v>
      </c>
      <c r="C26" s="23">
        <v>685354</v>
      </c>
      <c r="D26" s="23">
        <v>1635580</v>
      </c>
      <c r="E26" s="90">
        <v>-0.58097188764841834</v>
      </c>
      <c r="F26" s="76">
        <v>22623236</v>
      </c>
      <c r="G26" s="76">
        <v>38995858</v>
      </c>
      <c r="H26" s="94">
        <v>-0.41985541131060639</v>
      </c>
      <c r="I26" s="4"/>
      <c r="J26" s="4"/>
    </row>
    <row r="27" spans="1:10">
      <c r="A27" s="46">
        <v>87149320103</v>
      </c>
      <c r="B27" s="22" t="s">
        <v>169</v>
      </c>
      <c r="C27" s="23">
        <v>3125</v>
      </c>
      <c r="D27" s="23">
        <v>3838</v>
      </c>
      <c r="E27" s="90">
        <v>-0.18577384054194893</v>
      </c>
      <c r="F27" s="76">
        <v>39734</v>
      </c>
      <c r="G27" s="76">
        <v>51430</v>
      </c>
      <c r="H27" s="94">
        <v>-0.22741590511374685</v>
      </c>
      <c r="I27" s="4"/>
      <c r="J27" s="4"/>
    </row>
    <row r="28" spans="1:10">
      <c r="A28" s="46" t="s">
        <v>323</v>
      </c>
      <c r="B28" s="22" t="s">
        <v>170</v>
      </c>
      <c r="C28" s="23">
        <v>36660</v>
      </c>
      <c r="D28" s="23">
        <v>56650</v>
      </c>
      <c r="E28" s="90">
        <v>-0.35286849073256843</v>
      </c>
      <c r="F28" s="76">
        <v>309276</v>
      </c>
      <c r="G28" s="76">
        <v>997910</v>
      </c>
      <c r="H28" s="94">
        <v>-0.69007625938210859</v>
      </c>
      <c r="I28" s="4"/>
      <c r="J28" s="4"/>
    </row>
    <row r="29" spans="1:10">
      <c r="A29" s="46">
        <v>87149490009</v>
      </c>
      <c r="B29" s="22" t="s">
        <v>171</v>
      </c>
      <c r="C29" s="23">
        <v>611133</v>
      </c>
      <c r="D29" s="23">
        <v>2551748</v>
      </c>
      <c r="E29" s="90">
        <v>-0.76050417204206688</v>
      </c>
      <c r="F29" s="76">
        <v>10075045</v>
      </c>
      <c r="G29" s="76">
        <v>38775397</v>
      </c>
      <c r="H29" s="94">
        <v>-0.7401691335358862</v>
      </c>
      <c r="I29" s="4"/>
      <c r="J29" s="4"/>
    </row>
    <row r="30" spans="1:10">
      <c r="A30" s="46">
        <v>87149500007</v>
      </c>
      <c r="B30" s="22" t="s">
        <v>172</v>
      </c>
      <c r="C30" s="23">
        <v>490514</v>
      </c>
      <c r="D30" s="23">
        <v>1579348</v>
      </c>
      <c r="E30" s="90">
        <v>-0.68941993784777011</v>
      </c>
      <c r="F30" s="76">
        <v>5328402</v>
      </c>
      <c r="G30" s="76">
        <v>22632959</v>
      </c>
      <c r="H30" s="94">
        <v>-0.76457333749422685</v>
      </c>
      <c r="I30" s="4"/>
      <c r="J30" s="4"/>
    </row>
    <row r="31" spans="1:10">
      <c r="A31" s="46">
        <v>87149610004</v>
      </c>
      <c r="B31" s="22" t="s">
        <v>173</v>
      </c>
      <c r="C31" s="23">
        <v>204597</v>
      </c>
      <c r="D31" s="23">
        <v>755811</v>
      </c>
      <c r="E31" s="90">
        <v>-0.72930137296228814</v>
      </c>
      <c r="F31" s="76">
        <v>2614055</v>
      </c>
      <c r="G31" s="76">
        <v>6249547</v>
      </c>
      <c r="H31" s="94">
        <v>-0.58172088312960923</v>
      </c>
      <c r="I31" s="4"/>
      <c r="J31" s="4"/>
    </row>
    <row r="32" spans="1:10">
      <c r="A32" s="46">
        <v>87149620002</v>
      </c>
      <c r="B32" s="22" t="s">
        <v>174</v>
      </c>
      <c r="C32" s="23">
        <v>688110</v>
      </c>
      <c r="D32" s="23">
        <v>1831541</v>
      </c>
      <c r="E32" s="90">
        <v>-0.62429997472074061</v>
      </c>
      <c r="F32" s="76">
        <v>7988319</v>
      </c>
      <c r="G32" s="76">
        <v>19793676</v>
      </c>
      <c r="H32" s="94">
        <v>-0.5964206446543836</v>
      </c>
      <c r="I32" s="4"/>
      <c r="J32" s="4"/>
    </row>
    <row r="33" spans="1:10">
      <c r="A33" s="46" t="s">
        <v>324</v>
      </c>
      <c r="B33" s="22" t="s">
        <v>175</v>
      </c>
      <c r="C33" s="23">
        <v>319462</v>
      </c>
      <c r="D33" s="23">
        <v>887743</v>
      </c>
      <c r="E33" s="90">
        <v>-0.64014134721422755</v>
      </c>
      <c r="F33" s="76">
        <v>1373766</v>
      </c>
      <c r="G33" s="76">
        <v>3803713</v>
      </c>
      <c r="H33" s="94">
        <v>-0.63883552728610171</v>
      </c>
      <c r="I33" s="4"/>
      <c r="J33" s="4"/>
    </row>
    <row r="34" spans="1:10">
      <c r="A34" s="46">
        <v>87149990111</v>
      </c>
      <c r="B34" s="22" t="s">
        <v>176</v>
      </c>
      <c r="C34" s="23">
        <v>134765</v>
      </c>
      <c r="D34" s="23">
        <v>695457</v>
      </c>
      <c r="E34" s="90">
        <v>-0.8062209453639837</v>
      </c>
      <c r="F34" s="76">
        <v>4208326</v>
      </c>
      <c r="G34" s="76">
        <v>16582848</v>
      </c>
      <c r="H34" s="94">
        <v>-0.74622417090236848</v>
      </c>
      <c r="I34" s="4"/>
      <c r="J34" s="4"/>
    </row>
    <row r="35" spans="1:10">
      <c r="A35" s="46">
        <v>87149320906</v>
      </c>
      <c r="B35" s="22" t="s">
        <v>177</v>
      </c>
      <c r="C35" s="23">
        <v>186023</v>
      </c>
      <c r="D35" s="23">
        <v>351431</v>
      </c>
      <c r="E35" s="90">
        <v>-0.47066707262592089</v>
      </c>
      <c r="F35" s="76">
        <v>2409479</v>
      </c>
      <c r="G35" s="76">
        <v>4345676</v>
      </c>
      <c r="H35" s="94">
        <v>-0.44553850770282921</v>
      </c>
      <c r="I35" s="4"/>
      <c r="J35" s="4"/>
    </row>
    <row r="36" spans="1:10">
      <c r="A36" s="46">
        <v>87149990139</v>
      </c>
      <c r="B36" s="22" t="s">
        <v>178</v>
      </c>
      <c r="C36" s="23">
        <v>29438</v>
      </c>
      <c r="D36" s="23">
        <v>102334</v>
      </c>
      <c r="E36" s="90">
        <v>-0.71233412160181364</v>
      </c>
      <c r="F36" s="76">
        <v>101215</v>
      </c>
      <c r="G36" s="76">
        <v>483957</v>
      </c>
      <c r="H36" s="94">
        <v>-0.79085951851094205</v>
      </c>
      <c r="I36" s="4"/>
      <c r="J36" s="4"/>
    </row>
    <row r="37" spans="1:10">
      <c r="A37" s="46">
        <v>87149990148</v>
      </c>
      <c r="B37" s="22" t="s">
        <v>179</v>
      </c>
      <c r="C37" s="23">
        <v>130143</v>
      </c>
      <c r="D37" s="23">
        <v>438707</v>
      </c>
      <c r="E37" s="90">
        <v>-0.70334870426047458</v>
      </c>
      <c r="F37" s="76">
        <v>3287762</v>
      </c>
      <c r="G37" s="76">
        <v>7638185</v>
      </c>
      <c r="H37" s="94">
        <v>-0.56956240258647828</v>
      </c>
      <c r="I37" s="4"/>
      <c r="J37" s="4"/>
    </row>
    <row r="38" spans="1:10">
      <c r="A38" s="46">
        <v>87149990157</v>
      </c>
      <c r="B38" s="22" t="s">
        <v>180</v>
      </c>
      <c r="C38" s="23">
        <v>314674</v>
      </c>
      <c r="D38" s="23">
        <v>770294</v>
      </c>
      <c r="E38" s="90">
        <v>-0.59148844467177464</v>
      </c>
      <c r="F38" s="76">
        <v>11481755</v>
      </c>
      <c r="G38" s="76">
        <v>15715075</v>
      </c>
      <c r="H38" s="94">
        <v>-0.26937956070842806</v>
      </c>
      <c r="I38" s="4"/>
      <c r="J38" s="4"/>
    </row>
    <row r="39" spans="1:10">
      <c r="A39" s="46" t="s">
        <v>325</v>
      </c>
      <c r="B39" s="22" t="s">
        <v>181</v>
      </c>
      <c r="C39" s="23">
        <v>344254</v>
      </c>
      <c r="D39" s="23">
        <v>829013</v>
      </c>
      <c r="E39" s="90">
        <v>-0.58474233817805032</v>
      </c>
      <c r="F39" s="76">
        <v>15176217</v>
      </c>
      <c r="G39" s="76">
        <v>25329945</v>
      </c>
      <c r="H39" s="94">
        <v>-0.40085866747835419</v>
      </c>
      <c r="I39" s="4"/>
      <c r="J39" s="4"/>
    </row>
    <row r="40" spans="1:10">
      <c r="A40" s="46" t="s">
        <v>326</v>
      </c>
      <c r="B40" s="22" t="s">
        <v>182</v>
      </c>
      <c r="C40" s="23">
        <v>667889</v>
      </c>
      <c r="D40" s="23">
        <v>1215854</v>
      </c>
      <c r="E40" s="90">
        <v>-0.45068322347913481</v>
      </c>
      <c r="F40" s="76">
        <v>4139247</v>
      </c>
      <c r="G40" s="76">
        <v>8247855</v>
      </c>
      <c r="H40" s="94">
        <v>-0.49814260798716758</v>
      </c>
      <c r="I40" s="4"/>
      <c r="J40" s="4"/>
    </row>
    <row r="41" spans="1:10">
      <c r="A41" s="46" t="s">
        <v>327</v>
      </c>
      <c r="B41" s="22" t="s">
        <v>183</v>
      </c>
      <c r="C41" s="23">
        <v>218807</v>
      </c>
      <c r="D41" s="23">
        <v>373369</v>
      </c>
      <c r="E41" s="90">
        <v>-0.41396580862364041</v>
      </c>
      <c r="F41" s="76">
        <v>1264832</v>
      </c>
      <c r="G41" s="76">
        <v>2090081</v>
      </c>
      <c r="H41" s="94">
        <v>-0.39484067842346782</v>
      </c>
      <c r="I41" s="4"/>
      <c r="J41" s="4"/>
    </row>
    <row r="42" spans="1:10" ht="18.75" customHeight="1" thickBot="1">
      <c r="A42" s="132" t="s">
        <v>160</v>
      </c>
      <c r="B42" s="133"/>
      <c r="C42" s="63">
        <v>10611593</v>
      </c>
      <c r="D42" s="63">
        <v>25831850</v>
      </c>
      <c r="E42" s="91">
        <v>-0.58920507048469239</v>
      </c>
      <c r="F42" s="77">
        <v>434537484</v>
      </c>
      <c r="G42" s="77">
        <v>711386107</v>
      </c>
      <c r="H42" s="91">
        <v>-0.38916787982759971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315" priority="13" operator="greaterThanOrEqual">
      <formula>0</formula>
    </cfRule>
    <cfRule type="cellIs" dxfId="314" priority="14" operator="lessThan">
      <formula>0</formula>
    </cfRule>
  </conditionalFormatting>
  <conditionalFormatting sqref="E13">
    <cfRule type="cellIs" dxfId="313" priority="3" operator="greaterThanOrEqual">
      <formula>0</formula>
    </cfRule>
    <cfRule type="cellIs" dxfId="312" priority="4" operator="lessThan">
      <formula>0</formula>
    </cfRule>
  </conditionalFormatting>
  <conditionalFormatting sqref="E20:E41">
    <cfRule type="cellIs" dxfId="311" priority="1" operator="greaterThanOrEqual">
      <formula>0</formula>
    </cfRule>
    <cfRule type="cellIs" dxfId="310" priority="2" operator="lessThan">
      <formula>0</formula>
    </cfRule>
  </conditionalFormatting>
  <conditionalFormatting sqref="H5:H10">
    <cfRule type="cellIs" dxfId="309" priority="11" operator="greaterThanOrEqual">
      <formula>0</formula>
    </cfRule>
    <cfRule type="cellIs" dxfId="308" priority="12" operator="lessThan">
      <formula>0</formula>
    </cfRule>
  </conditionalFormatting>
  <conditionalFormatting sqref="H13">
    <cfRule type="cellIs" dxfId="307" priority="7" operator="greaterThanOrEqual">
      <formula>0</formula>
    </cfRule>
    <cfRule type="cellIs" dxfId="306" priority="8" operator="lessThan">
      <formula>0</formula>
    </cfRule>
  </conditionalFormatting>
  <conditionalFormatting sqref="K5:K10">
    <cfRule type="cellIs" dxfId="305" priority="9" operator="greaterThanOrEqual">
      <formula>0</formula>
    </cfRule>
    <cfRule type="cellIs" dxfId="304" priority="10" operator="lessThan">
      <formula>0</formula>
    </cfRule>
  </conditionalFormatting>
  <conditionalFormatting sqref="K13">
    <cfRule type="cellIs" dxfId="303" priority="5" operator="greaterThanOrEqual">
      <formula>0</formula>
    </cfRule>
    <cfRule type="cellIs" dxfId="302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1:K46"/>
  <sheetViews>
    <sheetView zoomScaleNormal="100" workbookViewId="0">
      <selection activeCell="K21" sqref="K21"/>
    </sheetView>
  </sheetViews>
  <sheetFormatPr defaultRowHeight="15.75"/>
  <cols>
    <col min="1" max="1" width="14.5" style="2" customWidth="1"/>
    <col min="2" max="2" width="26.375" style="3" customWidth="1"/>
    <col min="3" max="3" width="15.5" style="4" customWidth="1"/>
    <col min="4" max="4" width="16.2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8.875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8.875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8.875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8.875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8.875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8.875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8.875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8.875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8.875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8.875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8.875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8.875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8.875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8.875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8.875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8.875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8.875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8.875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8.875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8.875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8.875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8.875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8.875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8.875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8.875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8.875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8.875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8.875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8.875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8.875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8.875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8.875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8.875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8.875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8.875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8.875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8.875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8.875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8.875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8.875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8.875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8.875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8.875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8.875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8.875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8.875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8.875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8.875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8.875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8.875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8.875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8.875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8.875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8.875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8.875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8.875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8.875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8.875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8.875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8.875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8.875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8.875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8.875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8.875" style="3"/>
  </cols>
  <sheetData>
    <row r="1" spans="1:11" s="42" customFormat="1" ht="19.5">
      <c r="A1" s="131" t="s">
        <v>296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8.25" customHeight="1"/>
    <row r="3" spans="1:11">
      <c r="A3" s="5" t="s">
        <v>137</v>
      </c>
      <c r="B3" s="6" t="s">
        <v>138</v>
      </c>
      <c r="C3" s="7" t="s">
        <v>297</v>
      </c>
      <c r="D3" s="7" t="s">
        <v>298</v>
      </c>
      <c r="E3" s="9" t="s">
        <v>197</v>
      </c>
      <c r="F3" s="74" t="s">
        <v>299</v>
      </c>
      <c r="G3" s="74" t="s">
        <v>300</v>
      </c>
      <c r="H3" s="9" t="s">
        <v>197</v>
      </c>
      <c r="I3" s="56" t="s">
        <v>187</v>
      </c>
      <c r="J3" s="56" t="s">
        <v>227</v>
      </c>
      <c r="K3" s="64" t="s">
        <v>226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65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35328</v>
      </c>
      <c r="D5" s="23">
        <v>28901</v>
      </c>
      <c r="E5" s="89">
        <v>0.22237984844815059</v>
      </c>
      <c r="F5" s="76">
        <v>2210053</v>
      </c>
      <c r="G5" s="76">
        <v>2087758</v>
      </c>
      <c r="H5" s="90">
        <v>5.8577191417779263E-2</v>
      </c>
      <c r="I5" s="25">
        <v>62.558112545289852</v>
      </c>
      <c r="J5" s="25">
        <v>72.23826165184596</v>
      </c>
      <c r="K5" s="89">
        <v>-0.13400307378948043</v>
      </c>
    </row>
    <row r="6" spans="1:11" ht="16.5">
      <c r="A6" s="26" t="s">
        <v>205</v>
      </c>
      <c r="B6" s="27" t="s">
        <v>148</v>
      </c>
      <c r="C6" s="23">
        <v>19319</v>
      </c>
      <c r="D6" s="23">
        <v>29255</v>
      </c>
      <c r="E6" s="89">
        <v>-0.33963425055546059</v>
      </c>
      <c r="F6" s="76">
        <v>1898699</v>
      </c>
      <c r="G6" s="76">
        <v>3313586</v>
      </c>
      <c r="H6" s="90">
        <v>-0.42699570797317465</v>
      </c>
      <c r="I6" s="25">
        <v>98.281432786376101</v>
      </c>
      <c r="J6" s="25">
        <v>113.26562980687062</v>
      </c>
      <c r="K6" s="89">
        <v>-0.13229253257183221</v>
      </c>
    </row>
    <row r="7" spans="1:11" ht="16.5">
      <c r="A7" s="21" t="s">
        <v>149</v>
      </c>
      <c r="B7" s="28" t="s">
        <v>150</v>
      </c>
      <c r="C7" s="23">
        <v>27804</v>
      </c>
      <c r="D7" s="23">
        <v>27730</v>
      </c>
      <c r="E7" s="89">
        <v>2.6685899747565813E-3</v>
      </c>
      <c r="F7" s="76">
        <v>1556217</v>
      </c>
      <c r="G7" s="76">
        <v>1682218</v>
      </c>
      <c r="H7" s="90">
        <v>-7.4901707150916236E-2</v>
      </c>
      <c r="I7" s="25">
        <v>55.970975399223136</v>
      </c>
      <c r="J7" s="25">
        <v>60.664190407500904</v>
      </c>
      <c r="K7" s="89">
        <v>-7.7363844745177199E-2</v>
      </c>
    </row>
    <row r="8" spans="1:11" ht="16.5">
      <c r="A8" s="21" t="s">
        <v>151</v>
      </c>
      <c r="B8" s="28" t="s">
        <v>152</v>
      </c>
      <c r="C8" s="23">
        <v>43237</v>
      </c>
      <c r="D8" s="23">
        <v>53405</v>
      </c>
      <c r="E8" s="89">
        <v>-0.19039415785038855</v>
      </c>
      <c r="F8" s="76">
        <v>4985940</v>
      </c>
      <c r="G8" s="76">
        <v>6848364</v>
      </c>
      <c r="H8" s="90">
        <v>-0.27195166612055083</v>
      </c>
      <c r="I8" s="25">
        <v>115.31651132132201</v>
      </c>
      <c r="J8" s="25">
        <v>128.23450987735231</v>
      </c>
      <c r="K8" s="89">
        <v>-0.10073730205999536</v>
      </c>
    </row>
    <row r="9" spans="1:11" ht="16.5">
      <c r="A9" s="21" t="s">
        <v>153</v>
      </c>
      <c r="B9" s="28" t="s">
        <v>154</v>
      </c>
      <c r="C9" s="23">
        <v>15217</v>
      </c>
      <c r="D9" s="23">
        <v>16572</v>
      </c>
      <c r="E9" s="89">
        <v>-8.1764421916485641E-2</v>
      </c>
      <c r="F9" s="76">
        <v>1566285</v>
      </c>
      <c r="G9" s="76">
        <v>1920749</v>
      </c>
      <c r="H9" s="90">
        <v>-0.18454467502000521</v>
      </c>
      <c r="I9" s="25">
        <v>102.9299467700598</v>
      </c>
      <c r="J9" s="25">
        <v>115.90327057687666</v>
      </c>
      <c r="K9" s="89">
        <v>-0.11193233583699332</v>
      </c>
    </row>
    <row r="10" spans="1:11" ht="16.5">
      <c r="A10" s="21" t="s">
        <v>155</v>
      </c>
      <c r="B10" s="28" t="s">
        <v>156</v>
      </c>
      <c r="C10" s="23">
        <v>14148</v>
      </c>
      <c r="D10" s="23">
        <v>12923</v>
      </c>
      <c r="E10" s="89">
        <v>9.4792230906136352E-2</v>
      </c>
      <c r="F10" s="76">
        <v>2707984</v>
      </c>
      <c r="G10" s="76">
        <v>2613795</v>
      </c>
      <c r="H10" s="90">
        <v>3.6035343246122974E-2</v>
      </c>
      <c r="I10" s="25">
        <v>191.40401470172463</v>
      </c>
      <c r="J10" s="25">
        <v>202.25915035208544</v>
      </c>
      <c r="K10" s="89">
        <v>-5.3669441562790007E-2</v>
      </c>
    </row>
    <row r="11" spans="1:11" ht="17.25" thickBot="1">
      <c r="A11" s="48" t="s">
        <v>157</v>
      </c>
      <c r="B11" s="70" t="s">
        <v>158</v>
      </c>
      <c r="C11" s="63">
        <v>155053</v>
      </c>
      <c r="D11" s="63">
        <v>168786</v>
      </c>
      <c r="E11" s="91">
        <v>-8.1363383218987353E-2</v>
      </c>
      <c r="F11" s="77">
        <v>14925178</v>
      </c>
      <c r="G11" s="77">
        <v>18466470</v>
      </c>
      <c r="H11" s="91">
        <v>-0.19176875710409191</v>
      </c>
      <c r="I11" s="102">
        <v>96.258556751562367</v>
      </c>
      <c r="J11" s="72">
        <v>109.40759304681669</v>
      </c>
      <c r="K11" s="91">
        <v>-0.12018394637041055</v>
      </c>
    </row>
    <row r="12" spans="1:11" ht="5.25" customHeight="1" thickTop="1">
      <c r="A12" s="33"/>
      <c r="B12" s="34"/>
      <c r="E12" s="96"/>
      <c r="F12" s="78"/>
      <c r="G12" s="78"/>
      <c r="H12" s="96"/>
      <c r="I12" s="35"/>
      <c r="J12" s="35"/>
      <c r="K12" s="96"/>
    </row>
    <row r="13" spans="1:11" ht="16.5">
      <c r="A13" s="21" t="s">
        <v>207</v>
      </c>
      <c r="B13" s="22" t="s">
        <v>159</v>
      </c>
      <c r="C13" s="23">
        <v>2033</v>
      </c>
      <c r="D13" s="23">
        <v>501</v>
      </c>
      <c r="E13" s="89">
        <v>3.0578842315369261</v>
      </c>
      <c r="F13" s="76">
        <v>91376</v>
      </c>
      <c r="G13" s="76">
        <v>106042</v>
      </c>
      <c r="H13" s="92">
        <v>-0.1383036909903623</v>
      </c>
      <c r="I13" s="25">
        <v>44.946384653221841</v>
      </c>
      <c r="J13" s="25">
        <v>211.66067864271457</v>
      </c>
      <c r="K13" s="89">
        <v>-0.78764886826668534</v>
      </c>
    </row>
    <row r="14" spans="1:11" ht="17.25" thickBot="1">
      <c r="A14" s="48" t="s">
        <v>160</v>
      </c>
      <c r="B14" s="73" t="s">
        <v>80</v>
      </c>
      <c r="C14" s="109">
        <v>157086</v>
      </c>
      <c r="D14" s="31">
        <v>169287</v>
      </c>
      <c r="E14" s="91">
        <v>-7.2072870332630379E-2</v>
      </c>
      <c r="F14" s="77">
        <v>15016554</v>
      </c>
      <c r="G14" s="108">
        <v>18572512</v>
      </c>
      <c r="H14" s="93">
        <v>-0.19146349185290606</v>
      </c>
      <c r="I14" s="102">
        <v>95.594476910736788</v>
      </c>
      <c r="J14" s="72">
        <v>109.71020810812408</v>
      </c>
      <c r="K14" s="91">
        <v>-0.12866379018692259</v>
      </c>
    </row>
    <row r="15" spans="1:11" ht="13.5" customHeight="1" thickTop="1">
      <c r="A15" s="37"/>
      <c r="B15" s="38"/>
      <c r="C15" s="38"/>
      <c r="D15" s="38"/>
      <c r="E15" s="38"/>
      <c r="F15" s="38"/>
      <c r="G15" s="38"/>
      <c r="H15" s="38"/>
      <c r="I15" s="41"/>
      <c r="J15" s="41"/>
    </row>
    <row r="16" spans="1:11" s="42" customFormat="1" ht="17.25" customHeight="1">
      <c r="A16" s="131" t="s">
        <v>309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297</v>
      </c>
      <c r="D18" s="7" t="s">
        <v>298</v>
      </c>
      <c r="E18" s="9" t="s">
        <v>197</v>
      </c>
      <c r="F18" s="74" t="s">
        <v>299</v>
      </c>
      <c r="G18" s="74" t="s">
        <v>300</v>
      </c>
      <c r="H18" s="9" t="s">
        <v>197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193</v>
      </c>
      <c r="I19" s="4"/>
      <c r="J19" s="4"/>
    </row>
    <row r="20" spans="1:10">
      <c r="A20" s="46" t="s">
        <v>208</v>
      </c>
      <c r="B20" s="22" t="s">
        <v>162</v>
      </c>
      <c r="C20" s="23">
        <v>23576</v>
      </c>
      <c r="D20" s="23">
        <v>43286</v>
      </c>
      <c r="E20" s="90">
        <v>-0.45534352908561659</v>
      </c>
      <c r="F20" s="76">
        <v>1169126</v>
      </c>
      <c r="G20" s="76">
        <v>2189655</v>
      </c>
      <c r="H20" s="94">
        <v>-0.46606839890302354</v>
      </c>
      <c r="I20" s="4"/>
      <c r="J20" s="4"/>
    </row>
    <row r="21" spans="1:10">
      <c r="A21" s="46" t="s">
        <v>209</v>
      </c>
      <c r="B21" s="22" t="s">
        <v>163</v>
      </c>
      <c r="C21" s="23">
        <v>15736</v>
      </c>
      <c r="D21" s="23">
        <v>28946</v>
      </c>
      <c r="E21" s="90">
        <v>-0.45636702825951775</v>
      </c>
      <c r="F21" s="76">
        <v>1021712</v>
      </c>
      <c r="G21" s="76">
        <v>1692650</v>
      </c>
      <c r="H21" s="94">
        <v>-0.3963831861282604</v>
      </c>
      <c r="I21" s="4"/>
      <c r="J21" s="4"/>
    </row>
    <row r="22" spans="1:10">
      <c r="A22" s="46" t="s">
        <v>258</v>
      </c>
      <c r="B22" s="22" t="s">
        <v>164</v>
      </c>
      <c r="C22" s="23">
        <v>4307550</v>
      </c>
      <c r="D22" s="23">
        <v>9151136</v>
      </c>
      <c r="E22" s="90">
        <v>-0.52928794851262184</v>
      </c>
      <c r="F22" s="76">
        <v>261365396</v>
      </c>
      <c r="G22" s="76">
        <v>373807495</v>
      </c>
      <c r="H22" s="94">
        <v>-0.3008021521879865</v>
      </c>
      <c r="I22" s="4"/>
      <c r="J22" s="4"/>
    </row>
    <row r="23" spans="1:10">
      <c r="A23" s="46">
        <v>87149200108</v>
      </c>
      <c r="B23" s="22" t="s">
        <v>165</v>
      </c>
      <c r="C23" s="23">
        <v>670359</v>
      </c>
      <c r="D23" s="23">
        <v>1307896</v>
      </c>
      <c r="E23" s="90">
        <v>-0.48745236624318755</v>
      </c>
      <c r="F23" s="76">
        <v>47763868</v>
      </c>
      <c r="G23" s="76">
        <v>71361027</v>
      </c>
      <c r="H23" s="94">
        <v>-0.33067291758567319</v>
      </c>
      <c r="I23" s="4"/>
      <c r="J23" s="4"/>
    </row>
    <row r="24" spans="1:10">
      <c r="A24" s="46">
        <v>87149200206</v>
      </c>
      <c r="B24" s="22" t="s">
        <v>166</v>
      </c>
      <c r="C24" s="23">
        <v>46577</v>
      </c>
      <c r="D24" s="23">
        <v>70497</v>
      </c>
      <c r="E24" s="90">
        <v>-0.33930521866178703</v>
      </c>
      <c r="F24" s="76">
        <v>1892182</v>
      </c>
      <c r="G24" s="76">
        <v>1100175</v>
      </c>
      <c r="H24" s="94">
        <v>0.71989183538982437</v>
      </c>
      <c r="I24" s="4"/>
      <c r="J24" s="4"/>
    </row>
    <row r="25" spans="1:10">
      <c r="A25" s="46">
        <v>87149200304</v>
      </c>
      <c r="B25" s="22" t="s">
        <v>167</v>
      </c>
      <c r="C25" s="23">
        <v>138608</v>
      </c>
      <c r="D25" s="23">
        <v>223647</v>
      </c>
      <c r="E25" s="90">
        <v>-0.38023760658537786</v>
      </c>
      <c r="F25" s="76">
        <v>2448833</v>
      </c>
      <c r="G25" s="76">
        <v>3082474</v>
      </c>
      <c r="H25" s="94">
        <v>-0.20556248000794167</v>
      </c>
      <c r="I25" s="4"/>
      <c r="J25" s="4"/>
    </row>
    <row r="26" spans="1:10">
      <c r="A26" s="46">
        <v>87149310007</v>
      </c>
      <c r="B26" s="22" t="s">
        <v>168</v>
      </c>
      <c r="C26" s="23">
        <v>657880</v>
      </c>
      <c r="D26" s="23">
        <v>1537702</v>
      </c>
      <c r="E26" s="90">
        <v>-0.57216677873866328</v>
      </c>
      <c r="F26" s="76">
        <v>21401901</v>
      </c>
      <c r="G26" s="76">
        <v>36678242</v>
      </c>
      <c r="H26" s="94">
        <v>-0.41649599781799795</v>
      </c>
      <c r="I26" s="4"/>
      <c r="J26" s="4"/>
    </row>
    <row r="27" spans="1:10">
      <c r="A27" s="46">
        <v>87149320103</v>
      </c>
      <c r="B27" s="22" t="s">
        <v>169</v>
      </c>
      <c r="C27" s="23">
        <v>3034</v>
      </c>
      <c r="D27" s="23">
        <v>3473</v>
      </c>
      <c r="E27" s="90">
        <v>-0.12640368557443132</v>
      </c>
      <c r="F27" s="76">
        <v>39021</v>
      </c>
      <c r="G27" s="76">
        <v>48165</v>
      </c>
      <c r="H27" s="94">
        <v>-0.18984739956399876</v>
      </c>
      <c r="I27" s="4"/>
      <c r="J27" s="4"/>
    </row>
    <row r="28" spans="1:10">
      <c r="A28" s="46" t="s">
        <v>243</v>
      </c>
      <c r="B28" s="22" t="s">
        <v>170</v>
      </c>
      <c r="C28" s="23">
        <v>34824</v>
      </c>
      <c r="D28" s="23">
        <v>46659</v>
      </c>
      <c r="E28" s="90">
        <v>-0.25364881373368481</v>
      </c>
      <c r="F28" s="76">
        <v>290857</v>
      </c>
      <c r="G28" s="76">
        <v>904156</v>
      </c>
      <c r="H28" s="94">
        <v>-0.67831104366945527</v>
      </c>
      <c r="I28" s="4"/>
      <c r="J28" s="4"/>
    </row>
    <row r="29" spans="1:10">
      <c r="A29" s="46">
        <v>87149490009</v>
      </c>
      <c r="B29" s="22" t="s">
        <v>171</v>
      </c>
      <c r="C29" s="23">
        <v>572257</v>
      </c>
      <c r="D29" s="23">
        <v>2416316</v>
      </c>
      <c r="E29" s="90">
        <v>-0.76316963509739622</v>
      </c>
      <c r="F29" s="76">
        <v>9496092</v>
      </c>
      <c r="G29" s="76">
        <v>36890204</v>
      </c>
      <c r="H29" s="94">
        <v>-0.74258499627706043</v>
      </c>
      <c r="I29" s="4"/>
      <c r="J29" s="4"/>
    </row>
    <row r="30" spans="1:10">
      <c r="A30" s="46">
        <v>87149500007</v>
      </c>
      <c r="B30" s="22" t="s">
        <v>172</v>
      </c>
      <c r="C30" s="23">
        <v>469724</v>
      </c>
      <c r="D30" s="23">
        <v>1492203</v>
      </c>
      <c r="E30" s="90">
        <v>-0.68521441117595927</v>
      </c>
      <c r="F30" s="76">
        <v>5088514</v>
      </c>
      <c r="G30" s="76">
        <v>21593170</v>
      </c>
      <c r="H30" s="94">
        <v>-0.76434613352277592</v>
      </c>
      <c r="I30" s="4"/>
      <c r="J30" s="4"/>
    </row>
    <row r="31" spans="1:10">
      <c r="A31" s="46">
        <v>87149610004</v>
      </c>
      <c r="B31" s="22" t="s">
        <v>173</v>
      </c>
      <c r="C31" s="23">
        <v>183616</v>
      </c>
      <c r="D31" s="23">
        <v>713153</v>
      </c>
      <c r="E31" s="90">
        <v>-0.74252930296864772</v>
      </c>
      <c r="F31" s="76">
        <v>2498931</v>
      </c>
      <c r="G31" s="76">
        <v>5937321</v>
      </c>
      <c r="H31" s="94">
        <v>-0.57911472194277525</v>
      </c>
      <c r="I31" s="4"/>
      <c r="J31" s="4"/>
    </row>
    <row r="32" spans="1:10">
      <c r="A32" s="46">
        <v>87149620002</v>
      </c>
      <c r="B32" s="22" t="s">
        <v>174</v>
      </c>
      <c r="C32" s="23">
        <v>643639</v>
      </c>
      <c r="D32" s="23">
        <v>1667040</v>
      </c>
      <c r="E32" s="90">
        <v>-0.61390308570880125</v>
      </c>
      <c r="F32" s="76">
        <v>7411027</v>
      </c>
      <c r="G32" s="76">
        <v>17612214</v>
      </c>
      <c r="H32" s="94">
        <v>-0.57921093849983885</v>
      </c>
      <c r="I32" s="4"/>
      <c r="J32" s="4"/>
    </row>
    <row r="33" spans="1:10">
      <c r="A33" s="46" t="s">
        <v>210</v>
      </c>
      <c r="B33" s="22" t="s">
        <v>175</v>
      </c>
      <c r="C33" s="23">
        <v>292871</v>
      </c>
      <c r="D33" s="23">
        <v>853251</v>
      </c>
      <c r="E33" s="90">
        <v>-0.65675867945071265</v>
      </c>
      <c r="F33" s="76">
        <v>1258583</v>
      </c>
      <c r="G33" s="76">
        <v>3644828</v>
      </c>
      <c r="H33" s="94">
        <v>-0.65469344506791538</v>
      </c>
      <c r="I33" s="4"/>
      <c r="J33" s="4"/>
    </row>
    <row r="34" spans="1:10">
      <c r="A34" s="46">
        <v>87149990111</v>
      </c>
      <c r="B34" s="22" t="s">
        <v>176</v>
      </c>
      <c r="C34" s="23">
        <v>122265</v>
      </c>
      <c r="D34" s="23">
        <v>641267</v>
      </c>
      <c r="E34" s="90">
        <v>-0.80933838791018409</v>
      </c>
      <c r="F34" s="76">
        <v>3689261</v>
      </c>
      <c r="G34" s="76">
        <v>15397129</v>
      </c>
      <c r="H34" s="94">
        <v>-0.76039292779842271</v>
      </c>
      <c r="I34" s="4"/>
      <c r="J34" s="4"/>
    </row>
    <row r="35" spans="1:10">
      <c r="A35" s="46">
        <v>87149320906</v>
      </c>
      <c r="B35" s="22" t="s">
        <v>177</v>
      </c>
      <c r="C35" s="23">
        <v>176332</v>
      </c>
      <c r="D35" s="23">
        <v>309604</v>
      </c>
      <c r="E35" s="90">
        <v>-0.43045955478611386</v>
      </c>
      <c r="F35" s="76">
        <v>2336240</v>
      </c>
      <c r="G35" s="76">
        <v>3554623</v>
      </c>
      <c r="H35" s="94">
        <v>-0.34276011830227848</v>
      </c>
      <c r="I35" s="4"/>
      <c r="J35" s="4"/>
    </row>
    <row r="36" spans="1:10">
      <c r="A36" s="46">
        <v>87149990139</v>
      </c>
      <c r="B36" s="22" t="s">
        <v>178</v>
      </c>
      <c r="C36" s="23">
        <v>27067</v>
      </c>
      <c r="D36" s="23">
        <v>97892</v>
      </c>
      <c r="E36" s="90">
        <v>-0.72350140971683075</v>
      </c>
      <c r="F36" s="76">
        <v>88812</v>
      </c>
      <c r="G36" s="76">
        <v>471810</v>
      </c>
      <c r="H36" s="94">
        <v>-0.8117632097666434</v>
      </c>
      <c r="I36" s="4"/>
      <c r="J36" s="4"/>
    </row>
    <row r="37" spans="1:10">
      <c r="A37" s="46">
        <v>87149990148</v>
      </c>
      <c r="B37" s="22" t="s">
        <v>179</v>
      </c>
      <c r="C37" s="23">
        <v>118572</v>
      </c>
      <c r="D37" s="23">
        <v>407696</v>
      </c>
      <c r="E37" s="90">
        <v>-0.7091656528393705</v>
      </c>
      <c r="F37" s="76">
        <v>3083172</v>
      </c>
      <c r="G37" s="76">
        <v>7095925</v>
      </c>
      <c r="H37" s="94">
        <v>-0.56550104461363393</v>
      </c>
      <c r="I37" s="4"/>
      <c r="J37" s="4"/>
    </row>
    <row r="38" spans="1:10">
      <c r="A38" s="46">
        <v>87149990157</v>
      </c>
      <c r="B38" s="22" t="s">
        <v>180</v>
      </c>
      <c r="C38" s="23">
        <v>291636</v>
      </c>
      <c r="D38" s="23">
        <v>712309</v>
      </c>
      <c r="E38" s="90">
        <v>-0.59057656157650684</v>
      </c>
      <c r="F38" s="76">
        <v>10494576</v>
      </c>
      <c r="G38" s="76">
        <v>14363246</v>
      </c>
      <c r="H38" s="94">
        <v>-0.26934510486000168</v>
      </c>
      <c r="I38" s="4"/>
      <c r="J38" s="4"/>
    </row>
    <row r="39" spans="1:10">
      <c r="A39" s="46" t="s">
        <v>259</v>
      </c>
      <c r="B39" s="22" t="s">
        <v>181</v>
      </c>
      <c r="C39" s="23">
        <v>318171</v>
      </c>
      <c r="D39" s="23">
        <v>765929</v>
      </c>
      <c r="E39" s="90">
        <v>-0.58459465564040536</v>
      </c>
      <c r="F39" s="76">
        <v>13887075</v>
      </c>
      <c r="G39" s="76">
        <v>23010350</v>
      </c>
      <c r="H39" s="94">
        <v>-0.39648571186444359</v>
      </c>
      <c r="I39" s="4"/>
      <c r="J39" s="4"/>
    </row>
    <row r="40" spans="1:10">
      <c r="A40" s="46" t="s">
        <v>211</v>
      </c>
      <c r="B40" s="22" t="s">
        <v>182</v>
      </c>
      <c r="C40" s="23">
        <v>625934</v>
      </c>
      <c r="D40" s="23">
        <v>1129742</v>
      </c>
      <c r="E40" s="90">
        <v>-0.44594960619327245</v>
      </c>
      <c r="F40" s="76">
        <v>3893984</v>
      </c>
      <c r="G40" s="76">
        <v>7698513</v>
      </c>
      <c r="H40" s="94">
        <v>-0.49419011177872924</v>
      </c>
      <c r="I40" s="4"/>
      <c r="J40" s="4"/>
    </row>
    <row r="41" spans="1:10">
      <c r="A41" s="46" t="s">
        <v>212</v>
      </c>
      <c r="B41" s="22" t="s">
        <v>183</v>
      </c>
      <c r="C41" s="23">
        <v>202976</v>
      </c>
      <c r="D41" s="23">
        <v>357815</v>
      </c>
      <c r="E41" s="90">
        <v>-0.43273479311934937</v>
      </c>
      <c r="F41" s="76">
        <v>1187967</v>
      </c>
      <c r="G41" s="76">
        <v>1988204</v>
      </c>
      <c r="H41" s="94">
        <v>-0.40249240017623944</v>
      </c>
      <c r="I41" s="4"/>
      <c r="J41" s="4"/>
    </row>
    <row r="42" spans="1:10" ht="18.75" customHeight="1" thickBot="1">
      <c r="A42" s="132" t="s">
        <v>160</v>
      </c>
      <c r="B42" s="133"/>
      <c r="C42" s="63">
        <v>9943204</v>
      </c>
      <c r="D42" s="63">
        <v>23977459</v>
      </c>
      <c r="E42" s="91">
        <v>-0.58531035336146331</v>
      </c>
      <c r="F42" s="77">
        <v>401807130</v>
      </c>
      <c r="G42" s="77">
        <v>650121576</v>
      </c>
      <c r="H42" s="91">
        <v>-0.38195078454064413</v>
      </c>
    </row>
    <row r="43" spans="1:10" ht="6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301" priority="13" operator="greaterThanOrEqual">
      <formula>0</formula>
    </cfRule>
    <cfRule type="cellIs" dxfId="300" priority="14" operator="lessThan">
      <formula>0</formula>
    </cfRule>
  </conditionalFormatting>
  <conditionalFormatting sqref="E13">
    <cfRule type="cellIs" dxfId="299" priority="3" operator="greaterThanOrEqual">
      <formula>0</formula>
    </cfRule>
    <cfRule type="cellIs" dxfId="298" priority="4" operator="lessThan">
      <formula>0</formula>
    </cfRule>
  </conditionalFormatting>
  <conditionalFormatting sqref="E20:E41">
    <cfRule type="cellIs" dxfId="297" priority="1" operator="greaterThanOrEqual">
      <formula>0</formula>
    </cfRule>
    <cfRule type="cellIs" dxfId="296" priority="2" operator="lessThan">
      <formula>0</formula>
    </cfRule>
  </conditionalFormatting>
  <conditionalFormatting sqref="H5:H10">
    <cfRule type="cellIs" dxfId="295" priority="11" operator="greaterThanOrEqual">
      <formula>0</formula>
    </cfRule>
    <cfRule type="cellIs" dxfId="294" priority="12" operator="lessThan">
      <formula>0</formula>
    </cfRule>
  </conditionalFormatting>
  <conditionalFormatting sqref="H13">
    <cfRule type="cellIs" dxfId="293" priority="7" operator="greaterThanOrEqual">
      <formula>0</formula>
    </cfRule>
    <cfRule type="cellIs" dxfId="292" priority="8" operator="lessThan">
      <formula>0</formula>
    </cfRule>
  </conditionalFormatting>
  <conditionalFormatting sqref="K5:K10">
    <cfRule type="cellIs" dxfId="291" priority="9" operator="greaterThanOrEqual">
      <formula>0</formula>
    </cfRule>
    <cfRule type="cellIs" dxfId="290" priority="10" operator="lessThan">
      <formula>0</formula>
    </cfRule>
  </conditionalFormatting>
  <conditionalFormatting sqref="K13">
    <cfRule type="cellIs" dxfId="289" priority="5" operator="greaterThanOrEqual">
      <formula>0</formula>
    </cfRule>
    <cfRule type="cellIs" dxfId="288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K46"/>
  <sheetViews>
    <sheetView zoomScaleNormal="100" workbookViewId="0">
      <selection activeCell="A17" sqref="A17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3.875" style="3" customWidth="1"/>
    <col min="11" max="11" width="11.125" style="3" customWidth="1"/>
    <col min="12" max="256" width="8.875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8.875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8.875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8.875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8.875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8.875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8.875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8.875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8.875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8.875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8.875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8.875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8.875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8.875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8.875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8.875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8.875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8.875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8.875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8.875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8.875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8.875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8.875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8.875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8.875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8.875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8.875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8.875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8.875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8.875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8.875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8.875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8.875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8.875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8.875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8.875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8.875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8.875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8.875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8.875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8.875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8.875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8.875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8.875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8.875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8.875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8.875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8.875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8.875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8.875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8.875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8.875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8.875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8.875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8.875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8.875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8.875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8.875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8.875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8.875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8.875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8.875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8.875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8.875" style="3"/>
  </cols>
  <sheetData>
    <row r="1" spans="1:11" ht="21" customHeight="1">
      <c r="A1" s="134" t="s">
        <v>307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8.25" customHeight="1"/>
    <row r="3" spans="1:11">
      <c r="A3" s="5" t="s">
        <v>137</v>
      </c>
      <c r="B3" s="6" t="s">
        <v>138</v>
      </c>
      <c r="C3" s="7" t="s">
        <v>297</v>
      </c>
      <c r="D3" s="7" t="s">
        <v>298</v>
      </c>
      <c r="E3" s="9" t="s">
        <v>186</v>
      </c>
      <c r="F3" s="74" t="s">
        <v>299</v>
      </c>
      <c r="G3" s="74" t="s">
        <v>300</v>
      </c>
      <c r="H3" s="9" t="s">
        <v>186</v>
      </c>
      <c r="I3" s="56" t="s">
        <v>187</v>
      </c>
      <c r="J3" s="56" t="s">
        <v>188</v>
      </c>
      <c r="K3" s="64" t="s">
        <v>189</v>
      </c>
    </row>
    <row r="4" spans="1:11">
      <c r="A4" s="13"/>
      <c r="B4" s="14"/>
      <c r="C4" s="15" t="s">
        <v>190</v>
      </c>
      <c r="D4" s="15" t="s">
        <v>190</v>
      </c>
      <c r="E4" s="16" t="s">
        <v>191</v>
      </c>
      <c r="F4" s="75" t="s">
        <v>192</v>
      </c>
      <c r="G4" s="75" t="s">
        <v>192</v>
      </c>
      <c r="H4" s="16" t="s">
        <v>193</v>
      </c>
      <c r="I4" s="58" t="s">
        <v>7</v>
      </c>
      <c r="J4" s="14" t="s">
        <v>7</v>
      </c>
      <c r="K4" s="66" t="s">
        <v>194</v>
      </c>
    </row>
    <row r="5" spans="1:11" ht="16.5">
      <c r="A5" s="21" t="s">
        <v>206</v>
      </c>
      <c r="B5" s="22" t="s">
        <v>147</v>
      </c>
      <c r="C5" s="23">
        <v>19911</v>
      </c>
      <c r="D5" s="23">
        <v>2079</v>
      </c>
      <c r="E5" s="89">
        <v>8.5772005772005766</v>
      </c>
      <c r="F5" s="76">
        <v>7019690</v>
      </c>
      <c r="G5" s="76">
        <v>940154</v>
      </c>
      <c r="H5" s="90">
        <v>6.4665320787870924</v>
      </c>
      <c r="I5" s="25">
        <v>352.55336246296019</v>
      </c>
      <c r="J5" s="25">
        <v>452.21452621452619</v>
      </c>
      <c r="K5" s="89">
        <v>-0.22038470233547452</v>
      </c>
    </row>
    <row r="6" spans="1:11" ht="16.5">
      <c r="A6" s="26" t="s">
        <v>205</v>
      </c>
      <c r="B6" s="27" t="s">
        <v>148</v>
      </c>
      <c r="C6" s="23">
        <v>3196</v>
      </c>
      <c r="D6" s="23">
        <v>1952</v>
      </c>
      <c r="E6" s="89">
        <v>0.63729508196721307</v>
      </c>
      <c r="F6" s="76">
        <v>2056250</v>
      </c>
      <c r="G6" s="76">
        <v>1863319</v>
      </c>
      <c r="H6" s="90">
        <v>0.10354158359357683</v>
      </c>
      <c r="I6" s="25">
        <v>643.38235294117646</v>
      </c>
      <c r="J6" s="25">
        <v>954.56915983606552</v>
      </c>
      <c r="K6" s="89">
        <v>-0.3259971304209443</v>
      </c>
    </row>
    <row r="7" spans="1:11" ht="16.5">
      <c r="A7" s="21" t="s">
        <v>149</v>
      </c>
      <c r="B7" s="28" t="s">
        <v>150</v>
      </c>
      <c r="C7" s="23">
        <v>31</v>
      </c>
      <c r="D7" s="23">
        <v>189</v>
      </c>
      <c r="E7" s="89">
        <v>-0.83597883597883593</v>
      </c>
      <c r="F7" s="76">
        <v>3126</v>
      </c>
      <c r="G7" s="76">
        <v>24624</v>
      </c>
      <c r="H7" s="90">
        <v>-0.87305068226120852</v>
      </c>
      <c r="I7" s="25">
        <v>100.83870967741936</v>
      </c>
      <c r="J7" s="25">
        <v>130.28571428571428</v>
      </c>
      <c r="K7" s="89">
        <v>-0.2260186757215619</v>
      </c>
    </row>
    <row r="8" spans="1:11" ht="16.5">
      <c r="A8" s="21" t="s">
        <v>151</v>
      </c>
      <c r="B8" s="28" t="s">
        <v>152</v>
      </c>
      <c r="C8" s="23">
        <v>677</v>
      </c>
      <c r="D8" s="23">
        <v>3393</v>
      </c>
      <c r="E8" s="89">
        <v>-0.80047155909224876</v>
      </c>
      <c r="F8" s="76">
        <v>400296</v>
      </c>
      <c r="G8" s="76">
        <v>710832</v>
      </c>
      <c r="H8" s="90">
        <v>-0.43686271861705722</v>
      </c>
      <c r="I8" s="25">
        <v>591.27917282127032</v>
      </c>
      <c r="J8" s="25">
        <v>209.49955791335103</v>
      </c>
      <c r="K8" s="89">
        <v>1.8223409095012184</v>
      </c>
    </row>
    <row r="9" spans="1:11" ht="16.5">
      <c r="A9" s="21" t="s">
        <v>153</v>
      </c>
      <c r="B9" s="28" t="s">
        <v>154</v>
      </c>
      <c r="C9" s="23">
        <v>22958</v>
      </c>
      <c r="D9" s="23">
        <v>12928</v>
      </c>
      <c r="E9" s="89">
        <v>0.77583539603960394</v>
      </c>
      <c r="F9" s="76">
        <v>12824813</v>
      </c>
      <c r="G9" s="76">
        <v>6860333</v>
      </c>
      <c r="H9" s="90">
        <v>0.86941552254096122</v>
      </c>
      <c r="I9" s="25">
        <v>558.62065510933007</v>
      </c>
      <c r="J9" s="25">
        <v>530.65694616336634</v>
      </c>
      <c r="K9" s="89">
        <v>5.2696396698734466E-2</v>
      </c>
    </row>
    <row r="10" spans="1:11" ht="16.5">
      <c r="A10" s="21" t="s">
        <v>155</v>
      </c>
      <c r="B10" s="28" t="s">
        <v>156</v>
      </c>
      <c r="C10" s="23">
        <v>58374</v>
      </c>
      <c r="D10" s="23">
        <v>18093</v>
      </c>
      <c r="E10" s="89">
        <v>2.2263306251036314</v>
      </c>
      <c r="F10" s="76">
        <v>85764342</v>
      </c>
      <c r="G10" s="76">
        <v>23880314</v>
      </c>
      <c r="H10" s="90">
        <v>2.5914243841182323</v>
      </c>
      <c r="I10" s="25">
        <v>1469.221605509302</v>
      </c>
      <c r="J10" s="25">
        <v>1319.8648095948708</v>
      </c>
      <c r="K10" s="89">
        <v>0.11316067738806963</v>
      </c>
    </row>
    <row r="11" spans="1:11" ht="17.25" thickBot="1">
      <c r="A11" s="30" t="s">
        <v>157</v>
      </c>
      <c r="B11" s="70" t="s">
        <v>158</v>
      </c>
      <c r="C11" s="63">
        <v>105147</v>
      </c>
      <c r="D11" s="63">
        <v>38634</v>
      </c>
      <c r="E11" s="91">
        <v>1.7216182637055444</v>
      </c>
      <c r="F11" s="77">
        <v>108068517</v>
      </c>
      <c r="G11" s="77">
        <v>34279576</v>
      </c>
      <c r="H11" s="91">
        <v>2.1525628263313408</v>
      </c>
      <c r="I11" s="71">
        <v>1027.7850723273132</v>
      </c>
      <c r="J11" s="72">
        <v>887.29036599886115</v>
      </c>
      <c r="K11" s="91">
        <v>0.15834129582855444</v>
      </c>
    </row>
    <row r="12" spans="1:11" ht="11.25" customHeight="1" thickTop="1">
      <c r="A12" s="33"/>
      <c r="B12" s="34"/>
      <c r="E12" s="68"/>
      <c r="F12" s="78"/>
      <c r="G12" s="78"/>
      <c r="H12" s="68"/>
      <c r="I12" s="35"/>
      <c r="J12" s="69"/>
      <c r="K12" s="61"/>
    </row>
    <row r="13" spans="1:11" ht="16.5">
      <c r="A13" s="21" t="s">
        <v>207</v>
      </c>
      <c r="B13" s="22" t="s">
        <v>159</v>
      </c>
      <c r="C13" s="23">
        <v>44</v>
      </c>
      <c r="D13" s="23">
        <v>69</v>
      </c>
      <c r="E13" s="89">
        <v>-0.36231884057971014</v>
      </c>
      <c r="F13" s="76">
        <v>25799</v>
      </c>
      <c r="G13" s="76">
        <v>97688</v>
      </c>
      <c r="H13" s="92">
        <v>-0.73590410285807883</v>
      </c>
      <c r="I13" s="25">
        <v>586.34090909090912</v>
      </c>
      <c r="J13" s="25">
        <v>1415.768115942029</v>
      </c>
      <c r="K13" s="89">
        <v>-0.58584961584562356</v>
      </c>
    </row>
    <row r="14" spans="1:11" ht="17.25" thickBot="1">
      <c r="A14" s="106" t="s">
        <v>160</v>
      </c>
      <c r="B14" s="105" t="s">
        <v>80</v>
      </c>
      <c r="C14" s="109">
        <v>105191</v>
      </c>
      <c r="D14" s="31">
        <v>38703</v>
      </c>
      <c r="E14" s="91">
        <v>1.7179030049350179</v>
      </c>
      <c r="F14" s="77">
        <v>108094316</v>
      </c>
      <c r="G14" s="108">
        <v>34377264</v>
      </c>
      <c r="H14" s="93">
        <v>2.1443548270740802</v>
      </c>
      <c r="I14" s="102">
        <v>1027.6004220893421</v>
      </c>
      <c r="J14" s="72">
        <v>888.23254011316953</v>
      </c>
      <c r="K14" s="91">
        <v>0.15690472447498466</v>
      </c>
    </row>
    <row r="15" spans="1:11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1" ht="17.25" customHeight="1">
      <c r="A16" s="134" t="s">
        <v>308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7" t="s">
        <v>297</v>
      </c>
      <c r="D18" s="7" t="s">
        <v>298</v>
      </c>
      <c r="E18" s="9" t="s">
        <v>186</v>
      </c>
      <c r="F18" s="74" t="s">
        <v>299</v>
      </c>
      <c r="G18" s="74" t="s">
        <v>300</v>
      </c>
      <c r="H18" s="9" t="s">
        <v>186</v>
      </c>
      <c r="I18" s="44"/>
      <c r="J18" s="44"/>
    </row>
    <row r="19" spans="1:10">
      <c r="A19" s="13"/>
      <c r="B19" s="14"/>
      <c r="C19" s="15" t="s">
        <v>195</v>
      </c>
      <c r="D19" s="15" t="s">
        <v>195</v>
      </c>
      <c r="E19" s="16" t="s">
        <v>191</v>
      </c>
      <c r="F19" s="75" t="s">
        <v>192</v>
      </c>
      <c r="G19" s="75" t="s">
        <v>192</v>
      </c>
      <c r="H19" s="16" t="s">
        <v>196</v>
      </c>
      <c r="I19" s="45"/>
      <c r="J19" s="44"/>
    </row>
    <row r="20" spans="1:10">
      <c r="A20" s="46" t="s">
        <v>208</v>
      </c>
      <c r="B20" s="22" t="s">
        <v>162</v>
      </c>
      <c r="C20" s="23">
        <v>3700</v>
      </c>
      <c r="D20" s="23">
        <v>4531</v>
      </c>
      <c r="E20" s="90">
        <v>-0.18340322224674466</v>
      </c>
      <c r="F20" s="76">
        <v>432768</v>
      </c>
      <c r="G20" s="76">
        <v>509582</v>
      </c>
      <c r="H20" s="94">
        <v>-0.15073923333241754</v>
      </c>
      <c r="I20" s="4"/>
      <c r="J20" s="4"/>
    </row>
    <row r="21" spans="1:10">
      <c r="A21" s="46" t="s">
        <v>209</v>
      </c>
      <c r="B21" s="22" t="s">
        <v>163</v>
      </c>
      <c r="C21" s="23">
        <v>936</v>
      </c>
      <c r="D21" s="23">
        <v>1533</v>
      </c>
      <c r="E21" s="90">
        <v>-0.38943248532289626</v>
      </c>
      <c r="F21" s="76">
        <v>138831</v>
      </c>
      <c r="G21" s="76">
        <v>154814</v>
      </c>
      <c r="H21" s="94">
        <v>-0.10324001705272133</v>
      </c>
      <c r="I21" s="4"/>
      <c r="J21" s="4"/>
    </row>
    <row r="22" spans="1:10">
      <c r="A22" s="46" t="s">
        <v>258</v>
      </c>
      <c r="B22" s="22" t="s">
        <v>164</v>
      </c>
      <c r="C22" s="23">
        <v>800063</v>
      </c>
      <c r="D22" s="23">
        <v>1843720</v>
      </c>
      <c r="E22" s="90">
        <v>-0.56606046471264615</v>
      </c>
      <c r="F22" s="76">
        <v>37997147</v>
      </c>
      <c r="G22" s="76">
        <v>70142830</v>
      </c>
      <c r="H22" s="94">
        <v>-0.45828893701608558</v>
      </c>
      <c r="I22" s="4"/>
      <c r="J22" s="4"/>
    </row>
    <row r="23" spans="1:10">
      <c r="A23" s="46">
        <v>87149200108</v>
      </c>
      <c r="B23" s="22" t="s">
        <v>165</v>
      </c>
      <c r="C23" s="23">
        <v>72423</v>
      </c>
      <c r="D23" s="23">
        <v>175454</v>
      </c>
      <c r="E23" s="90">
        <v>-0.58722514163256467</v>
      </c>
      <c r="F23" s="76">
        <v>1331082</v>
      </c>
      <c r="G23" s="76">
        <v>2184260</v>
      </c>
      <c r="H23" s="94">
        <v>-0.39060276706985431</v>
      </c>
      <c r="I23" s="4"/>
      <c r="J23" s="4"/>
    </row>
    <row r="24" spans="1:10">
      <c r="A24" s="46">
        <v>87149200206</v>
      </c>
      <c r="B24" s="22" t="s">
        <v>166</v>
      </c>
      <c r="C24" s="23">
        <v>83398</v>
      </c>
      <c r="D24" s="23">
        <v>96177</v>
      </c>
      <c r="E24" s="90">
        <v>-0.13286960499911621</v>
      </c>
      <c r="F24" s="76">
        <v>2299986</v>
      </c>
      <c r="G24" s="76">
        <v>2407995</v>
      </c>
      <c r="H24" s="94">
        <v>-4.4854329016463905E-2</v>
      </c>
      <c r="I24" s="4"/>
      <c r="J24" s="4"/>
    </row>
    <row r="25" spans="1:10">
      <c r="A25" s="46">
        <v>87149200304</v>
      </c>
      <c r="B25" s="22" t="s">
        <v>167</v>
      </c>
      <c r="C25" s="23">
        <v>30773</v>
      </c>
      <c r="D25" s="23">
        <v>27675</v>
      </c>
      <c r="E25" s="90">
        <v>0.11194218608852755</v>
      </c>
      <c r="F25" s="76">
        <v>3415977</v>
      </c>
      <c r="G25" s="76">
        <v>2342394</v>
      </c>
      <c r="H25" s="94">
        <v>0.45832724981365219</v>
      </c>
      <c r="I25" s="4"/>
      <c r="J25" s="4"/>
    </row>
    <row r="26" spans="1:10">
      <c r="A26" s="46">
        <v>87149310007</v>
      </c>
      <c r="B26" s="22" t="s">
        <v>168</v>
      </c>
      <c r="C26" s="23">
        <v>30671</v>
      </c>
      <c r="D26" s="23">
        <v>78977</v>
      </c>
      <c r="E26" s="90">
        <v>-0.61164642870709196</v>
      </c>
      <c r="F26" s="76">
        <v>3156781</v>
      </c>
      <c r="G26" s="76">
        <v>7791589</v>
      </c>
      <c r="H26" s="94">
        <v>-0.59484759783915708</v>
      </c>
      <c r="I26" s="4"/>
      <c r="J26" s="4"/>
    </row>
    <row r="27" spans="1:10">
      <c r="A27" s="46">
        <v>87149320103</v>
      </c>
      <c r="B27" s="22" t="s">
        <v>169</v>
      </c>
      <c r="C27" s="23">
        <v>4619</v>
      </c>
      <c r="D27" s="23">
        <v>12010</v>
      </c>
      <c r="E27" s="90">
        <v>-0.61540383014154876</v>
      </c>
      <c r="F27" s="76">
        <v>246046</v>
      </c>
      <c r="G27" s="76">
        <v>474492</v>
      </c>
      <c r="H27" s="94">
        <v>-0.48145384959072018</v>
      </c>
      <c r="I27" s="4"/>
      <c r="J27" s="4"/>
    </row>
    <row r="28" spans="1:10">
      <c r="A28" s="46">
        <v>87149410006</v>
      </c>
      <c r="B28" s="22" t="s">
        <v>170</v>
      </c>
      <c r="C28" s="23">
        <v>1127</v>
      </c>
      <c r="D28" s="23">
        <v>1420</v>
      </c>
      <c r="E28" s="90">
        <v>-0.20633802816901409</v>
      </c>
      <c r="F28" s="76">
        <v>25392</v>
      </c>
      <c r="G28" s="76">
        <v>52271</v>
      </c>
      <c r="H28" s="94">
        <v>-0.51422394826959494</v>
      </c>
      <c r="I28" s="4"/>
      <c r="J28" s="4"/>
    </row>
    <row r="29" spans="1:10">
      <c r="A29" s="46">
        <v>87149490009</v>
      </c>
      <c r="B29" s="22" t="s">
        <v>171</v>
      </c>
      <c r="C29" s="23">
        <v>491753</v>
      </c>
      <c r="D29" s="23">
        <v>1585712</v>
      </c>
      <c r="E29" s="90">
        <v>-0.68988504848295273</v>
      </c>
      <c r="F29" s="76">
        <v>23442337</v>
      </c>
      <c r="G29" s="76">
        <v>52171014</v>
      </c>
      <c r="H29" s="94">
        <v>-0.55066357345479233</v>
      </c>
      <c r="I29" s="4"/>
      <c r="J29" s="4"/>
    </row>
    <row r="30" spans="1:10">
      <c r="A30" s="46">
        <v>87149500007</v>
      </c>
      <c r="B30" s="22" t="s">
        <v>172</v>
      </c>
      <c r="C30" s="23">
        <v>25045</v>
      </c>
      <c r="D30" s="23">
        <v>34356</v>
      </c>
      <c r="E30" s="90">
        <v>-0.27101525206659682</v>
      </c>
      <c r="F30" s="76">
        <v>1151074</v>
      </c>
      <c r="G30" s="76">
        <v>1261957</v>
      </c>
      <c r="H30" s="94">
        <v>-8.7865909852712892E-2</v>
      </c>
      <c r="I30" s="4"/>
      <c r="J30" s="4"/>
    </row>
    <row r="31" spans="1:10">
      <c r="A31" s="46">
        <v>87149610004</v>
      </c>
      <c r="B31" s="22" t="s">
        <v>173</v>
      </c>
      <c r="C31" s="23">
        <v>76287</v>
      </c>
      <c r="D31" s="23">
        <v>165173</v>
      </c>
      <c r="E31" s="90">
        <v>-0.53813879992492719</v>
      </c>
      <c r="F31" s="76">
        <v>1577236</v>
      </c>
      <c r="G31" s="76">
        <v>2561991</v>
      </c>
      <c r="H31" s="94">
        <v>-0.38437098334849734</v>
      </c>
      <c r="I31" s="4"/>
      <c r="J31" s="4"/>
    </row>
    <row r="32" spans="1:10">
      <c r="A32" s="46">
        <v>87149620002</v>
      </c>
      <c r="B32" s="22" t="s">
        <v>174</v>
      </c>
      <c r="C32" s="23">
        <v>191831</v>
      </c>
      <c r="D32" s="23">
        <v>280590</v>
      </c>
      <c r="E32" s="90">
        <v>-0.3163298763320147</v>
      </c>
      <c r="F32" s="76">
        <v>9047580</v>
      </c>
      <c r="G32" s="76">
        <v>10812696</v>
      </c>
      <c r="H32" s="94">
        <v>-0.16324476337816213</v>
      </c>
      <c r="I32" s="4"/>
      <c r="J32" s="4"/>
    </row>
    <row r="33" spans="1:10">
      <c r="A33" s="46" t="s">
        <v>210</v>
      </c>
      <c r="B33" s="22" t="s">
        <v>175</v>
      </c>
      <c r="C33" s="23">
        <v>62843</v>
      </c>
      <c r="D33" s="23">
        <v>102727</v>
      </c>
      <c r="E33" s="90">
        <v>-0.38825235819210141</v>
      </c>
      <c r="F33" s="76">
        <v>1711169</v>
      </c>
      <c r="G33" s="76">
        <v>2645802</v>
      </c>
      <c r="H33" s="94">
        <v>-0.35325130149572798</v>
      </c>
      <c r="I33" s="4"/>
      <c r="J33" s="4"/>
    </row>
    <row r="34" spans="1:10">
      <c r="A34" s="46">
        <v>87149990111</v>
      </c>
      <c r="B34" s="22" t="s">
        <v>176</v>
      </c>
      <c r="C34" s="23">
        <v>135208</v>
      </c>
      <c r="D34" s="23">
        <v>150866</v>
      </c>
      <c r="E34" s="90">
        <v>-0.10378746702371641</v>
      </c>
      <c r="F34" s="76">
        <v>14090990</v>
      </c>
      <c r="G34" s="76">
        <v>13594274</v>
      </c>
      <c r="H34" s="94">
        <v>3.6538619127435563E-2</v>
      </c>
      <c r="I34" s="4"/>
      <c r="J34" s="4"/>
    </row>
    <row r="35" spans="1:10">
      <c r="A35" s="46">
        <v>87149320906</v>
      </c>
      <c r="B35" s="22" t="s">
        <v>177</v>
      </c>
      <c r="C35" s="23">
        <v>226743</v>
      </c>
      <c r="D35" s="23">
        <v>235201</v>
      </c>
      <c r="E35" s="90">
        <v>-3.5960731459475086E-2</v>
      </c>
      <c r="F35" s="76">
        <v>7821713</v>
      </c>
      <c r="G35" s="76">
        <v>7335773</v>
      </c>
      <c r="H35" s="94">
        <v>6.6242507776617401E-2</v>
      </c>
      <c r="I35" s="4"/>
      <c r="J35" s="4"/>
    </row>
    <row r="36" spans="1:10">
      <c r="A36" s="46">
        <v>87149990139</v>
      </c>
      <c r="B36" s="22" t="s">
        <v>178</v>
      </c>
      <c r="C36" s="23">
        <v>14845</v>
      </c>
      <c r="D36" s="23">
        <v>25834</v>
      </c>
      <c r="E36" s="90">
        <v>-0.42536966787953862</v>
      </c>
      <c r="F36" s="76">
        <v>394720</v>
      </c>
      <c r="G36" s="76">
        <v>561661</v>
      </c>
      <c r="H36" s="94">
        <v>-0.29722733107693072</v>
      </c>
      <c r="I36" s="4"/>
      <c r="J36" s="4"/>
    </row>
    <row r="37" spans="1:10">
      <c r="A37" s="46">
        <v>87149990148</v>
      </c>
      <c r="B37" s="22" t="s">
        <v>179</v>
      </c>
      <c r="C37" s="23">
        <v>20011</v>
      </c>
      <c r="D37" s="23">
        <v>53539</v>
      </c>
      <c r="E37" s="90">
        <v>-0.62623508096901326</v>
      </c>
      <c r="F37" s="76">
        <v>932469</v>
      </c>
      <c r="G37" s="76">
        <v>1606973</v>
      </c>
      <c r="H37" s="94">
        <v>-0.41973573918167884</v>
      </c>
      <c r="I37" s="4"/>
      <c r="J37" s="4"/>
    </row>
    <row r="38" spans="1:10">
      <c r="A38" s="46">
        <v>87149990157</v>
      </c>
      <c r="B38" s="22" t="s">
        <v>180</v>
      </c>
      <c r="C38" s="23">
        <v>38785</v>
      </c>
      <c r="D38" s="23">
        <v>69733</v>
      </c>
      <c r="E38" s="90">
        <v>-0.44380709276812985</v>
      </c>
      <c r="F38" s="76">
        <v>1590736</v>
      </c>
      <c r="G38" s="76">
        <v>3409636</v>
      </c>
      <c r="H38" s="94">
        <v>-0.53345870350970015</v>
      </c>
      <c r="I38" s="4"/>
      <c r="J38" s="4"/>
    </row>
    <row r="39" spans="1:10">
      <c r="A39" s="46" t="s">
        <v>259</v>
      </c>
      <c r="B39" s="22" t="s">
        <v>181</v>
      </c>
      <c r="C39" s="23">
        <v>78095</v>
      </c>
      <c r="D39" s="23">
        <v>88780</v>
      </c>
      <c r="E39" s="90">
        <v>-0.12035368326199594</v>
      </c>
      <c r="F39" s="76">
        <v>2969800</v>
      </c>
      <c r="G39" s="76">
        <v>2003882</v>
      </c>
      <c r="H39" s="94">
        <v>0.48202339259497318</v>
      </c>
      <c r="I39" s="4"/>
      <c r="J39" s="4"/>
    </row>
    <row r="40" spans="1:10">
      <c r="A40" s="46" t="s">
        <v>211</v>
      </c>
      <c r="B40" s="22" t="s">
        <v>182</v>
      </c>
      <c r="C40" s="23">
        <v>414826</v>
      </c>
      <c r="D40" s="23">
        <v>755691</v>
      </c>
      <c r="E40" s="90">
        <v>-0.45106399308712158</v>
      </c>
      <c r="F40" s="76">
        <v>7917304</v>
      </c>
      <c r="G40" s="76">
        <v>12919277</v>
      </c>
      <c r="H40" s="94">
        <v>-0.38717127901197568</v>
      </c>
      <c r="I40" s="4"/>
      <c r="J40" s="4"/>
    </row>
    <row r="41" spans="1:10">
      <c r="A41" s="46" t="s">
        <v>212</v>
      </c>
      <c r="B41" s="22" t="s">
        <v>183</v>
      </c>
      <c r="C41" s="23">
        <v>11371</v>
      </c>
      <c r="D41" s="23">
        <v>40250</v>
      </c>
      <c r="E41" s="90">
        <v>-0.71749068322981369</v>
      </c>
      <c r="F41" s="76">
        <v>141035</v>
      </c>
      <c r="G41" s="76">
        <v>523122</v>
      </c>
      <c r="H41" s="94">
        <v>-0.73039749809795806</v>
      </c>
      <c r="I41" s="4"/>
      <c r="J41" s="4"/>
    </row>
    <row r="42" spans="1:10" ht="18.75" customHeight="1" thickBot="1">
      <c r="A42" s="132" t="s">
        <v>160</v>
      </c>
      <c r="B42" s="133"/>
      <c r="C42" s="63">
        <v>2815353</v>
      </c>
      <c r="D42" s="63">
        <v>5829949</v>
      </c>
      <c r="E42" s="91">
        <v>-0.51708788533141548</v>
      </c>
      <c r="F42" s="77">
        <v>121832173</v>
      </c>
      <c r="G42" s="77">
        <v>197468285</v>
      </c>
      <c r="H42" s="91">
        <v>-0.38302916339198467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</row>
    <row r="46" spans="1:10" ht="16.5">
      <c r="A46"/>
      <c r="B46"/>
      <c r="C46"/>
      <c r="D46"/>
      <c r="E46"/>
      <c r="F46"/>
      <c r="G46"/>
    </row>
  </sheetData>
  <mergeCells count="3">
    <mergeCell ref="A1:J1"/>
    <mergeCell ref="A16:J16"/>
    <mergeCell ref="A42:B42"/>
  </mergeCells>
  <phoneticPr fontId="4" type="noConversion"/>
  <conditionalFormatting sqref="E5:E10">
    <cfRule type="cellIs" dxfId="287" priority="9" operator="greaterThanOrEqual">
      <formula>0</formula>
    </cfRule>
    <cfRule type="cellIs" dxfId="286" priority="10" operator="lessThan">
      <formula>0</formula>
    </cfRule>
  </conditionalFormatting>
  <conditionalFormatting sqref="E13">
    <cfRule type="cellIs" dxfId="285" priority="5" operator="greaterThanOrEqual">
      <formula>0</formula>
    </cfRule>
    <cfRule type="cellIs" dxfId="284" priority="6" operator="lessThan">
      <formula>0</formula>
    </cfRule>
  </conditionalFormatting>
  <conditionalFormatting sqref="E20:E41">
    <cfRule type="cellIs" dxfId="283" priority="13" operator="greaterThanOrEqual">
      <formula>0</formula>
    </cfRule>
    <cfRule type="cellIs" dxfId="282" priority="14" operator="lessThan">
      <formula>0</formula>
    </cfRule>
  </conditionalFormatting>
  <conditionalFormatting sqref="H5:H10">
    <cfRule type="cellIs" dxfId="281" priority="11" operator="greaterThanOrEqual">
      <formula>0</formula>
    </cfRule>
    <cfRule type="cellIs" dxfId="280" priority="12" operator="lessThan">
      <formula>0</formula>
    </cfRule>
  </conditionalFormatting>
  <conditionalFormatting sqref="H13">
    <cfRule type="cellIs" dxfId="279" priority="3" operator="greaterThanOrEqual">
      <formula>0</formula>
    </cfRule>
    <cfRule type="cellIs" dxfId="278" priority="4" operator="lessThan">
      <formula>0</formula>
    </cfRule>
  </conditionalFormatting>
  <conditionalFormatting sqref="K5:K10">
    <cfRule type="cellIs" dxfId="277" priority="7" operator="greaterThanOrEqual">
      <formula>0</formula>
    </cfRule>
    <cfRule type="cellIs" dxfId="276" priority="8" operator="lessThan">
      <formula>0</formula>
    </cfRule>
  </conditionalFormatting>
  <conditionalFormatting sqref="K13">
    <cfRule type="cellIs" dxfId="275" priority="1" operator="greaterThanOrEqual">
      <formula>0</formula>
    </cfRule>
    <cfRule type="cellIs" dxfId="274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J89"/>
  <sheetViews>
    <sheetView zoomScaleNormal="100" workbookViewId="0">
      <selection activeCell="A17" sqref="A17"/>
    </sheetView>
  </sheetViews>
  <sheetFormatPr defaultRowHeight="15.75"/>
  <cols>
    <col min="1" max="1" width="14.5" style="2" customWidth="1"/>
    <col min="2" max="2" width="27.375" style="3" customWidth="1"/>
    <col min="3" max="3" width="14" style="4" customWidth="1"/>
    <col min="4" max="4" width="14.375" style="4" customWidth="1"/>
    <col min="5" max="5" width="13.5" style="4" customWidth="1"/>
    <col min="6" max="6" width="17.75" style="4" customWidth="1"/>
    <col min="7" max="8" width="15.625" style="4" customWidth="1"/>
    <col min="9" max="9" width="13.875" style="3" customWidth="1"/>
    <col min="10" max="10" width="12.875" style="3" customWidth="1"/>
    <col min="11" max="12" width="9.75" style="3" customWidth="1"/>
    <col min="13" max="256" width="8.875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8.875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8.875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8.875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8.875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8.875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8.875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8.875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8.875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8.875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8.875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8.875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8.875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8.875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8.875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8.875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8.875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8.875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8.875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8.875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8.875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8.875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8.875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8.875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8.875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8.875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8.875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8.875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8.875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8.875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8.875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8.875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8.875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8.875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8.875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8.875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8.875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8.875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8.875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8.875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8.875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8.875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8.875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8.875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8.875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8.875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8.875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8.875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8.875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8.875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8.875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8.875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8.875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8.875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8.875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8.875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8.875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8.875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8.875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8.875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8.875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8.875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8.875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8.875" style="3"/>
  </cols>
  <sheetData>
    <row r="1" spans="1:10" s="1" customFormat="1" ht="23.25" customHeight="1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8.25" customHeight="1"/>
    <row r="3" spans="1:10">
      <c r="A3" s="5" t="s">
        <v>137</v>
      </c>
      <c r="B3" s="6" t="s">
        <v>138</v>
      </c>
      <c r="C3" s="110" t="s">
        <v>302</v>
      </c>
      <c r="D3" s="111" t="s">
        <v>303</v>
      </c>
      <c r="E3" s="112" t="s">
        <v>2</v>
      </c>
      <c r="F3" s="113" t="s">
        <v>304</v>
      </c>
      <c r="G3" s="114" t="s">
        <v>305</v>
      </c>
      <c r="H3" s="9" t="s">
        <v>144</v>
      </c>
      <c r="I3" s="56" t="s">
        <v>145</v>
      </c>
      <c r="J3" s="56" t="s">
        <v>146</v>
      </c>
    </row>
    <row r="4" spans="1:10" ht="15" customHeight="1">
      <c r="A4" s="13"/>
      <c r="B4" s="14"/>
      <c r="C4" s="15" t="s">
        <v>6</v>
      </c>
      <c r="D4" s="15" t="s">
        <v>6</v>
      </c>
      <c r="E4" s="16"/>
      <c r="F4" s="17" t="s">
        <v>7</v>
      </c>
      <c r="G4" s="17" t="s">
        <v>7</v>
      </c>
      <c r="H4" s="18" t="s">
        <v>7</v>
      </c>
      <c r="I4" s="19" t="s">
        <v>7</v>
      </c>
      <c r="J4" s="20" t="s">
        <v>7</v>
      </c>
    </row>
    <row r="5" spans="1:10" ht="16.5">
      <c r="A5" s="21" t="s">
        <v>206</v>
      </c>
      <c r="B5" s="22" t="s">
        <v>147</v>
      </c>
      <c r="C5" s="23">
        <v>246</v>
      </c>
      <c r="D5" s="23">
        <v>3476</v>
      </c>
      <c r="E5" s="101">
        <v>-3230</v>
      </c>
      <c r="F5" s="23">
        <v>249255</v>
      </c>
      <c r="G5" s="23">
        <v>232889</v>
      </c>
      <c r="H5" s="84">
        <v>16366</v>
      </c>
      <c r="I5" s="25">
        <v>1013.2317073170732</v>
      </c>
      <c r="J5" s="25">
        <v>66.999136939010356</v>
      </c>
    </row>
    <row r="6" spans="1:10" ht="16.5">
      <c r="A6" s="26" t="s">
        <v>205</v>
      </c>
      <c r="B6" s="27" t="s">
        <v>148</v>
      </c>
      <c r="C6" s="23">
        <v>0</v>
      </c>
      <c r="D6" s="23">
        <v>1017</v>
      </c>
      <c r="E6" s="101">
        <v>-1017</v>
      </c>
      <c r="F6" s="23">
        <v>0</v>
      </c>
      <c r="G6" s="23">
        <v>92768</v>
      </c>
      <c r="H6" s="84">
        <v>-92768</v>
      </c>
      <c r="I6" s="25">
        <v>0</v>
      </c>
      <c r="J6" s="25">
        <v>91.217305801376597</v>
      </c>
    </row>
    <row r="7" spans="1:10" ht="16.5">
      <c r="A7" s="21" t="s">
        <v>149</v>
      </c>
      <c r="B7" s="28" t="s">
        <v>150</v>
      </c>
      <c r="C7" s="29">
        <v>0</v>
      </c>
      <c r="D7" s="23">
        <v>2817</v>
      </c>
      <c r="E7" s="101">
        <v>-2817</v>
      </c>
      <c r="F7" s="23">
        <v>0</v>
      </c>
      <c r="G7" s="23">
        <v>164988</v>
      </c>
      <c r="H7" s="84">
        <v>-164988</v>
      </c>
      <c r="I7" s="25">
        <v>0</v>
      </c>
      <c r="J7" s="25">
        <v>58.568690095846648</v>
      </c>
    </row>
    <row r="8" spans="1:10" ht="16.5">
      <c r="A8" s="21" t="s">
        <v>151</v>
      </c>
      <c r="B8" s="28" t="s">
        <v>152</v>
      </c>
      <c r="C8" s="23">
        <v>80</v>
      </c>
      <c r="D8" s="23">
        <v>4988</v>
      </c>
      <c r="E8" s="101">
        <v>-4908</v>
      </c>
      <c r="F8" s="23">
        <v>50217</v>
      </c>
      <c r="G8" s="23">
        <v>549224</v>
      </c>
      <c r="H8" s="84">
        <v>-499007</v>
      </c>
      <c r="I8" s="25">
        <v>627.71249999999998</v>
      </c>
      <c r="J8" s="25">
        <v>110.10906174819567</v>
      </c>
    </row>
    <row r="9" spans="1:10" ht="16.5">
      <c r="A9" s="21" t="s">
        <v>153</v>
      </c>
      <c r="B9" s="28" t="s">
        <v>154</v>
      </c>
      <c r="C9" s="23">
        <v>679</v>
      </c>
      <c r="D9" s="23">
        <v>2603</v>
      </c>
      <c r="E9" s="101">
        <v>-1924</v>
      </c>
      <c r="F9" s="23">
        <v>723868</v>
      </c>
      <c r="G9" s="23">
        <v>229977</v>
      </c>
      <c r="H9" s="84">
        <v>493891</v>
      </c>
      <c r="I9" s="25">
        <v>1066.0795287187041</v>
      </c>
      <c r="J9" s="25">
        <v>88.350749135612759</v>
      </c>
    </row>
    <row r="10" spans="1:10" ht="16.5">
      <c r="A10" s="21" t="s">
        <v>155</v>
      </c>
      <c r="B10" s="28" t="s">
        <v>156</v>
      </c>
      <c r="C10" s="23">
        <v>6479</v>
      </c>
      <c r="D10" s="23">
        <v>1581</v>
      </c>
      <c r="E10" s="101">
        <v>4898</v>
      </c>
      <c r="F10" s="23">
        <v>8764618</v>
      </c>
      <c r="G10" s="23">
        <v>317909</v>
      </c>
      <c r="H10" s="84">
        <v>8446709</v>
      </c>
      <c r="I10" s="25">
        <v>1352.7732674795493</v>
      </c>
      <c r="J10" s="25">
        <v>201.08096141682481</v>
      </c>
    </row>
    <row r="11" spans="1:10" ht="17.25" thickBot="1">
      <c r="A11" s="48" t="s">
        <v>157</v>
      </c>
      <c r="B11" s="70" t="s">
        <v>158</v>
      </c>
      <c r="C11" s="63">
        <v>7484</v>
      </c>
      <c r="D11" s="63">
        <v>16482</v>
      </c>
      <c r="E11" s="100">
        <v>-8998</v>
      </c>
      <c r="F11" s="63">
        <v>9787958</v>
      </c>
      <c r="G11" s="63">
        <v>1587755</v>
      </c>
      <c r="H11" s="82">
        <v>8200203</v>
      </c>
      <c r="I11" s="102">
        <v>1307.8511491181187</v>
      </c>
      <c r="J11" s="72">
        <v>96.332665938599689</v>
      </c>
    </row>
    <row r="12" spans="1:10" ht="11.25" customHeight="1" thickTop="1">
      <c r="A12" s="33"/>
      <c r="B12" s="34"/>
      <c r="E12" s="85"/>
      <c r="H12" s="87"/>
      <c r="I12" s="35"/>
      <c r="J12" s="35"/>
    </row>
    <row r="13" spans="1:10" ht="16.5">
      <c r="A13" s="21" t="s">
        <v>207</v>
      </c>
      <c r="B13" s="22" t="s">
        <v>159</v>
      </c>
      <c r="C13" s="23">
        <v>0</v>
      </c>
      <c r="D13" s="23">
        <v>258</v>
      </c>
      <c r="E13" s="101">
        <v>-258</v>
      </c>
      <c r="F13" s="23">
        <v>0</v>
      </c>
      <c r="G13" s="23">
        <v>8814</v>
      </c>
      <c r="H13" s="103">
        <v>-8814</v>
      </c>
      <c r="I13" s="25">
        <v>0</v>
      </c>
      <c r="J13" s="25">
        <v>34.162790697674417</v>
      </c>
    </row>
    <row r="14" spans="1:10" ht="17.25" thickBot="1">
      <c r="A14" s="106" t="s">
        <v>160</v>
      </c>
      <c r="B14" s="105" t="s">
        <v>80</v>
      </c>
      <c r="C14" s="63">
        <v>7484</v>
      </c>
      <c r="D14" s="63">
        <v>16740</v>
      </c>
      <c r="E14" s="80">
        <v>-9256</v>
      </c>
      <c r="F14" s="63">
        <v>9787958</v>
      </c>
      <c r="G14" s="63">
        <v>1596569</v>
      </c>
      <c r="H14" s="107">
        <v>8191389</v>
      </c>
      <c r="I14" s="72">
        <v>1307.8511491181187</v>
      </c>
      <c r="J14" s="104">
        <v>95.374492234169651</v>
      </c>
    </row>
    <row r="15" spans="1:10" ht="13.5" customHeight="1" thickTop="1">
      <c r="A15" s="37"/>
      <c r="B15" s="38"/>
      <c r="C15" s="39"/>
      <c r="D15" s="39"/>
      <c r="E15" s="40"/>
      <c r="F15" s="39"/>
      <c r="G15" s="39"/>
      <c r="H15" s="40"/>
      <c r="I15" s="41"/>
      <c r="J15" s="41"/>
    </row>
    <row r="16" spans="1:10" s="42" customFormat="1" ht="23.45" customHeight="1">
      <c r="A16" s="131" t="s">
        <v>306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7.5" customHeight="1">
      <c r="A17" s="33"/>
      <c r="B17" s="34"/>
      <c r="E17" s="43"/>
      <c r="H17" s="43"/>
      <c r="I17" s="35"/>
      <c r="J17" s="35"/>
    </row>
    <row r="18" spans="1:10">
      <c r="A18" s="5" t="s">
        <v>137</v>
      </c>
      <c r="B18" s="6" t="s">
        <v>138</v>
      </c>
      <c r="C18" s="110" t="s">
        <v>302</v>
      </c>
      <c r="D18" s="111" t="s">
        <v>303</v>
      </c>
      <c r="E18" s="112" t="s">
        <v>2</v>
      </c>
      <c r="F18" s="113" t="s">
        <v>304</v>
      </c>
      <c r="G18" s="114" t="s">
        <v>305</v>
      </c>
      <c r="H18" s="9" t="s">
        <v>144</v>
      </c>
      <c r="I18" s="44"/>
      <c r="J18" s="44"/>
    </row>
    <row r="19" spans="1:10">
      <c r="A19" s="13"/>
      <c r="B19" s="14"/>
      <c r="C19" s="15" t="s">
        <v>161</v>
      </c>
      <c r="D19" s="15" t="s">
        <v>161</v>
      </c>
      <c r="E19" s="16"/>
      <c r="F19" s="17" t="s">
        <v>7</v>
      </c>
      <c r="G19" s="17" t="s">
        <v>7</v>
      </c>
      <c r="H19" s="18" t="s">
        <v>7</v>
      </c>
      <c r="I19" s="45"/>
      <c r="J19" s="44"/>
    </row>
    <row r="20" spans="1:10">
      <c r="A20" s="46" t="s">
        <v>208</v>
      </c>
      <c r="B20" s="22" t="s">
        <v>162</v>
      </c>
      <c r="C20" s="23">
        <v>314</v>
      </c>
      <c r="D20" s="23">
        <v>3761</v>
      </c>
      <c r="E20" s="24">
        <v>-3447</v>
      </c>
      <c r="F20" s="23">
        <v>41093</v>
      </c>
      <c r="G20" s="23">
        <v>106011</v>
      </c>
      <c r="H20" s="24">
        <v>-64918</v>
      </c>
      <c r="I20" s="4"/>
      <c r="J20" s="4"/>
    </row>
    <row r="21" spans="1:10">
      <c r="A21" s="46" t="s">
        <v>209</v>
      </c>
      <c r="B21" s="22" t="s">
        <v>163</v>
      </c>
      <c r="C21" s="23">
        <v>0</v>
      </c>
      <c r="D21" s="23">
        <v>950</v>
      </c>
      <c r="E21" s="24">
        <v>-950</v>
      </c>
      <c r="F21" s="23">
        <v>0</v>
      </c>
      <c r="G21" s="23">
        <v>51192</v>
      </c>
      <c r="H21" s="24">
        <v>-51192</v>
      </c>
      <c r="I21" s="4"/>
      <c r="J21" s="4"/>
    </row>
    <row r="22" spans="1:10">
      <c r="A22" s="46" t="s">
        <v>258</v>
      </c>
      <c r="B22" s="22" t="s">
        <v>164</v>
      </c>
      <c r="C22" s="23">
        <v>65729</v>
      </c>
      <c r="D22" s="23">
        <v>313382</v>
      </c>
      <c r="E22" s="24">
        <v>-247653</v>
      </c>
      <c r="F22" s="23">
        <v>3218279</v>
      </c>
      <c r="G22" s="23">
        <v>19616030</v>
      </c>
      <c r="H22" s="24">
        <v>-16397751</v>
      </c>
      <c r="I22" s="4"/>
      <c r="J22" s="4"/>
    </row>
    <row r="23" spans="1:10">
      <c r="A23" s="46">
        <v>87149200108</v>
      </c>
      <c r="B23" s="22" t="s">
        <v>165</v>
      </c>
      <c r="C23" s="23">
        <v>11718</v>
      </c>
      <c r="D23" s="23">
        <v>41868</v>
      </c>
      <c r="E23" s="24">
        <v>-30150</v>
      </c>
      <c r="F23" s="23">
        <v>180819</v>
      </c>
      <c r="G23" s="23">
        <v>4030322</v>
      </c>
      <c r="H23" s="24">
        <v>-3849503</v>
      </c>
      <c r="I23" s="4"/>
      <c r="J23" s="4"/>
    </row>
    <row r="24" spans="1:10">
      <c r="A24" s="46">
        <v>87149200206</v>
      </c>
      <c r="B24" s="22" t="s">
        <v>166</v>
      </c>
      <c r="C24" s="23">
        <v>11143</v>
      </c>
      <c r="D24" s="23">
        <v>4719</v>
      </c>
      <c r="E24" s="24">
        <v>6424</v>
      </c>
      <c r="F24" s="23">
        <v>242116</v>
      </c>
      <c r="G24" s="23">
        <v>539603</v>
      </c>
      <c r="H24" s="24">
        <v>-297487</v>
      </c>
      <c r="I24" s="4"/>
      <c r="J24" s="4"/>
    </row>
    <row r="25" spans="1:10">
      <c r="A25" s="46">
        <v>87149200304</v>
      </c>
      <c r="B25" s="22" t="s">
        <v>167</v>
      </c>
      <c r="C25" s="23">
        <v>3962</v>
      </c>
      <c r="D25" s="23">
        <v>20964</v>
      </c>
      <c r="E25" s="24">
        <v>-17002</v>
      </c>
      <c r="F25" s="23">
        <v>437616</v>
      </c>
      <c r="G25" s="23">
        <v>245129</v>
      </c>
      <c r="H25" s="24">
        <v>192487</v>
      </c>
      <c r="I25" s="4"/>
      <c r="J25" s="4"/>
    </row>
    <row r="26" spans="1:10">
      <c r="A26" s="46">
        <v>87149310007</v>
      </c>
      <c r="B26" s="22" t="s">
        <v>168</v>
      </c>
      <c r="C26" s="23">
        <v>4327</v>
      </c>
      <c r="D26" s="23">
        <v>43958</v>
      </c>
      <c r="E26" s="24">
        <v>-39631</v>
      </c>
      <c r="F26" s="23">
        <v>479608</v>
      </c>
      <c r="G26" s="23">
        <v>856437</v>
      </c>
      <c r="H26" s="24">
        <v>-376829</v>
      </c>
      <c r="I26" s="4"/>
      <c r="J26" s="4"/>
    </row>
    <row r="27" spans="1:10">
      <c r="A27" s="46">
        <v>87149320103</v>
      </c>
      <c r="B27" s="22" t="s">
        <v>169</v>
      </c>
      <c r="C27" s="23">
        <v>0</v>
      </c>
      <c r="D27" s="23">
        <v>185</v>
      </c>
      <c r="E27" s="24">
        <v>-185</v>
      </c>
      <c r="F27" s="23">
        <v>0</v>
      </c>
      <c r="G27" s="23">
        <v>3507</v>
      </c>
      <c r="H27" s="24">
        <v>-3507</v>
      </c>
      <c r="I27" s="4"/>
      <c r="J27" s="4"/>
    </row>
    <row r="28" spans="1:10">
      <c r="A28" s="46">
        <v>87149410006</v>
      </c>
      <c r="B28" s="22" t="s">
        <v>170</v>
      </c>
      <c r="C28" s="23">
        <v>0</v>
      </c>
      <c r="D28" s="23">
        <v>882</v>
      </c>
      <c r="E28" s="24">
        <v>-882</v>
      </c>
      <c r="F28" s="23">
        <v>0</v>
      </c>
      <c r="G28" s="23">
        <v>14650</v>
      </c>
      <c r="H28" s="24">
        <v>-14650</v>
      </c>
      <c r="I28" s="4"/>
      <c r="J28" s="4"/>
    </row>
    <row r="29" spans="1:10">
      <c r="A29" s="46">
        <v>87149490009</v>
      </c>
      <c r="B29" s="22" t="s">
        <v>171</v>
      </c>
      <c r="C29" s="23">
        <v>55229</v>
      </c>
      <c r="D29" s="23">
        <v>50588</v>
      </c>
      <c r="E29" s="24">
        <v>4641</v>
      </c>
      <c r="F29" s="23">
        <v>2351801</v>
      </c>
      <c r="G29" s="23">
        <v>737916</v>
      </c>
      <c r="H29" s="24">
        <v>1613885</v>
      </c>
      <c r="I29" s="4"/>
      <c r="J29" s="4"/>
    </row>
    <row r="30" spans="1:10">
      <c r="A30" s="46">
        <v>87149500007</v>
      </c>
      <c r="B30" s="22" t="s">
        <v>172</v>
      </c>
      <c r="C30" s="23">
        <v>1671</v>
      </c>
      <c r="D30" s="23">
        <v>32621</v>
      </c>
      <c r="E30" s="24">
        <v>-30950</v>
      </c>
      <c r="F30" s="23">
        <v>95250</v>
      </c>
      <c r="G30" s="23">
        <v>359250</v>
      </c>
      <c r="H30" s="24">
        <v>-264000</v>
      </c>
      <c r="I30" s="4"/>
      <c r="J30" s="4"/>
    </row>
    <row r="31" spans="1:10">
      <c r="A31" s="46">
        <v>87149610004</v>
      </c>
      <c r="B31" s="22" t="s">
        <v>173</v>
      </c>
      <c r="C31" s="23">
        <v>4876</v>
      </c>
      <c r="D31" s="23">
        <v>25089</v>
      </c>
      <c r="E31" s="24">
        <v>-20213</v>
      </c>
      <c r="F31" s="23">
        <v>222347</v>
      </c>
      <c r="G31" s="23">
        <v>87954</v>
      </c>
      <c r="H31" s="24">
        <v>134393</v>
      </c>
      <c r="I31" s="4"/>
      <c r="J31" s="4"/>
    </row>
    <row r="32" spans="1:10">
      <c r="A32" s="46">
        <v>87149620002</v>
      </c>
      <c r="B32" s="22" t="s">
        <v>174</v>
      </c>
      <c r="C32" s="23">
        <v>16524</v>
      </c>
      <c r="D32" s="23">
        <v>48661</v>
      </c>
      <c r="E32" s="24">
        <v>-32137</v>
      </c>
      <c r="F32" s="23">
        <v>783236</v>
      </c>
      <c r="G32" s="23">
        <v>501769</v>
      </c>
      <c r="H32" s="24">
        <v>281467</v>
      </c>
      <c r="I32" s="4"/>
      <c r="J32" s="4"/>
    </row>
    <row r="33" spans="1:10">
      <c r="A33" s="46" t="s">
        <v>210</v>
      </c>
      <c r="B33" s="22" t="s">
        <v>175</v>
      </c>
      <c r="C33" s="23">
        <v>2170</v>
      </c>
      <c r="D33" s="23">
        <v>9409</v>
      </c>
      <c r="E33" s="24">
        <v>-7239</v>
      </c>
      <c r="F33" s="23">
        <v>84359</v>
      </c>
      <c r="G33" s="23">
        <v>50311</v>
      </c>
      <c r="H33" s="24">
        <v>34048</v>
      </c>
      <c r="I33" s="4"/>
      <c r="J33" s="4"/>
    </row>
    <row r="34" spans="1:10">
      <c r="A34" s="46">
        <v>87149990111</v>
      </c>
      <c r="B34" s="22" t="s">
        <v>176</v>
      </c>
      <c r="C34" s="23">
        <v>13250</v>
      </c>
      <c r="D34" s="23">
        <v>16345</v>
      </c>
      <c r="E34" s="24">
        <v>-3095</v>
      </c>
      <c r="F34" s="23">
        <v>1128864</v>
      </c>
      <c r="G34" s="23">
        <v>583904</v>
      </c>
      <c r="H34" s="24">
        <v>544960</v>
      </c>
      <c r="I34" s="4"/>
      <c r="J34" s="4"/>
    </row>
    <row r="35" spans="1:10">
      <c r="A35" s="46">
        <v>87149320906</v>
      </c>
      <c r="B35" s="22" t="s">
        <v>177</v>
      </c>
      <c r="C35" s="23">
        <v>17544</v>
      </c>
      <c r="D35" s="23">
        <v>9898</v>
      </c>
      <c r="E35" s="24">
        <v>7646</v>
      </c>
      <c r="F35" s="23">
        <v>531286</v>
      </c>
      <c r="G35" s="23">
        <v>49069</v>
      </c>
      <c r="H35" s="24">
        <v>482217</v>
      </c>
      <c r="I35" s="4"/>
      <c r="J35" s="4"/>
    </row>
    <row r="36" spans="1:10">
      <c r="A36" s="46">
        <v>87149990139</v>
      </c>
      <c r="B36" s="22" t="s">
        <v>178</v>
      </c>
      <c r="C36" s="23">
        <v>1443</v>
      </c>
      <c r="D36" s="23">
        <v>1003</v>
      </c>
      <c r="E36" s="24">
        <v>440</v>
      </c>
      <c r="F36" s="23">
        <v>29423</v>
      </c>
      <c r="G36" s="23">
        <v>1394</v>
      </c>
      <c r="H36" s="24">
        <v>28029</v>
      </c>
      <c r="I36" s="4"/>
      <c r="J36" s="4"/>
    </row>
    <row r="37" spans="1:10">
      <c r="A37" s="46">
        <v>87149990148</v>
      </c>
      <c r="B37" s="22" t="s">
        <v>179</v>
      </c>
      <c r="C37" s="23">
        <v>1720</v>
      </c>
      <c r="D37" s="23">
        <v>7057</v>
      </c>
      <c r="E37" s="24">
        <v>-5337</v>
      </c>
      <c r="F37" s="23">
        <v>104438</v>
      </c>
      <c r="G37" s="23">
        <v>187742</v>
      </c>
      <c r="H37" s="24">
        <v>-83304</v>
      </c>
      <c r="I37" s="4"/>
      <c r="J37" s="4"/>
    </row>
    <row r="38" spans="1:10">
      <c r="A38" s="46">
        <v>87149990157</v>
      </c>
      <c r="B38" s="22" t="s">
        <v>180</v>
      </c>
      <c r="C38" s="23">
        <v>2718</v>
      </c>
      <c r="D38" s="23">
        <v>24460</v>
      </c>
      <c r="E38" s="24">
        <v>-21742</v>
      </c>
      <c r="F38" s="23">
        <v>132496</v>
      </c>
      <c r="G38" s="23">
        <v>967398</v>
      </c>
      <c r="H38" s="24">
        <v>-834902</v>
      </c>
      <c r="I38" s="4"/>
      <c r="J38" s="4"/>
    </row>
    <row r="39" spans="1:10">
      <c r="A39" s="46" t="s">
        <v>259</v>
      </c>
      <c r="B39" s="22" t="s">
        <v>181</v>
      </c>
      <c r="C39" s="23">
        <v>6738</v>
      </c>
      <c r="D39" s="23">
        <v>28419</v>
      </c>
      <c r="E39" s="24">
        <v>-21681</v>
      </c>
      <c r="F39" s="23">
        <v>236373</v>
      </c>
      <c r="G39" s="23">
        <v>1281708</v>
      </c>
      <c r="H39" s="24">
        <v>-1045335</v>
      </c>
      <c r="I39" s="4"/>
      <c r="J39" s="4"/>
    </row>
    <row r="40" spans="1:10">
      <c r="A40" s="46" t="s">
        <v>211</v>
      </c>
      <c r="B40" s="22" t="s">
        <v>182</v>
      </c>
      <c r="C40" s="23">
        <v>50409</v>
      </c>
      <c r="D40" s="23">
        <v>43153</v>
      </c>
      <c r="E40" s="24">
        <v>7256</v>
      </c>
      <c r="F40" s="23">
        <v>846958</v>
      </c>
      <c r="G40" s="23">
        <v>228887</v>
      </c>
      <c r="H40" s="24">
        <v>618071</v>
      </c>
      <c r="I40" s="4"/>
      <c r="J40" s="4"/>
    </row>
    <row r="41" spans="1:10">
      <c r="A41" s="46" t="s">
        <v>212</v>
      </c>
      <c r="B41" s="22" t="s">
        <v>183</v>
      </c>
      <c r="C41" s="23">
        <v>1067</v>
      </c>
      <c r="D41" s="23">
        <v>19177</v>
      </c>
      <c r="E41" s="24">
        <v>-18110</v>
      </c>
      <c r="F41" s="23">
        <v>20234</v>
      </c>
      <c r="G41" s="23">
        <v>115389</v>
      </c>
      <c r="H41" s="24">
        <v>-95155</v>
      </c>
      <c r="I41" s="4"/>
      <c r="J41" s="4"/>
    </row>
    <row r="42" spans="1:10" ht="18.75" customHeight="1" thickBot="1">
      <c r="A42" s="132" t="s">
        <v>160</v>
      </c>
      <c r="B42" s="133"/>
      <c r="C42" s="50">
        <v>272552</v>
      </c>
      <c r="D42" s="50">
        <v>746549</v>
      </c>
      <c r="E42" s="51">
        <v>-473997</v>
      </c>
      <c r="F42" s="50">
        <v>11166596</v>
      </c>
      <c r="G42" s="50">
        <v>30615572</v>
      </c>
      <c r="H42" s="51">
        <v>-19448976</v>
      </c>
    </row>
    <row r="43" spans="1:10" ht="9.75" customHeight="1" thickTop="1">
      <c r="A43" s="37"/>
      <c r="B43" s="52"/>
      <c r="C43" s="39"/>
      <c r="D43" s="39"/>
      <c r="E43" s="40"/>
      <c r="F43" s="39"/>
      <c r="G43" s="39"/>
      <c r="H43" s="40"/>
    </row>
    <row r="44" spans="1:10" ht="16.5">
      <c r="A44" s="53" t="s">
        <v>72</v>
      </c>
      <c r="B44" s="54"/>
      <c r="C44" s="55"/>
      <c r="D44" s="54"/>
      <c r="E44" s="54"/>
      <c r="F44" s="54"/>
    </row>
    <row r="45" spans="1:10" ht="16.5">
      <c r="C45"/>
      <c r="D45"/>
    </row>
    <row r="88" spans="5:5">
      <c r="E88" s="67"/>
    </row>
    <row r="89" spans="5:5">
      <c r="E89" s="67"/>
    </row>
  </sheetData>
  <mergeCells count="3">
    <mergeCell ref="A1:J1"/>
    <mergeCell ref="A16:J16"/>
    <mergeCell ref="A42:B42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36</vt:i4>
      </vt:variant>
      <vt:variant>
        <vt:lpstr>具名範圍</vt:lpstr>
      </vt:variant>
      <vt:variant>
        <vt:i4>24</vt:i4>
      </vt:variant>
    </vt:vector>
  </HeadingPairs>
  <TitlesOfParts>
    <vt:vector size="60" baseType="lpstr">
      <vt:lpstr>12月台灣--中國</vt:lpstr>
      <vt:lpstr>12月台灣出口中國</vt:lpstr>
      <vt:lpstr>12月自中國進口 </vt:lpstr>
      <vt:lpstr>11月台灣--中國 </vt:lpstr>
      <vt:lpstr>11月台灣出口中國</vt:lpstr>
      <vt:lpstr>11月自中國進口</vt:lpstr>
      <vt:lpstr>10月自中國進口</vt:lpstr>
      <vt:lpstr>10月台灣出口中國 </vt:lpstr>
      <vt:lpstr>10月台灣--中國 </vt:lpstr>
      <vt:lpstr>9月自中國進口 </vt:lpstr>
      <vt:lpstr>9月台灣出口中國</vt:lpstr>
      <vt:lpstr>9月台灣--中國</vt:lpstr>
      <vt:lpstr>8月台灣--中國</vt:lpstr>
      <vt:lpstr>8月台灣出口中國</vt:lpstr>
      <vt:lpstr>8月自中國進口</vt:lpstr>
      <vt:lpstr>7月台灣--中國</vt:lpstr>
      <vt:lpstr>7月台灣出口中國</vt:lpstr>
      <vt:lpstr>7月自中國進口</vt:lpstr>
      <vt:lpstr>6月台灣--中國</vt:lpstr>
      <vt:lpstr>6月台灣出口中國</vt:lpstr>
      <vt:lpstr>6月自中國進口</vt:lpstr>
      <vt:lpstr>5月台灣--中國</vt:lpstr>
      <vt:lpstr>5月台灣出口中國</vt:lpstr>
      <vt:lpstr>5月自中國進口</vt:lpstr>
      <vt:lpstr>4月台灣--中國 </vt:lpstr>
      <vt:lpstr>4月台灣出口中國</vt:lpstr>
      <vt:lpstr>4月自中國進口</vt:lpstr>
      <vt:lpstr>3月台灣--中國</vt:lpstr>
      <vt:lpstr>3月台灣出口中國</vt:lpstr>
      <vt:lpstr>3月自中國進口</vt:lpstr>
      <vt:lpstr>2月台灣--中國</vt:lpstr>
      <vt:lpstr>2月台灣出口中國</vt:lpstr>
      <vt:lpstr>2月自中國進口</vt:lpstr>
      <vt:lpstr>1月台灣--中國</vt:lpstr>
      <vt:lpstr>1月台灣出口中國</vt:lpstr>
      <vt:lpstr>1月自中國進口</vt:lpstr>
      <vt:lpstr>'10月台灣--中國 '!Print_Area</vt:lpstr>
      <vt:lpstr>'10月台灣出口中國 '!Print_Area</vt:lpstr>
      <vt:lpstr>'11月台灣--中國 '!Print_Area</vt:lpstr>
      <vt:lpstr>'11月台灣出口中國'!Print_Area</vt:lpstr>
      <vt:lpstr>'12月台灣--中國'!Print_Area</vt:lpstr>
      <vt:lpstr>'12月台灣出口中國'!Print_Area</vt:lpstr>
      <vt:lpstr>'1月台灣--中國'!Print_Area</vt:lpstr>
      <vt:lpstr>'1月台灣出口中國'!Print_Area</vt:lpstr>
      <vt:lpstr>'2月台灣--中國'!Print_Area</vt:lpstr>
      <vt:lpstr>'2月台灣出口中國'!Print_Area</vt:lpstr>
      <vt:lpstr>'3月台灣--中國'!Print_Area</vt:lpstr>
      <vt:lpstr>'3月台灣出口中國'!Print_Area</vt:lpstr>
      <vt:lpstr>'4月台灣--中國 '!Print_Area</vt:lpstr>
      <vt:lpstr>'4月台灣出口中國'!Print_Area</vt:lpstr>
      <vt:lpstr>'5月台灣--中國'!Print_Area</vt:lpstr>
      <vt:lpstr>'5月台灣出口中國'!Print_Area</vt:lpstr>
      <vt:lpstr>'6月台灣--中國'!Print_Area</vt:lpstr>
      <vt:lpstr>'6月台灣出口中國'!Print_Area</vt:lpstr>
      <vt:lpstr>'7月台灣--中國'!Print_Area</vt:lpstr>
      <vt:lpstr>'7月台灣出口中國'!Print_Area</vt:lpstr>
      <vt:lpstr>'8月台灣--中國'!Print_Area</vt:lpstr>
      <vt:lpstr>'8月台灣出口中國'!Print_Area</vt:lpstr>
      <vt:lpstr>'9月台灣--中國'!Print_Area</vt:lpstr>
      <vt:lpstr>'9月台灣出口中國'!Print_Area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Yu-mei</dc:creator>
  <cp:keywords/>
  <dc:description/>
  <cp:lastModifiedBy>teresa xiao</cp:lastModifiedBy>
  <cp:revision/>
  <cp:lastPrinted>2022-08-03T08:02:59Z</cp:lastPrinted>
  <dcterms:created xsi:type="dcterms:W3CDTF">2021-03-19T08:41:10Z</dcterms:created>
  <dcterms:modified xsi:type="dcterms:W3CDTF">2024-06-11T03:56:36Z</dcterms:modified>
  <cp:category/>
  <cp:contentStatus/>
</cp:coreProperties>
</file>