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6統計\2026正本\"/>
    </mc:Choice>
  </mc:AlternateContent>
  <xr:revisionPtr revIDLastSave="0" documentId="13_ncr:1_{89346061-5562-468F-BF2D-863AD939BA83}" xr6:coauthVersionLast="47" xr6:coauthVersionMax="47" xr10:uidLastSave="{00000000-0000-0000-0000-000000000000}"/>
  <bookViews>
    <workbookView xWindow="5790" yWindow="135" windowWidth="14565" windowHeight="10380" tabRatio="802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2" l="1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F20" i="22"/>
  <c r="G19" i="22"/>
  <c r="F19" i="22"/>
  <c r="F17" i="22"/>
  <c r="G16" i="22"/>
  <c r="F16" i="22"/>
  <c r="G13" i="22"/>
  <c r="F13" i="22"/>
  <c r="C20" i="22"/>
  <c r="C17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D13" i="22"/>
  <c r="C13" i="22"/>
  <c r="G29" i="26" l="1"/>
  <c r="D29" i="26"/>
  <c r="G8" i="26"/>
  <c r="D8" i="26"/>
  <c r="G68" i="9"/>
  <c r="G58" i="9"/>
  <c r="G57" i="9"/>
  <c r="G56" i="9"/>
  <c r="G49" i="9"/>
  <c r="G13" i="9"/>
  <c r="E68" i="9"/>
  <c r="E49" i="9"/>
  <c r="E56" i="9"/>
  <c r="E57" i="9"/>
  <c r="E58" i="9"/>
  <c r="E13" i="9"/>
  <c r="G8" i="9"/>
  <c r="E8" i="9"/>
  <c r="C64" i="12"/>
  <c r="C62" i="12"/>
  <c r="C61" i="12"/>
  <c r="C58" i="12"/>
  <c r="C57" i="12"/>
  <c r="C56" i="12"/>
  <c r="C55" i="12"/>
  <c r="C54" i="12"/>
  <c r="C53" i="12"/>
  <c r="C52" i="12"/>
  <c r="C51" i="12"/>
  <c r="C48" i="12" s="1"/>
  <c r="C63" i="12" s="1"/>
  <c r="C50" i="12"/>
  <c r="C49" i="12"/>
  <c r="C44" i="12"/>
  <c r="C43" i="12"/>
  <c r="C42" i="12"/>
  <c r="C30" i="12"/>
  <c r="C29" i="12"/>
  <c r="C28" i="12"/>
  <c r="C26" i="12"/>
  <c r="C25" i="12"/>
  <c r="C20" i="12"/>
  <c r="C19" i="12"/>
  <c r="C18" i="12"/>
  <c r="C17" i="12"/>
  <c r="C16" i="12"/>
  <c r="C15" i="12"/>
  <c r="C14" i="12"/>
  <c r="C13" i="12" s="1"/>
  <c r="C11" i="12"/>
  <c r="C10" i="12"/>
  <c r="C9" i="12"/>
  <c r="C8" i="12"/>
  <c r="E64" i="11"/>
  <c r="E52" i="11"/>
  <c r="E53" i="11"/>
  <c r="E54" i="11"/>
  <c r="E55" i="11"/>
  <c r="E56" i="11"/>
  <c r="E57" i="11"/>
  <c r="E58" i="11"/>
  <c r="E61" i="11"/>
  <c r="E62" i="11"/>
  <c r="E50" i="11"/>
  <c r="E49" i="11"/>
  <c r="E44" i="11"/>
  <c r="E43" i="11"/>
  <c r="G64" i="11"/>
  <c r="G50" i="11"/>
  <c r="G52" i="11"/>
  <c r="G53" i="11"/>
  <c r="G54" i="11"/>
  <c r="G55" i="11"/>
  <c r="G56" i="11"/>
  <c r="G57" i="11"/>
  <c r="G58" i="11"/>
  <c r="G61" i="11"/>
  <c r="G62" i="11"/>
  <c r="G49" i="11"/>
  <c r="G44" i="11"/>
  <c r="G43" i="11"/>
  <c r="G36" i="11"/>
  <c r="G30" i="11"/>
  <c r="G28" i="11"/>
  <c r="G26" i="11"/>
  <c r="G15" i="11"/>
  <c r="G16" i="11"/>
  <c r="G17" i="11"/>
  <c r="G18" i="11"/>
  <c r="G19" i="11"/>
  <c r="G20" i="11"/>
  <c r="G14" i="11"/>
  <c r="E15" i="11"/>
  <c r="E16" i="11"/>
  <c r="E17" i="11"/>
  <c r="E18" i="11"/>
  <c r="E19" i="11"/>
  <c r="E20" i="11"/>
  <c r="E26" i="11"/>
  <c r="E28" i="11"/>
  <c r="E30" i="11"/>
  <c r="E36" i="11"/>
  <c r="E14" i="11"/>
  <c r="G10" i="11"/>
  <c r="G11" i="11"/>
  <c r="G9" i="11"/>
  <c r="E10" i="11"/>
  <c r="E11" i="11"/>
  <c r="E9" i="11"/>
  <c r="C64" i="11"/>
  <c r="B64" i="11"/>
  <c r="B50" i="11"/>
  <c r="C50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61" i="11"/>
  <c r="C61" i="11"/>
  <c r="B62" i="11"/>
  <c r="C62" i="11"/>
  <c r="C49" i="11"/>
  <c r="B49" i="11"/>
  <c r="C43" i="11"/>
  <c r="B43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6" i="11"/>
  <c r="C26" i="11"/>
  <c r="B28" i="11"/>
  <c r="C28" i="11"/>
  <c r="B30" i="11"/>
  <c r="C30" i="11"/>
  <c r="C14" i="11"/>
  <c r="B14" i="11"/>
  <c r="C10" i="11"/>
  <c r="C11" i="11"/>
  <c r="C9" i="11"/>
  <c r="B10" i="11"/>
  <c r="B11" i="11"/>
  <c r="B9" i="11"/>
  <c r="E66" i="5"/>
  <c r="F14" i="5" s="1"/>
  <c r="E61" i="5"/>
  <c r="E59" i="5"/>
  <c r="E58" i="5"/>
  <c r="E49" i="5"/>
  <c r="E48" i="5"/>
  <c r="F48" i="5" s="1"/>
  <c r="G66" i="5"/>
  <c r="G49" i="5"/>
  <c r="G58" i="5"/>
  <c r="G59" i="5"/>
  <c r="G61" i="5"/>
  <c r="G48" i="5"/>
  <c r="G47" i="5" s="1"/>
  <c r="G17" i="5"/>
  <c r="G16" i="5"/>
  <c r="G12" i="5" s="1"/>
  <c r="G14" i="5"/>
  <c r="E14" i="5"/>
  <c r="E16" i="5"/>
  <c r="E17" i="5"/>
  <c r="F19" i="5"/>
  <c r="F25" i="5"/>
  <c r="F31" i="5"/>
  <c r="F37" i="5"/>
  <c r="G9" i="5"/>
  <c r="G7" i="5" s="1"/>
  <c r="G8" i="5"/>
  <c r="E9" i="5"/>
  <c r="F9" i="5" s="1"/>
  <c r="E8" i="5"/>
  <c r="F11" i="5"/>
  <c r="F13" i="5"/>
  <c r="F15" i="5"/>
  <c r="F18" i="5"/>
  <c r="F20" i="5"/>
  <c r="F22" i="5"/>
  <c r="F26" i="5"/>
  <c r="F27" i="5"/>
  <c r="F29" i="5"/>
  <c r="F33" i="5"/>
  <c r="F34" i="5"/>
  <c r="F36" i="5"/>
  <c r="F40" i="5"/>
  <c r="F41" i="5"/>
  <c r="F43" i="5"/>
  <c r="F46" i="5"/>
  <c r="F50" i="5"/>
  <c r="F52" i="5"/>
  <c r="F55" i="5"/>
  <c r="F56" i="5"/>
  <c r="F58" i="5"/>
  <c r="F61" i="5"/>
  <c r="F62" i="5"/>
  <c r="F64" i="5"/>
  <c r="G41" i="5"/>
  <c r="E41" i="5"/>
  <c r="E12" i="5"/>
  <c r="F12" i="5" s="1"/>
  <c r="C66" i="5"/>
  <c r="B66" i="5"/>
  <c r="B49" i="5"/>
  <c r="C49" i="5"/>
  <c r="B58" i="5"/>
  <c r="C58" i="5"/>
  <c r="B59" i="5"/>
  <c r="C59" i="5"/>
  <c r="B61" i="5"/>
  <c r="C61" i="5"/>
  <c r="C48" i="5"/>
  <c r="B48" i="5"/>
  <c r="B14" i="5"/>
  <c r="C14" i="5"/>
  <c r="B17" i="5"/>
  <c r="C17" i="5"/>
  <c r="C9" i="5"/>
  <c r="C8" i="5"/>
  <c r="B9" i="5"/>
  <c r="B8" i="5"/>
  <c r="B8" i="28"/>
  <c r="B7" i="28"/>
  <c r="B10" i="28"/>
  <c r="B9" i="28"/>
  <c r="D8" i="27"/>
  <c r="F60" i="5" l="1"/>
  <c r="F54" i="5"/>
  <c r="F45" i="5"/>
  <c r="F39" i="5"/>
  <c r="F32" i="5"/>
  <c r="F24" i="5"/>
  <c r="F17" i="5"/>
  <c r="F8" i="5"/>
  <c r="F49" i="5"/>
  <c r="F66" i="5"/>
  <c r="F59" i="5"/>
  <c r="F53" i="5"/>
  <c r="F44" i="5"/>
  <c r="F38" i="5"/>
  <c r="F30" i="5"/>
  <c r="F23" i="5"/>
  <c r="F16" i="5"/>
  <c r="F10" i="5"/>
  <c r="F63" i="5"/>
  <c r="F57" i="5"/>
  <c r="F51" i="5"/>
  <c r="F42" i="5"/>
  <c r="F35" i="5"/>
  <c r="F28" i="5"/>
  <c r="F21" i="5"/>
  <c r="E47" i="5"/>
  <c r="F47" i="5" s="1"/>
  <c r="E7" i="5"/>
  <c r="F7" i="5" s="1"/>
  <c r="G67" i="1" l="1"/>
  <c r="G65" i="1"/>
  <c r="G64" i="1"/>
  <c r="G61" i="1"/>
  <c r="G62" i="1"/>
  <c r="G60" i="1"/>
  <c r="G49" i="1"/>
  <c r="G50" i="1"/>
  <c r="G51" i="1"/>
  <c r="G52" i="1"/>
  <c r="G53" i="1"/>
  <c r="G54" i="1"/>
  <c r="G55" i="1"/>
  <c r="G56" i="1"/>
  <c r="G57" i="1"/>
  <c r="G58" i="1"/>
  <c r="G48" i="1"/>
  <c r="G43" i="1"/>
  <c r="G42" i="1"/>
  <c r="G41" i="1" s="1"/>
  <c r="G39" i="1"/>
  <c r="G34" i="1"/>
  <c r="G33" i="1"/>
  <c r="G26" i="1"/>
  <c r="G27" i="1"/>
  <c r="G28" i="1"/>
  <c r="G29" i="1"/>
  <c r="G25" i="1"/>
  <c r="G21" i="1"/>
  <c r="G14" i="1"/>
  <c r="G15" i="1"/>
  <c r="G16" i="1"/>
  <c r="G17" i="1"/>
  <c r="G18" i="1"/>
  <c r="G19" i="1"/>
  <c r="G13" i="1"/>
  <c r="E47" i="1"/>
  <c r="E41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E43" i="1"/>
  <c r="E42" i="1"/>
  <c r="E14" i="1"/>
  <c r="E15" i="1"/>
  <c r="E16" i="1"/>
  <c r="E17" i="1"/>
  <c r="E18" i="1"/>
  <c r="E19" i="1"/>
  <c r="E12" i="1" s="1"/>
  <c r="E21" i="1"/>
  <c r="E25" i="1"/>
  <c r="E26" i="1"/>
  <c r="E27" i="1"/>
  <c r="E28" i="1"/>
  <c r="E29" i="1"/>
  <c r="E33" i="1"/>
  <c r="E34" i="1"/>
  <c r="E39" i="1"/>
  <c r="E13" i="1"/>
  <c r="G9" i="1"/>
  <c r="G10" i="1"/>
  <c r="G8" i="1"/>
  <c r="E9" i="1"/>
  <c r="E10" i="1"/>
  <c r="E8" i="1"/>
  <c r="C67" i="1"/>
  <c r="C49" i="1"/>
  <c r="C50" i="1"/>
  <c r="C51" i="1"/>
  <c r="C52" i="1"/>
  <c r="C53" i="1"/>
  <c r="C54" i="1"/>
  <c r="C55" i="1"/>
  <c r="C56" i="1"/>
  <c r="C57" i="1"/>
  <c r="C58" i="1"/>
  <c r="C60" i="1"/>
  <c r="C61" i="1"/>
  <c r="C62" i="1"/>
  <c r="C64" i="1"/>
  <c r="C65" i="1"/>
  <c r="C4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C43" i="1"/>
  <c r="C42" i="1"/>
  <c r="B43" i="1"/>
  <c r="B42" i="1"/>
  <c r="C14" i="1"/>
  <c r="C15" i="1"/>
  <c r="C16" i="1"/>
  <c r="C17" i="1"/>
  <c r="C18" i="1"/>
  <c r="C19" i="1"/>
  <c r="C21" i="1"/>
  <c r="C25" i="1"/>
  <c r="C26" i="1"/>
  <c r="C27" i="1"/>
  <c r="C28" i="1"/>
  <c r="C29" i="1"/>
  <c r="C33" i="1"/>
  <c r="C34" i="1"/>
  <c r="C39" i="1"/>
  <c r="C13" i="1"/>
  <c r="B14" i="1"/>
  <c r="B15" i="1"/>
  <c r="B16" i="1"/>
  <c r="B17" i="1"/>
  <c r="B18" i="1"/>
  <c r="B19" i="1"/>
  <c r="B21" i="1"/>
  <c r="B25" i="1"/>
  <c r="B26" i="1"/>
  <c r="B27" i="1"/>
  <c r="B28" i="1"/>
  <c r="B29" i="1"/>
  <c r="B33" i="1"/>
  <c r="B34" i="1"/>
  <c r="B39" i="1"/>
  <c r="B13" i="1"/>
  <c r="C9" i="1"/>
  <c r="C10" i="1"/>
  <c r="C8" i="1"/>
  <c r="B9" i="1"/>
  <c r="B10" i="1"/>
  <c r="B8" i="1"/>
  <c r="E165" i="30"/>
  <c r="M67" i="22"/>
  <c r="L67" i="22"/>
  <c r="I20" i="22"/>
  <c r="I17" i="22"/>
  <c r="G67" i="22"/>
  <c r="F67" i="22"/>
  <c r="G28" i="26"/>
  <c r="G42" i="11"/>
  <c r="E48" i="11"/>
  <c r="E42" i="11"/>
  <c r="E13" i="11"/>
  <c r="G8" i="11"/>
  <c r="E8" i="11"/>
  <c r="G65" i="5"/>
  <c r="E65" i="5"/>
  <c r="F65" i="5" s="1"/>
  <c r="G47" i="1" l="1"/>
  <c r="G12" i="1"/>
  <c r="E66" i="1"/>
  <c r="F66" i="1" s="1"/>
  <c r="F65" i="1"/>
  <c r="F43" i="1"/>
  <c r="F26" i="1"/>
  <c r="F56" i="1"/>
  <c r="F32" i="1"/>
  <c r="F62" i="1"/>
  <c r="F48" i="1"/>
  <c r="F30" i="1"/>
  <c r="F12" i="1"/>
  <c r="F51" i="1"/>
  <c r="F61" i="1"/>
  <c r="F54" i="1"/>
  <c r="F47" i="1"/>
  <c r="F36" i="1"/>
  <c r="F29" i="1"/>
  <c r="F22" i="1"/>
  <c r="F15" i="1"/>
  <c r="F8" i="1"/>
  <c r="F13" i="1"/>
  <c r="F42" i="1"/>
  <c r="F58" i="1"/>
  <c r="F33" i="1"/>
  <c r="F7" i="1"/>
  <c r="F64" i="1"/>
  <c r="F39" i="1"/>
  <c r="F24" i="1"/>
  <c r="F55" i="1"/>
  <c r="F23" i="1"/>
  <c r="F37" i="1"/>
  <c r="F25" i="1"/>
  <c r="F57" i="1"/>
  <c r="F60" i="1"/>
  <c r="F53" i="1"/>
  <c r="F45" i="1"/>
  <c r="F35" i="1"/>
  <c r="F28" i="1"/>
  <c r="F21" i="1"/>
  <c r="F14" i="1"/>
  <c r="F10" i="1"/>
  <c r="F50" i="1"/>
  <c r="F18" i="1"/>
  <c r="F49" i="1"/>
  <c r="F17" i="1"/>
  <c r="F38" i="1"/>
  <c r="F16" i="1"/>
  <c r="F31" i="1"/>
  <c r="F63" i="1"/>
  <c r="F67" i="1"/>
  <c r="F59" i="1"/>
  <c r="F52" i="1"/>
  <c r="F44" i="1"/>
  <c r="F34" i="1"/>
  <c r="F27" i="1"/>
  <c r="F20" i="1"/>
  <c r="F9" i="1"/>
  <c r="F41" i="1"/>
  <c r="F19" i="1"/>
  <c r="E63" i="11"/>
  <c r="G48" i="11"/>
  <c r="G13" i="11"/>
  <c r="D72" i="1"/>
  <c r="J120" i="30"/>
  <c r="G7" i="27"/>
  <c r="C12" i="1"/>
  <c r="B63" i="23"/>
  <c r="E68" i="10"/>
  <c r="G66" i="1" l="1"/>
  <c r="B13" i="11"/>
  <c r="C13" i="11"/>
  <c r="C27" i="9"/>
  <c r="F49" i="11" l="1"/>
  <c r="H49" i="11"/>
  <c r="G45" i="9"/>
  <c r="G44" i="9"/>
  <c r="G43" i="9"/>
  <c r="G42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4" i="9"/>
  <c r="G10" i="9"/>
  <c r="G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10" i="5"/>
  <c r="C14" i="22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G50" i="9" s="1"/>
  <c r="D51" i="9"/>
  <c r="G51" i="9" s="1"/>
  <c r="D52" i="9"/>
  <c r="G52" i="9" s="1"/>
  <c r="D53" i="9"/>
  <c r="G53" i="9" s="1"/>
  <c r="D54" i="9"/>
  <c r="G54" i="9" s="1"/>
  <c r="D55" i="9"/>
  <c r="G55" i="9" s="1"/>
  <c r="E55" i="10" s="1"/>
  <c r="D57" i="9"/>
  <c r="B57" i="10"/>
  <c r="D58" i="9"/>
  <c r="D59" i="9"/>
  <c r="D60" i="9"/>
  <c r="G60" i="9" s="1"/>
  <c r="D61" i="9"/>
  <c r="G61" i="9" s="1"/>
  <c r="D62" i="9"/>
  <c r="G62" i="9" s="1"/>
  <c r="D63" i="9"/>
  <c r="G63" i="9" s="1"/>
  <c r="D64" i="9"/>
  <c r="G64" i="9" s="1"/>
  <c r="D65" i="9"/>
  <c r="G65" i="9" s="1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61" i="9" l="1"/>
  <c r="I50" i="9"/>
  <c r="I60" i="9"/>
  <c r="B51" i="10"/>
  <c r="H51" i="10" s="1"/>
  <c r="I63" i="9"/>
  <c r="I55" i="9"/>
  <c r="I28" i="9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E47" i="9" l="1"/>
  <c r="G48" i="9"/>
  <c r="G47" i="9" s="1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I53" i="12"/>
  <c r="I55" i="12"/>
  <c r="I57" i="12"/>
  <c r="I59" i="12"/>
  <c r="I61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7" i="27"/>
  <c r="F40" i="26"/>
  <c r="E40" i="26"/>
  <c r="C40" i="26"/>
  <c r="B40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H48" i="10"/>
  <c r="J48" i="10" s="1"/>
  <c r="H49" i="12"/>
  <c r="J49" i="12" s="1"/>
  <c r="D47" i="5"/>
  <c r="C48" i="11"/>
  <c r="G19" i="25"/>
  <c r="X38" i="18"/>
  <c r="I47" i="1"/>
  <c r="B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6" i="12" l="1"/>
  <c r="H51" i="12"/>
  <c r="J51" i="12" s="1"/>
  <c r="D51" i="12"/>
  <c r="H45" i="12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T36" i="18"/>
  <c r="T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H64" i="1"/>
  <c r="H63" i="1"/>
  <c r="H62" i="1"/>
  <c r="H61" i="1"/>
  <c r="H60" i="1"/>
  <c r="H45" i="1"/>
  <c r="H44" i="1"/>
  <c r="H43" i="1"/>
  <c r="H42" i="1"/>
  <c r="B41" i="1"/>
  <c r="B7" i="1"/>
  <c r="C7" i="1"/>
  <c r="D41" i="5" l="1"/>
  <c r="B65" i="5"/>
  <c r="D12" i="5"/>
  <c r="J45" i="2"/>
  <c r="D7" i="5"/>
  <c r="D7" i="1"/>
  <c r="I7" i="1"/>
  <c r="G41" i="10"/>
  <c r="C41" i="9"/>
  <c r="B41" i="10"/>
  <c r="B7" i="9"/>
  <c r="B41" i="9"/>
  <c r="D41" i="9" s="1"/>
  <c r="E41" i="9"/>
  <c r="E41" i="10"/>
  <c r="G41" i="9"/>
  <c r="C65" i="5"/>
  <c r="H59" i="1"/>
  <c r="I72" i="1"/>
  <c r="E7" i="10"/>
  <c r="H7" i="5"/>
  <c r="H43" i="11"/>
  <c r="B12" i="9"/>
  <c r="G12" i="9"/>
  <c r="H12" i="9" s="1"/>
  <c r="H72" i="2"/>
  <c r="H12" i="1"/>
  <c r="B12" i="1"/>
  <c r="C41" i="1"/>
  <c r="D41" i="1" s="1"/>
  <c r="G72" i="2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D7" i="9" l="1"/>
  <c r="H41" i="9"/>
  <c r="G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B66" i="1"/>
  <c r="D12" i="1"/>
  <c r="I12" i="1"/>
  <c r="I41" i="1"/>
  <c r="H47" i="1"/>
  <c r="H47" i="5"/>
  <c r="J72" i="2"/>
  <c r="E63" i="12"/>
  <c r="H66" i="1"/>
  <c r="C67" i="9"/>
  <c r="B67" i="9"/>
  <c r="C66" i="1"/>
  <c r="C63" i="11"/>
  <c r="B66" i="2"/>
  <c r="B63" i="12"/>
  <c r="H13" i="11"/>
  <c r="F48" i="11"/>
  <c r="H12" i="5"/>
  <c r="E66" i="2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F67" i="9"/>
  <c r="I63" i="11"/>
  <c r="H66" i="2"/>
  <c r="D67" i="9"/>
  <c r="I66" i="1"/>
  <c r="D66" i="1"/>
  <c r="F63" i="11"/>
  <c r="H63" i="11"/>
  <c r="H65" i="5"/>
  <c r="J63" i="12" l="1"/>
  <c r="J66" i="2"/>
  <c r="E47" i="10"/>
  <c r="G47" i="10" s="1"/>
  <c r="I67" i="9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<sst xmlns="http://schemas.openxmlformats.org/spreadsheetml/2006/main" count="1793" uniqueCount="521">
  <si>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</si>
  <si>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</si>
  <si>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</si>
  <si>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</si>
  <si>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</si>
  <si>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</si>
  <si>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</si>
  <si>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</si>
  <si>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</si>
  <si>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</si>
  <si>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</si>
  <si>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</si>
  <si>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</si>
  <si>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</si>
  <si>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</si>
  <si>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</si>
  <si>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</si>
  <si>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</si>
  <si>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</si>
  <si>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</si>
  <si>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</si>
  <si>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</si>
  <si>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</si>
  <si>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</si>
  <si>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</si>
  <si>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</si>
  <si>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</si>
  <si>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</si>
  <si>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</si>
  <si>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</si>
  <si>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</si>
  <si>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</si>
  <si>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</si>
  <si>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</si>
  <si>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</si>
  <si>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</si>
  <si>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</si>
  <si>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</si>
  <si>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</si>
  <si>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</si>
  <si>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</si>
  <si>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</si>
  <si>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</si>
  <si>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</si>
  <si>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</si>
  <si>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</si>
  <si>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</si>
  <si>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</si>
  <si>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</si>
  <si>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</si>
  <si>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</si>
  <si>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</si>
  <si>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</si>
  <si>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</si>
  <si>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</si>
  <si>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</si>
  <si>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</si>
  <si>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</si>
  <si>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</si>
  <si>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</si>
  <si>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</si>
  <si>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</si>
  <si>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</si>
  <si>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</si>
  <si>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</si>
  <si>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</si>
  <si>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</si>
  <si>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</si>
  <si>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</si>
  <si>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</si>
  <si>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</si>
  <si>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</si>
  <si>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</si>
  <si>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</si>
  <si>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</si>
  <si>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</si>
  <si>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</si>
  <si>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</si>
  <si>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</si>
  <si>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</si>
  <si>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</si>
  <si>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</si>
  <si>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</si>
  <si>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</si>
  <si>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</si>
  <si>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</si>
  <si>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</si>
  <si>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</si>
  <si>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</si>
  <si>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</si>
  <si>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</si>
  <si>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</si>
  <si>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</si>
  <si>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</si>
  <si>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</si>
  <si>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</si>
  <si>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</si>
  <si>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</si>
  <si>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</si>
  <si>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</si>
  <si>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</si>
  <si>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</si>
  <si>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</si>
  <si>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</si>
  <si>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</si>
  <si>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</si>
  <si>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</si>
  <si>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</si>
  <si>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</si>
  <si>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</si>
  <si>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</si>
  <si>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</si>
  <si>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</si>
  <si>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</si>
  <si>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</si>
  <si>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</si>
  <si>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</si>
  <si>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</si>
  <si>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</si>
  <si>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</si>
  <si>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</si>
  <si>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</si>
  <si>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</si>
  <si>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</si>
  <si>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</si>
  <si>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</si>
  <si>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</si>
  <si>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</si>
  <si>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</si>
  <si>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</si>
  <si>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</si>
  <si>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</si>
  <si>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</si>
  <si>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</si>
  <si>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</si>
  <si>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</si>
  <si>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</si>
  <si>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</si>
  <si>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</si>
  <si>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</si>
  <si>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</si>
  <si>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</si>
  <si>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</si>
  <si>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</si>
  <si>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</si>
  <si>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</si>
  <si>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</si>
  <si>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</si>
  <si>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</si>
  <si>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</si>
  <si>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</si>
  <si>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</si>
  <si>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</si>
  <si>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</si>
  <si>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</si>
  <si>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</si>
  <si>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</si>
  <si>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</si>
  <si>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</si>
  <si>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</si>
  <si>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</si>
  <si>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</si>
  <si>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</si>
  <si>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</si>
  <si>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</si>
  <si>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</si>
  <si>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</si>
  <si>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</si>
  <si>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</si>
  <si>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</si>
  <si>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</si>
  <si>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</si>
  <si>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</si>
  <si>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</si>
  <si>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</si>
  <si>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</si>
  <si>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</si>
  <si>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</si>
  <si>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</si>
  <si>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</si>
  <si>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</si>
  <si>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</si>
  <si>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</si>
  <si>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</si>
  <si>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</si>
  <si>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</si>
  <si>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</si>
  <si>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</si>
  <si>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</si>
  <si>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</si>
  <si>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</si>
  <si>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</si>
  <si>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</si>
  <si>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</si>
  <si>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</si>
  <si>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</si>
  <si>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</si>
  <si>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</si>
  <si>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</si>
  <si>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</si>
  <si>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</si>
  <si>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</si>
  <si>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</si>
  <si>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</si>
  <si>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</si>
  <si>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</si>
  <si>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</si>
  <si>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</si>
  <si>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</si>
  <si>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</si>
  <si>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</si>
  <si>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</si>
  <si>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</si>
  <si>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</si>
  <si>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</si>
  <si>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</si>
  <si>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</si>
  <si>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</si>
  <si>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</si>
  <si>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</si>
  <si>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</si>
  <si>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</si>
  <si>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</si>
  <si>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</si>
  <si>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</si>
  <si>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</si>
  <si>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</si>
  <si>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</si>
  <si>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</si>
  <si>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</si>
  <si>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</si>
  <si>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</si>
  <si>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</si>
  <si>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</si>
  <si>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</si>
  <si>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</si>
  <si>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</si>
  <si>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</si>
  <si>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</si>
  <si>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</si>
  <si>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</si>
  <si>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</si>
  <si>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</si>
  <si>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</si>
  <si>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</si>
  <si>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</si>
  <si>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</si>
  <si>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</si>
  <si>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</si>
  <si>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</si>
  <si>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</si>
  <si>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</si>
  <si>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</si>
  <si>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</si>
  <si>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</si>
  <si>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</si>
  <si>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</si>
  <si>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</si>
  <si>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</si>
  <si>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</si>
  <si>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</si>
  <si>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</si>
  <si>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</si>
  <si>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</si>
  <si>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</si>
  <si>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</si>
  <si>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</si>
  <si>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</si>
  <si>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</si>
  <si>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</si>
  <si>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</si>
  <si>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</si>
  <si>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</si>
  <si>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</si>
  <si>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</si>
  <si>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</si>
  <si>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</si>
  <si>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</si>
  <si>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</si>
  <si>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</si>
  <si>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</si>
  <si>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</si>
  <si>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</si>
  <si>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</si>
  <si>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</si>
  <si>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</si>
  <si>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</si>
  <si>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</si>
  <si>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</si>
  <si>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</si>
  <si>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</si>
  <si>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</si>
  <si>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</si>
  <si>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</si>
  <si>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</si>
  <si>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</si>
  <si>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</si>
  <si>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</si>
  <si>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</si>
  <si>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</si>
  <si>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</si>
  <si>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</si>
  <si>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</si>
  <si>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</si>
  <si>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</si>
  <si>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</si>
  <si>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</si>
  <si>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</si>
  <si>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</si>
  <si>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</si>
  <si>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</si>
  <si>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</si>
  <si>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</si>
  <si>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</si>
  <si>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</si>
  <si>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</si>
  <si>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</si>
  <si>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</si>
  <si>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</si>
  <si>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</si>
  <si>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</si>
  <si>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</si>
  <si>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</si>
  <si>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</si>
  <si>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</si>
  <si>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</si>
  <si>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</si>
  <si>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</si>
  <si>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</si>
  <si>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</si>
  <si>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</si>
  <si>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</si>
  <si>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</si>
  <si>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</si>
  <si>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</si>
  <si>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</si>
  <si>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</si>
  <si>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</si>
  <si>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</si>
  <si>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</si>
  <si>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</si>
  <si>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</si>
  <si>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</si>
  <si>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</si>
  <si>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</si>
  <si>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</si>
  <si>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</si>
  <si>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</si>
  <si>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</si>
  <si>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</si>
  <si>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</si>
  <si>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</si>
  <si>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</si>
  <si>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</si>
  <si>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</si>
  <si>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</si>
  <si>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</si>
  <si>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</si>
  <si>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</si>
  <si>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</si>
  <si>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</si>
  <si>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</si>
  <si>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</si>
  <si>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</si>
  <si>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</si>
  <si>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</si>
  <si>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</si>
  <si>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</si>
  <si>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</si>
  <si>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</si>
  <si>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</si>
  <si>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</si>
  <si>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</si>
  <si>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</si>
  <si>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</si>
  <si>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</si>
  <si>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</si>
  <si>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</si>
  <si>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</si>
  <si>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</si>
  <si>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</si>
  <si>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</si>
  <si>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</si>
  <si>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</si>
  <si>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</si>
  <si>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</si>
  <si>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</si>
  <si>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</si>
  <si>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</si>
  <si>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</si>
  <si>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</si>
  <si>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</si>
  <si>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</si>
  <si>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</si>
  <si>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</si>
  <si>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</si>
  <si>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</si>
  <si>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</si>
  <si>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</si>
  <si>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</si>
  <si>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</si>
  <si>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</si>
  <si>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</si>
  <si>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</si>
  <si>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</si>
  <si>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</si>
  <si>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</si>
  <si>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</si>
  <si>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</si>
  <si>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</si>
  <si>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</si>
  <si>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</si>
  <si>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</si>
  <si>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</si>
  <si>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</si>
  <si>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t>1</t>
    </r>
    <r>
      <rPr>
        <sz val="12"/>
        <rFont val="新細明體"/>
        <family val="1"/>
        <charset val="136"/>
      </rPr>
      <t>月數量</t>
    </r>
    <phoneticPr fontId="4" type="noConversion"/>
  </si>
  <si>
    <r>
      <t>1</t>
    </r>
    <r>
      <rPr>
        <sz val="12"/>
        <rFont val="新細明體"/>
        <family val="1"/>
        <charset val="136"/>
      </rPr>
      <t>月金額</t>
    </r>
    <phoneticPr fontId="4" type="noConversion"/>
  </si>
  <si>
    <r>
      <t>1-1</t>
    </r>
    <r>
      <rPr>
        <sz val="12"/>
        <rFont val="新細明體"/>
        <family val="1"/>
        <charset val="136"/>
      </rPr>
      <t>月數量</t>
    </r>
    <phoneticPr fontId="4" type="noConversion"/>
  </si>
  <si>
    <r>
      <t>1-1</t>
    </r>
    <r>
      <rPr>
        <sz val="12"/>
        <rFont val="新細明體"/>
        <family val="1"/>
        <charset val="136"/>
      </rPr>
      <t>月金額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</si>
  <si>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</si>
  <si>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</si>
  <si>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</si>
  <si>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</si>
  <si>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</si>
  <si>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</si>
  <si>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</si>
  <si>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</si>
  <si>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</si>
  <si>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</si>
  <si>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</si>
  <si>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</si>
  <si>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</si>
  <si>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</si>
  <si>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</si>
  <si>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</si>
  <si>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</si>
  <si>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</si>
  <si>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</si>
  <si>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</si>
  <si>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</si>
  <si>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</si>
  <si>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</si>
  <si>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資料來源: 經濟部國貿局,臺灣自行車輸出業同業公會整理</t>
    <phoneticPr fontId="4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</si>
  <si>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</si>
  <si>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</si>
  <si>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</si>
  <si>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</si>
  <si>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</si>
  <si>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</si>
  <si>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</si>
  <si>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</si>
  <si>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</si>
  <si>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</si>
  <si>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</si>
  <si>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</si>
  <si>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</si>
  <si>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</si>
  <si>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香港</t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</si>
  <si>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Times New Roman"/>
        <family val="1"/>
      </rPr>
      <t>(85121010001)</t>
    </r>
    <phoneticPr fontId="6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</si>
  <si>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</si>
  <si>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</si>
  <si>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</si>
  <si>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</si>
  <si>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</si>
  <si>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</si>
  <si>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增/減</t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</si>
  <si>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</si>
  <si>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</si>
  <si>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</si>
  <si>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</si>
  <si>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</si>
  <si>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</si>
  <si>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</si>
  <si>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</si>
  <si>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t>2026年</t>
    <phoneticPr fontId="3" type="noConversion"/>
  </si>
  <si>
    <r>
      <t>2025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</si>
  <si>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2026-2025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</si>
  <si>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2026-2025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</si>
  <si>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phoneticPr fontId="4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</si>
  <si>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</si>
  <si>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r>
      <rPr>
        <sz val="12"/>
        <rFont val="華康仿宋體"/>
        <family val="3"/>
        <charset val="136"/>
      </rPr>
      <t>1</t>
    </r>
    <r>
      <rPr>
        <sz val="12"/>
        <rFont val="新細明體"/>
        <family val="1"/>
        <charset val="136"/>
      </rPr>
      <t>月</t>
    </r>
    <phoneticPr fontId="4" type="noConversion"/>
  </si>
  <si>
    <t>2026年</t>
    <phoneticPr fontId="4" type="noConversion"/>
  </si>
  <si>
    <t>數量(kg)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</si>
  <si>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2026 -2025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</si>
  <si>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2026</t>
    </r>
    <r>
      <rPr>
        <sz val="12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</si>
  <si>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</si>
  <si>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t>2026年1-2月台灣自行車主要出口國家統計</t>
    <phoneticPr fontId="4" type="noConversion"/>
  </si>
  <si>
    <r>
      <t>2026</t>
    </r>
    <r>
      <rPr>
        <sz val="12"/>
        <rFont val="新細明體"/>
        <family val="1"/>
        <charset val="136"/>
      </rPr>
      <t>年2月</t>
    </r>
    <phoneticPr fontId="4" type="noConversion"/>
  </si>
  <si>
    <r>
      <t>2</t>
    </r>
    <r>
      <rPr>
        <sz val="12"/>
        <rFont val="新細明體"/>
        <family val="1"/>
        <charset val="136"/>
      </rPr>
      <t>月數量</t>
    </r>
    <phoneticPr fontId="4" type="noConversion"/>
  </si>
  <si>
    <r>
      <t>2</t>
    </r>
    <r>
      <rPr>
        <sz val="12"/>
        <rFont val="新細明體"/>
        <family val="1"/>
        <charset val="136"/>
      </rPr>
      <t>月金額</t>
    </r>
    <phoneticPr fontId="4" type="noConversion"/>
  </si>
  <si>
    <r>
      <t>1-2</t>
    </r>
    <r>
      <rPr>
        <sz val="12"/>
        <rFont val="新細明體"/>
        <family val="1"/>
        <charset val="136"/>
      </rPr>
      <t>月數量</t>
    </r>
    <phoneticPr fontId="4" type="noConversion"/>
  </si>
  <si>
    <r>
      <t>1-2</t>
    </r>
    <r>
      <rPr>
        <sz val="12"/>
        <rFont val="新細明體"/>
        <family val="1"/>
        <charset val="136"/>
      </rPr>
      <t>月金額</t>
    </r>
    <phoneticPr fontId="4" type="noConversion"/>
  </si>
  <si>
    <t>平均單價(US$)</t>
  </si>
  <si>
    <r>
      <t>2026/2025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</si>
  <si>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t>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</si>
  <si>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</si>
  <si>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</si>
  <si>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2025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</si>
  <si>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年2月台灣自行車出口地區別統計</t>
    </r>
    <phoneticPr fontId="3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</si>
  <si>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</si>
  <si>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1-2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</si>
  <si>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</si>
  <si>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r>
      <t>2025</t>
    </r>
    <r>
      <rPr>
        <sz val="12"/>
        <rFont val="新細明體"/>
        <family val="1"/>
        <charset val="136"/>
      </rPr>
      <t>年2月</t>
    </r>
    <phoneticPr fontId="4" type="noConversion"/>
  </si>
  <si>
    <t xml:space="preserve">                                                '2026/2025年1-2月台灣電動自行車主要出口國家比較        </t>
    <phoneticPr fontId="4" type="noConversion"/>
  </si>
  <si>
    <t>2025年1-2月台灣折疊式自行車主要出口國家統計</t>
    <phoneticPr fontId="4" type="noConversion"/>
  </si>
  <si>
    <t>平均單價</t>
    <phoneticPr fontId="3" type="noConversion"/>
  </si>
  <si>
    <r>
      <t xml:space="preserve">     2026/2025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</si>
  <si>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</si>
  <si>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2025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</si>
  <si>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2026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</si>
  <si>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2月出口量</t>
    <phoneticPr fontId="4" type="noConversion"/>
  </si>
  <si>
    <t>2月出口金額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</si>
  <si>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</si>
  <si>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</si>
  <si>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2月進口量</t>
    <phoneticPr fontId="4" type="noConversion"/>
  </si>
  <si>
    <t>2月進口金額</t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</si>
  <si>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</si>
  <si>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</si>
  <si>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2026/2025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1-2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</si>
  <si>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2026/2025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1-2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</si>
  <si>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2026</t>
    </r>
    <r>
      <rPr>
        <sz val="16"/>
        <rFont val="新細明體"/>
        <family val="1"/>
        <charset val="136"/>
      </rPr>
      <t>年2月台灣自行車主要零件進出口統計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</si>
</sst>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b/>
      <sz val="14"/>
      <name val="華康仿宋體"/>
      <family val="1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細明體"/>
      <family val="3"/>
      <charset val="136"/>
    </font>
    <font>
      <sz val="12"/>
      <color indexed="12"/>
      <name val="華康仿宋體"/>
      <family val="1"/>
      <charset val="136"/>
    </font>
    <font>
      <b/>
      <sz val="16"/>
      <name val="華康仿宋體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7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3" fillId="0" borderId="10" xfId="0" applyNumberFormat="1" applyFont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1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2" fillId="0" borderId="0" xfId="0" applyFont="1" applyAlignment="1"/>
    <xf numFmtId="0" fontId="83" fillId="2" borderId="2" xfId="0" applyFont="1" applyFill="1" applyBorder="1" applyAlignment="1"/>
    <xf numFmtId="0" fontId="83" fillId="0" borderId="4" xfId="0" quotePrefix="1" applyFont="1" applyBorder="1" applyAlignment="1">
      <alignment horizontal="center"/>
    </xf>
    <xf numFmtId="0" fontId="83" fillId="0" borderId="9" xfId="0" quotePrefix="1" applyFont="1" applyBorder="1" applyAlignment="1">
      <alignment horizontal="center"/>
    </xf>
    <xf numFmtId="0" fontId="82" fillId="2" borderId="11" xfId="0" applyFont="1" applyFill="1" applyBorder="1" applyAlignment="1"/>
    <xf numFmtId="176" fontId="82" fillId="2" borderId="9" xfId="0" applyNumberFormat="1" applyFont="1" applyFill="1" applyBorder="1" applyAlignment="1"/>
    <xf numFmtId="176" fontId="82" fillId="0" borderId="9" xfId="0" applyNumberFormat="1" applyFont="1" applyBorder="1" applyAlignment="1"/>
    <xf numFmtId="176" fontId="82" fillId="0" borderId="10" xfId="0" applyNumberFormat="1" applyFont="1" applyBorder="1" applyAlignment="1"/>
    <xf numFmtId="176" fontId="82" fillId="2" borderId="10" xfId="0" applyNumberFormat="1" applyFont="1" applyFill="1" applyBorder="1" applyAlignment="1"/>
    <xf numFmtId="176" fontId="82" fillId="2" borderId="0" xfId="0" applyNumberFormat="1" applyFont="1" applyFill="1" applyAlignment="1"/>
    <xf numFmtId="0" fontId="83" fillId="0" borderId="0" xfId="0" applyFont="1" applyAlignment="1"/>
    <xf numFmtId="0" fontId="84" fillId="0" borderId="0" xfId="0" applyFont="1" applyAlignment="1">
      <alignment horizontal="centerContinuous"/>
    </xf>
    <xf numFmtId="0" fontId="85" fillId="2" borderId="1" xfId="0" applyFont="1" applyFill="1" applyBorder="1" applyAlignment="1"/>
    <xf numFmtId="176" fontId="54" fillId="5" borderId="10" xfId="4" applyNumberFormat="1" applyFont="1" applyFill="1" applyBorder="1"/>
    <xf numFmtId="0" fontId="88" fillId="0" borderId="0" xfId="0" applyFont="1">
      <alignment vertical="center"/>
    </xf>
    <xf numFmtId="3" fontId="88" fillId="0" borderId="0" xfId="0" applyNumberFormat="1" applyFont="1">
      <alignment vertical="center"/>
    </xf>
    <xf numFmtId="0" fontId="90" fillId="0" borderId="0" xfId="0" applyFont="1" applyAlignment="1"/>
    <xf numFmtId="0" fontId="64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4" fillId="0" borderId="0" xfId="0" applyFont="1" applyAlignment="1">
      <alignment horizontal="left"/>
    </xf>
    <xf numFmtId="0" fontId="54" fillId="0" borderId="10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93" fillId="0" borderId="10" xfId="0" applyFont="1" applyBorder="1" applyAlignment="1">
      <alignment horizontal="center"/>
    </xf>
    <xf numFmtId="178" fontId="64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5" fillId="0" borderId="3" xfId="2" applyNumberFormat="1" applyFont="1" applyFill="1" applyBorder="1" applyAlignment="1"/>
    <xf numFmtId="181" fontId="23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3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0" fontId="8" fillId="0" borderId="10" xfId="0" applyFont="1" applyBorder="1" applyAlignment="1">
      <alignment horizontal="right" vertical="center"/>
    </xf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13" fillId="2" borderId="2" xfId="0" applyNumberFormat="1" applyFont="1" applyFill="1" applyBorder="1" applyAlignment="1"/>
    <xf numFmtId="182" fontId="13" fillId="2" borderId="13" xfId="0" applyNumberFormat="1" applyFont="1" applyFill="1" applyBorder="1" applyAlignment="1"/>
    <xf numFmtId="182" fontId="16" fillId="0" borderId="8" xfId="0" quotePrefix="1" applyNumberFormat="1" applyFont="1" applyBorder="1" applyAlignment="1">
      <alignment horizontal="center"/>
    </xf>
    <xf numFmtId="182" fontId="16" fillId="0" borderId="9" xfId="0" applyNumberFormat="1" applyFont="1" applyBorder="1" applyAlignment="1">
      <alignment horizontal="center"/>
    </xf>
    <xf numFmtId="182" fontId="14" fillId="2" borderId="0" xfId="0" applyNumberFormat="1" applyFont="1" applyFill="1" applyAlignment="1"/>
    <xf numFmtId="0" fontId="64" fillId="2" borderId="15" xfId="0" applyFont="1" applyFill="1" applyBorder="1" applyAlignment="1">
      <alignment horizontal="center"/>
    </xf>
    <xf numFmtId="0" fontId="94" fillId="0" borderId="0" xfId="0" applyFont="1" applyAlignment="1"/>
    <xf numFmtId="0" fontId="94" fillId="0" borderId="9" xfId="0" applyFont="1" applyBorder="1" applyAlignment="1">
      <alignment horizontal="center"/>
    </xf>
    <xf numFmtId="176" fontId="13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10" fontId="17" fillId="0" borderId="15" xfId="0" applyNumberFormat="1" applyFont="1" applyBorder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0" fontId="38" fillId="0" borderId="0" xfId="0" applyFont="1" applyAlignment="1">
      <alignment horizontal="centerContinuous"/>
    </xf>
    <xf numFmtId="0" fontId="94" fillId="0" borderId="5" xfId="0" applyFont="1" applyBorder="1" applyAlignment="1"/>
    <xf numFmtId="0" fontId="95" fillId="0" borderId="8" xfId="0" quotePrefix="1" applyFont="1" applyBorder="1" applyAlignment="1">
      <alignment horizontal="center"/>
    </xf>
    <xf numFmtId="43" fontId="35" fillId="0" borderId="8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2%20&#25972;&#36554;&#20986;&#21475;.xlsx" TargetMode="External"/><Relationship Id="rId1" Type="http://schemas.openxmlformats.org/officeDocument/2006/relationships/externalLinkPath" Target="file:///D:\DATA%20Files\Downloads\&#36914;&#20986;&#21475;&#20540;&#34920;%20-%2011502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38651;&#36628;&#36554;&#20986;&#21475;.xlsx" TargetMode="External"/><Relationship Id="rId1" Type="http://schemas.openxmlformats.org/officeDocument/2006/relationships/externalLinkPath" Target="file:///D:\DATA%20Files\Downloads\&#36914;&#20986;&#21475;&#20540;&#34920;%20-%2011501-02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2&#38651;&#36628;&#36554;&#20986;&#21475;.xlsx" TargetMode="External"/><Relationship Id="rId1" Type="http://schemas.openxmlformats.org/officeDocument/2006/relationships/externalLinkPath" Target="file:///D:\DATA%20Files\Downloads\&#36914;&#20986;&#21475;&#20540;&#34920;%20-%2011401-02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25240;&#30090;&#36554;&#20986;&#21475;.xlsx" TargetMode="External"/><Relationship Id="rId1" Type="http://schemas.openxmlformats.org/officeDocument/2006/relationships/externalLinkPath" Target="file:///D:\DATA%20Files\Downloads\&#36914;&#20986;&#21475;&#20540;&#34920;%20-%2011501-02&#25240;&#30090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2&#38646;&#20214;&#20986;&#21475;.xlsx" TargetMode="External"/><Relationship Id="rId1" Type="http://schemas.openxmlformats.org/officeDocument/2006/relationships/externalLinkPath" Target="file:///D:\DATA%20Files\Downloads\&#36914;&#20986;&#21475;&#20540;&#34920;%20-%2011502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38646;&#20214;&#20986;&#21475;.xlsx" TargetMode="External"/><Relationship Id="rId1" Type="http://schemas.openxmlformats.org/officeDocument/2006/relationships/externalLinkPath" Target="file:///D:\DATA%20Files\Downloads\&#36914;&#20986;&#21475;&#20540;&#34920;%20-%2011501-02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38646;&#20214;&#36914;&#21475;.xlsx" TargetMode="External"/><Relationship Id="rId1" Type="http://schemas.openxmlformats.org/officeDocument/2006/relationships/externalLinkPath" Target="file:///D:\DATA%20Files\Downloads\&#36914;&#20986;&#21475;&#20540;&#34920;%20-%2011501-02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38646;&#20214;&#36914;&#21475;%20(2).xlsx" TargetMode="External"/><Relationship Id="rId1" Type="http://schemas.openxmlformats.org/officeDocument/2006/relationships/externalLinkPath" Target="file:///D:\DATA%20Files\Downloads\&#36914;&#20986;&#21475;&#20540;&#34920;%20-%2011501-02&#38646;&#20214;&#36914;&#21475;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1%20&#38646;&#20214;&#36914;&#21475;.xlsx" TargetMode="External"/><Relationship Id="rId1" Type="http://schemas.openxmlformats.org/officeDocument/2006/relationships/externalLinkPath" Target="file:///D:\DATA%20Files\Downloads\&#36914;&#20986;&#21475;&#20540;&#34920;%20-%2020261%2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%20&#25972;&#36554;&#20986;&#21475;.xlsx" TargetMode="External"/><Relationship Id="rId1" Type="http://schemas.openxmlformats.org/officeDocument/2006/relationships/externalLinkPath" Target="file:///D:\DATA%20Files\Downloads\&#36914;&#20986;&#21475;&#20540;&#34920;%20-%2011501-02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2&#25972;&#36554;&#36914;&#21475;.xlsx" TargetMode="External"/><Relationship Id="rId1" Type="http://schemas.openxmlformats.org/officeDocument/2006/relationships/externalLinkPath" Target="file:///D:\DATA%20Files\Downloads\&#36914;&#20986;&#21475;&#20540;&#34920;%20-%2011502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25972;&#36554;&#36914;&#21475;%20(2).xlsx" TargetMode="External"/><Relationship Id="rId1" Type="http://schemas.openxmlformats.org/officeDocument/2006/relationships/externalLinkPath" Target="file:///D:\DATA%20Files\Downloads\&#36914;&#20986;&#21475;&#20540;&#34920;%20-%2011501-02&#25972;&#36554;&#36914;&#21475;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2&#38651;&#36628;&#36554;&#20986;&#21475;.xlsx" TargetMode="External"/><Relationship Id="rId1" Type="http://schemas.openxmlformats.org/officeDocument/2006/relationships/externalLinkPath" Target="file:///D:\DATA%20Files\Downloads\&#36914;&#20986;&#21475;&#20540;&#34920;%20-%2011502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56279023</v>
          </cell>
          <cell r="D10">
            <v>59471</v>
          </cell>
        </row>
        <row r="11">
          <cell r="B11" t="str">
            <v>美國</v>
          </cell>
          <cell r="C11">
            <v>17222713</v>
          </cell>
          <cell r="D11">
            <v>22414</v>
          </cell>
        </row>
        <row r="12">
          <cell r="B12" t="str">
            <v>荷蘭</v>
          </cell>
          <cell r="C12">
            <v>8858915</v>
          </cell>
          <cell r="D12">
            <v>5346</v>
          </cell>
        </row>
        <row r="13">
          <cell r="B13" t="str">
            <v>英國</v>
          </cell>
          <cell r="C13">
            <v>5281088</v>
          </cell>
          <cell r="D13">
            <v>4226</v>
          </cell>
        </row>
        <row r="14">
          <cell r="B14" t="str">
            <v>澳大利亞</v>
          </cell>
          <cell r="C14">
            <v>3504783</v>
          </cell>
          <cell r="D14">
            <v>3324</v>
          </cell>
        </row>
        <row r="15">
          <cell r="B15" t="str">
            <v>加拿大</v>
          </cell>
          <cell r="C15">
            <v>2965792</v>
          </cell>
          <cell r="D15">
            <v>2097</v>
          </cell>
        </row>
        <row r="16">
          <cell r="B16" t="str">
            <v>德國</v>
          </cell>
          <cell r="C16">
            <v>2758819</v>
          </cell>
          <cell r="D16">
            <v>3537</v>
          </cell>
        </row>
        <row r="17">
          <cell r="B17" t="str">
            <v>法國</v>
          </cell>
          <cell r="C17">
            <v>2345200</v>
          </cell>
          <cell r="D17">
            <v>1237</v>
          </cell>
        </row>
        <row r="18">
          <cell r="B18" t="str">
            <v>日本</v>
          </cell>
          <cell r="C18">
            <v>1677575</v>
          </cell>
          <cell r="D18">
            <v>1641</v>
          </cell>
        </row>
        <row r="19">
          <cell r="B19" t="str">
            <v>義大利</v>
          </cell>
          <cell r="C19">
            <v>1418689</v>
          </cell>
          <cell r="D19">
            <v>887</v>
          </cell>
        </row>
        <row r="20">
          <cell r="B20" t="str">
            <v>韓國</v>
          </cell>
          <cell r="C20">
            <v>989864</v>
          </cell>
          <cell r="D20">
            <v>426</v>
          </cell>
        </row>
        <row r="21">
          <cell r="B21" t="str">
            <v>俄羅斯</v>
          </cell>
          <cell r="C21">
            <v>894805</v>
          </cell>
          <cell r="D21">
            <v>669</v>
          </cell>
        </row>
        <row r="22">
          <cell r="B22" t="str">
            <v>中國大陸</v>
          </cell>
          <cell r="C22">
            <v>835413</v>
          </cell>
          <cell r="D22">
            <v>377</v>
          </cell>
        </row>
        <row r="23">
          <cell r="B23" t="str">
            <v>波蘭</v>
          </cell>
          <cell r="C23">
            <v>777478</v>
          </cell>
          <cell r="D23">
            <v>820</v>
          </cell>
        </row>
        <row r="24">
          <cell r="B24" t="str">
            <v>紐西蘭</v>
          </cell>
          <cell r="C24">
            <v>756160</v>
          </cell>
          <cell r="D24">
            <v>871</v>
          </cell>
        </row>
        <row r="25">
          <cell r="B25" t="str">
            <v>西班牙</v>
          </cell>
          <cell r="C25">
            <v>625975</v>
          </cell>
          <cell r="D25">
            <v>389</v>
          </cell>
        </row>
        <row r="26">
          <cell r="B26" t="str">
            <v>挪威</v>
          </cell>
          <cell r="C26">
            <v>539024</v>
          </cell>
          <cell r="D26">
            <v>1025</v>
          </cell>
        </row>
        <row r="27">
          <cell r="B27" t="str">
            <v>丹麥</v>
          </cell>
          <cell r="C27">
            <v>451314</v>
          </cell>
          <cell r="D27">
            <v>4251</v>
          </cell>
        </row>
        <row r="28">
          <cell r="B28" t="str">
            <v>南非</v>
          </cell>
          <cell r="C28">
            <v>391732</v>
          </cell>
          <cell r="D28">
            <v>193</v>
          </cell>
        </row>
        <row r="29">
          <cell r="B29" t="str">
            <v>智利</v>
          </cell>
          <cell r="C29">
            <v>363985</v>
          </cell>
          <cell r="D29">
            <v>215</v>
          </cell>
        </row>
        <row r="30">
          <cell r="B30" t="str">
            <v>瑞士</v>
          </cell>
          <cell r="C30">
            <v>360658</v>
          </cell>
          <cell r="D30">
            <v>387</v>
          </cell>
        </row>
        <row r="31">
          <cell r="B31" t="str">
            <v>香港</v>
          </cell>
          <cell r="C31">
            <v>316408</v>
          </cell>
          <cell r="D31">
            <v>131</v>
          </cell>
        </row>
        <row r="32">
          <cell r="B32" t="str">
            <v>比利時</v>
          </cell>
          <cell r="C32">
            <v>269909</v>
          </cell>
          <cell r="D32">
            <v>239</v>
          </cell>
        </row>
        <row r="33">
          <cell r="B33" t="str">
            <v>以色列</v>
          </cell>
          <cell r="C33">
            <v>266075</v>
          </cell>
          <cell r="D33">
            <v>530</v>
          </cell>
        </row>
        <row r="34">
          <cell r="B34" t="str">
            <v>捷克</v>
          </cell>
          <cell r="C34">
            <v>243460</v>
          </cell>
          <cell r="D34">
            <v>807</v>
          </cell>
        </row>
        <row r="35">
          <cell r="B35" t="str">
            <v>印度</v>
          </cell>
          <cell r="C35">
            <v>218246</v>
          </cell>
          <cell r="D35">
            <v>229</v>
          </cell>
        </row>
        <row r="36">
          <cell r="B36" t="str">
            <v>哥倫比亞</v>
          </cell>
          <cell r="C36">
            <v>212575</v>
          </cell>
          <cell r="D36">
            <v>143</v>
          </cell>
        </row>
        <row r="37">
          <cell r="B37" t="str">
            <v>菲律賓</v>
          </cell>
          <cell r="C37">
            <v>193537</v>
          </cell>
          <cell r="D37">
            <v>129</v>
          </cell>
        </row>
        <row r="38">
          <cell r="B38" t="str">
            <v>烏拉圭</v>
          </cell>
          <cell r="C38">
            <v>188470</v>
          </cell>
          <cell r="D38">
            <v>128</v>
          </cell>
        </row>
        <row r="39">
          <cell r="B39" t="str">
            <v>愛沙尼亞</v>
          </cell>
          <cell r="C39">
            <v>171143</v>
          </cell>
          <cell r="D39">
            <v>440</v>
          </cell>
        </row>
        <row r="40">
          <cell r="B40" t="str">
            <v>瑞典</v>
          </cell>
          <cell r="C40">
            <v>156129</v>
          </cell>
          <cell r="D40">
            <v>830</v>
          </cell>
        </row>
        <row r="41">
          <cell r="B41" t="str">
            <v>泰國</v>
          </cell>
          <cell r="C41">
            <v>139530</v>
          </cell>
          <cell r="D41">
            <v>51</v>
          </cell>
        </row>
        <row r="42">
          <cell r="B42" t="str">
            <v>拉脫維亞</v>
          </cell>
          <cell r="C42">
            <v>128540</v>
          </cell>
          <cell r="D42">
            <v>242</v>
          </cell>
        </row>
        <row r="43">
          <cell r="B43" t="str">
            <v>阿拉伯聯合大公國</v>
          </cell>
          <cell r="C43">
            <v>113715</v>
          </cell>
          <cell r="D43">
            <v>65</v>
          </cell>
        </row>
        <row r="44">
          <cell r="B44" t="str">
            <v>阿根廷</v>
          </cell>
          <cell r="C44">
            <v>86474</v>
          </cell>
          <cell r="D44">
            <v>269</v>
          </cell>
        </row>
        <row r="45">
          <cell r="B45" t="str">
            <v>新加坡</v>
          </cell>
          <cell r="C45">
            <v>83971</v>
          </cell>
          <cell r="D45">
            <v>31</v>
          </cell>
        </row>
        <row r="46">
          <cell r="B46" t="str">
            <v>墨西哥</v>
          </cell>
          <cell r="C46">
            <v>72442</v>
          </cell>
          <cell r="D46">
            <v>22</v>
          </cell>
        </row>
        <row r="47">
          <cell r="B47" t="str">
            <v>克羅埃西亞</v>
          </cell>
          <cell r="C47">
            <v>70035</v>
          </cell>
          <cell r="D47">
            <v>250</v>
          </cell>
        </row>
        <row r="48">
          <cell r="B48" t="str">
            <v>芬蘭</v>
          </cell>
          <cell r="C48">
            <v>69781</v>
          </cell>
          <cell r="D48">
            <v>97</v>
          </cell>
        </row>
        <row r="49">
          <cell r="B49" t="str">
            <v>匈牙利</v>
          </cell>
          <cell r="C49">
            <v>69117</v>
          </cell>
          <cell r="D49">
            <v>265</v>
          </cell>
        </row>
        <row r="50">
          <cell r="B50" t="str">
            <v>馬來西亞</v>
          </cell>
          <cell r="C50">
            <v>57016</v>
          </cell>
          <cell r="D50">
            <v>48</v>
          </cell>
        </row>
        <row r="51">
          <cell r="B51" t="str">
            <v>越南</v>
          </cell>
          <cell r="C51">
            <v>41622</v>
          </cell>
          <cell r="D51">
            <v>27</v>
          </cell>
        </row>
        <row r="52">
          <cell r="B52" t="str">
            <v>哥斯大黎加</v>
          </cell>
          <cell r="C52">
            <v>23345</v>
          </cell>
          <cell r="D52">
            <v>11</v>
          </cell>
        </row>
        <row r="53">
          <cell r="B53" t="str">
            <v>薩爾瓦多</v>
          </cell>
          <cell r="C53">
            <v>14666</v>
          </cell>
          <cell r="D53">
            <v>4</v>
          </cell>
        </row>
        <row r="54">
          <cell r="B54" t="str">
            <v>哈薩克</v>
          </cell>
          <cell r="C54">
            <v>13684</v>
          </cell>
          <cell r="D54">
            <v>40</v>
          </cell>
        </row>
        <row r="55">
          <cell r="B55" t="str">
            <v>巴西</v>
          </cell>
          <cell r="C55">
            <v>13114</v>
          </cell>
          <cell r="D55">
            <v>11</v>
          </cell>
        </row>
        <row r="56">
          <cell r="B56" t="str">
            <v>巴拉圭</v>
          </cell>
          <cell r="C56">
            <v>12924</v>
          </cell>
          <cell r="D56">
            <v>12</v>
          </cell>
        </row>
        <row r="57">
          <cell r="B57" t="str">
            <v>希臘</v>
          </cell>
          <cell r="C57">
            <v>7728</v>
          </cell>
          <cell r="D57">
            <v>5</v>
          </cell>
        </row>
        <row r="58">
          <cell r="B58" t="str">
            <v>孟加拉</v>
          </cell>
          <cell r="C58">
            <v>5226</v>
          </cell>
          <cell r="D58">
            <v>60</v>
          </cell>
        </row>
        <row r="59">
          <cell r="B59" t="str">
            <v>迦納</v>
          </cell>
          <cell r="C59">
            <v>127</v>
          </cell>
          <cell r="D59">
            <v>14</v>
          </cell>
        </row>
        <row r="60">
          <cell r="B60" t="str">
            <v>奈及利亞</v>
          </cell>
          <cell r="C60">
            <v>32</v>
          </cell>
          <cell r="D60">
            <v>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89300522</v>
          </cell>
          <cell r="D10">
            <v>47657</v>
          </cell>
        </row>
        <row r="11">
          <cell r="B11" t="str">
            <v>荷蘭</v>
          </cell>
          <cell r="C11">
            <v>34112745</v>
          </cell>
          <cell r="D11">
            <v>19784</v>
          </cell>
        </row>
        <row r="12">
          <cell r="B12" t="str">
            <v>美國</v>
          </cell>
          <cell r="C12">
            <v>21327787</v>
          </cell>
          <cell r="D12">
            <v>8665</v>
          </cell>
        </row>
        <row r="13">
          <cell r="B13" t="str">
            <v>德國</v>
          </cell>
          <cell r="C13">
            <v>8631769</v>
          </cell>
          <cell r="D13">
            <v>6685</v>
          </cell>
        </row>
        <row r="14">
          <cell r="B14" t="str">
            <v>英國</v>
          </cell>
          <cell r="C14">
            <v>4296452</v>
          </cell>
          <cell r="D14">
            <v>2104</v>
          </cell>
        </row>
        <row r="15">
          <cell r="B15" t="str">
            <v>加拿大</v>
          </cell>
          <cell r="C15">
            <v>2950279</v>
          </cell>
          <cell r="D15">
            <v>1285</v>
          </cell>
        </row>
        <row r="16">
          <cell r="B16" t="str">
            <v>澳大利亞</v>
          </cell>
          <cell r="C16">
            <v>2729180</v>
          </cell>
          <cell r="D16">
            <v>1359</v>
          </cell>
        </row>
        <row r="17">
          <cell r="B17" t="str">
            <v>瑞士</v>
          </cell>
          <cell r="C17">
            <v>2092030</v>
          </cell>
          <cell r="D17">
            <v>839</v>
          </cell>
        </row>
        <row r="18">
          <cell r="B18" t="str">
            <v>義大利</v>
          </cell>
          <cell r="C18">
            <v>1634530</v>
          </cell>
          <cell r="D18">
            <v>646</v>
          </cell>
        </row>
        <row r="19">
          <cell r="B19" t="str">
            <v>紐西蘭</v>
          </cell>
          <cell r="C19">
            <v>1432406</v>
          </cell>
          <cell r="D19">
            <v>647</v>
          </cell>
        </row>
        <row r="20">
          <cell r="B20" t="str">
            <v>波蘭</v>
          </cell>
          <cell r="C20">
            <v>1393677</v>
          </cell>
          <cell r="D20">
            <v>803</v>
          </cell>
        </row>
        <row r="21">
          <cell r="B21" t="str">
            <v>法國</v>
          </cell>
          <cell r="C21">
            <v>1215683</v>
          </cell>
          <cell r="D21">
            <v>405</v>
          </cell>
        </row>
        <row r="22">
          <cell r="B22" t="str">
            <v>西班牙</v>
          </cell>
          <cell r="C22">
            <v>1021873</v>
          </cell>
          <cell r="D22">
            <v>468</v>
          </cell>
        </row>
        <row r="23">
          <cell r="B23" t="str">
            <v>烏拉圭</v>
          </cell>
          <cell r="C23">
            <v>818475</v>
          </cell>
          <cell r="D23">
            <v>252</v>
          </cell>
        </row>
        <row r="24">
          <cell r="B24" t="str">
            <v>丹麥</v>
          </cell>
          <cell r="C24">
            <v>742768</v>
          </cell>
          <cell r="D24">
            <v>709</v>
          </cell>
        </row>
        <row r="25">
          <cell r="B25" t="str">
            <v>智利</v>
          </cell>
          <cell r="C25">
            <v>738288</v>
          </cell>
          <cell r="D25">
            <v>227</v>
          </cell>
        </row>
        <row r="26">
          <cell r="B26" t="str">
            <v>日本</v>
          </cell>
          <cell r="C26">
            <v>657752</v>
          </cell>
          <cell r="D26">
            <v>693</v>
          </cell>
        </row>
        <row r="27">
          <cell r="B27" t="str">
            <v>挪威</v>
          </cell>
          <cell r="C27">
            <v>486204</v>
          </cell>
          <cell r="D27">
            <v>291</v>
          </cell>
        </row>
        <row r="28">
          <cell r="B28" t="str">
            <v>南非</v>
          </cell>
          <cell r="C28">
            <v>396114</v>
          </cell>
          <cell r="D28">
            <v>166</v>
          </cell>
        </row>
        <row r="29">
          <cell r="B29" t="str">
            <v>哥倫比亞</v>
          </cell>
          <cell r="C29">
            <v>356253</v>
          </cell>
          <cell r="D29">
            <v>110</v>
          </cell>
        </row>
        <row r="30">
          <cell r="B30" t="str">
            <v>墨西哥</v>
          </cell>
          <cell r="C30">
            <v>334962</v>
          </cell>
          <cell r="D30">
            <v>79</v>
          </cell>
        </row>
        <row r="31">
          <cell r="B31" t="str">
            <v>瑞典</v>
          </cell>
          <cell r="C31">
            <v>281818</v>
          </cell>
          <cell r="D31">
            <v>790</v>
          </cell>
        </row>
        <row r="32">
          <cell r="B32" t="str">
            <v>阿拉伯聯合大公國</v>
          </cell>
          <cell r="C32">
            <v>253884</v>
          </cell>
          <cell r="D32">
            <v>172</v>
          </cell>
        </row>
        <row r="33">
          <cell r="B33" t="str">
            <v>秘魯</v>
          </cell>
          <cell r="C33">
            <v>203167</v>
          </cell>
          <cell r="D33">
            <v>52</v>
          </cell>
        </row>
        <row r="34">
          <cell r="B34" t="str">
            <v>哥斯大黎加</v>
          </cell>
          <cell r="C34">
            <v>188343</v>
          </cell>
          <cell r="D34">
            <v>42</v>
          </cell>
        </row>
        <row r="35">
          <cell r="B35" t="str">
            <v>以色列</v>
          </cell>
          <cell r="C35">
            <v>143676</v>
          </cell>
          <cell r="D35">
            <v>63</v>
          </cell>
        </row>
        <row r="36">
          <cell r="B36" t="str">
            <v>厄瓜多</v>
          </cell>
          <cell r="C36">
            <v>135617</v>
          </cell>
          <cell r="D36">
            <v>38</v>
          </cell>
        </row>
        <row r="37">
          <cell r="B37" t="str">
            <v>巴西</v>
          </cell>
          <cell r="C37">
            <v>131232</v>
          </cell>
          <cell r="D37">
            <v>43</v>
          </cell>
        </row>
        <row r="38">
          <cell r="B38" t="str">
            <v>比利時</v>
          </cell>
          <cell r="C38">
            <v>128096</v>
          </cell>
          <cell r="D38">
            <v>37</v>
          </cell>
        </row>
        <row r="39">
          <cell r="B39" t="str">
            <v>匈牙利</v>
          </cell>
          <cell r="C39">
            <v>125529</v>
          </cell>
          <cell r="D39">
            <v>71</v>
          </cell>
        </row>
        <row r="40">
          <cell r="B40" t="str">
            <v>巴拉圭</v>
          </cell>
          <cell r="C40">
            <v>100000</v>
          </cell>
          <cell r="D40">
            <v>35</v>
          </cell>
        </row>
        <row r="41">
          <cell r="B41" t="str">
            <v>阿根廷</v>
          </cell>
          <cell r="C41">
            <v>76105</v>
          </cell>
          <cell r="D41">
            <v>25</v>
          </cell>
        </row>
        <row r="42">
          <cell r="B42" t="str">
            <v>韓國</v>
          </cell>
          <cell r="C42">
            <v>60048</v>
          </cell>
          <cell r="D42">
            <v>29</v>
          </cell>
        </row>
        <row r="43">
          <cell r="B43" t="str">
            <v>香港</v>
          </cell>
          <cell r="C43">
            <v>28336</v>
          </cell>
          <cell r="D43">
            <v>13</v>
          </cell>
        </row>
        <row r="44">
          <cell r="B44" t="str">
            <v>馬來西亞</v>
          </cell>
          <cell r="C44">
            <v>28255</v>
          </cell>
          <cell r="D44">
            <v>9</v>
          </cell>
        </row>
        <row r="45">
          <cell r="B45" t="str">
            <v>菲律賓</v>
          </cell>
          <cell r="C45">
            <v>19923</v>
          </cell>
          <cell r="D45">
            <v>7</v>
          </cell>
        </row>
        <row r="46">
          <cell r="B46" t="str">
            <v>立陶宛</v>
          </cell>
          <cell r="C46">
            <v>19886</v>
          </cell>
          <cell r="D46">
            <v>9</v>
          </cell>
        </row>
        <row r="47">
          <cell r="B47" t="str">
            <v>中國大陸</v>
          </cell>
          <cell r="C47">
            <v>7380</v>
          </cell>
          <cell r="D47">
            <v>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112718368</v>
          </cell>
          <cell r="D10">
            <v>53457</v>
          </cell>
        </row>
        <row r="11">
          <cell r="B11" t="str">
            <v>美國</v>
          </cell>
          <cell r="C11">
            <v>40271185</v>
          </cell>
          <cell r="D11">
            <v>16571</v>
          </cell>
        </row>
        <row r="12">
          <cell r="B12" t="str">
            <v>荷蘭</v>
          </cell>
          <cell r="C12">
            <v>33779255</v>
          </cell>
          <cell r="D12">
            <v>16570</v>
          </cell>
        </row>
        <row r="13">
          <cell r="B13" t="str">
            <v>德國</v>
          </cell>
          <cell r="C13">
            <v>10608538</v>
          </cell>
          <cell r="D13">
            <v>7938</v>
          </cell>
        </row>
        <row r="14">
          <cell r="B14" t="str">
            <v>英國</v>
          </cell>
          <cell r="C14">
            <v>5526016</v>
          </cell>
          <cell r="D14">
            <v>2325</v>
          </cell>
        </row>
        <row r="15">
          <cell r="B15" t="str">
            <v>義大利</v>
          </cell>
          <cell r="C15">
            <v>4287755</v>
          </cell>
          <cell r="D15">
            <v>1462</v>
          </cell>
        </row>
        <row r="16">
          <cell r="B16" t="str">
            <v>澳大利亞</v>
          </cell>
          <cell r="C16">
            <v>3121227</v>
          </cell>
          <cell r="D16">
            <v>1320</v>
          </cell>
        </row>
        <row r="17">
          <cell r="B17" t="str">
            <v>西班牙</v>
          </cell>
          <cell r="C17">
            <v>2538351</v>
          </cell>
          <cell r="D17">
            <v>932</v>
          </cell>
        </row>
        <row r="18">
          <cell r="B18" t="str">
            <v>紐西蘭</v>
          </cell>
          <cell r="C18">
            <v>1795797</v>
          </cell>
          <cell r="D18">
            <v>712</v>
          </cell>
        </row>
        <row r="19">
          <cell r="B19" t="str">
            <v>南非</v>
          </cell>
          <cell r="C19">
            <v>1464226</v>
          </cell>
          <cell r="D19">
            <v>456</v>
          </cell>
        </row>
        <row r="20">
          <cell r="B20" t="str">
            <v>加拿大</v>
          </cell>
          <cell r="C20">
            <v>1392062</v>
          </cell>
          <cell r="D20">
            <v>561</v>
          </cell>
        </row>
        <row r="21">
          <cell r="B21" t="str">
            <v>瑞士</v>
          </cell>
          <cell r="C21">
            <v>1205241</v>
          </cell>
          <cell r="D21">
            <v>524</v>
          </cell>
        </row>
        <row r="22">
          <cell r="B22" t="str">
            <v>法國</v>
          </cell>
          <cell r="C22">
            <v>909886</v>
          </cell>
          <cell r="D22">
            <v>691</v>
          </cell>
        </row>
        <row r="23">
          <cell r="B23" t="str">
            <v>墨西哥</v>
          </cell>
          <cell r="C23">
            <v>763527</v>
          </cell>
          <cell r="D23">
            <v>183</v>
          </cell>
        </row>
        <row r="24">
          <cell r="B24" t="str">
            <v>挪威</v>
          </cell>
          <cell r="C24">
            <v>574155</v>
          </cell>
          <cell r="D24">
            <v>320</v>
          </cell>
        </row>
        <row r="25">
          <cell r="B25" t="str">
            <v>智利</v>
          </cell>
          <cell r="C25">
            <v>564869</v>
          </cell>
          <cell r="D25">
            <v>137</v>
          </cell>
        </row>
        <row r="26">
          <cell r="B26" t="str">
            <v>巴拿馬</v>
          </cell>
          <cell r="C26">
            <v>554318</v>
          </cell>
          <cell r="D26">
            <v>147</v>
          </cell>
        </row>
        <row r="27">
          <cell r="B27" t="str">
            <v>日本</v>
          </cell>
          <cell r="C27">
            <v>528610</v>
          </cell>
          <cell r="D27">
            <v>638</v>
          </cell>
        </row>
        <row r="28">
          <cell r="B28" t="str">
            <v>哥倫比亞</v>
          </cell>
          <cell r="C28">
            <v>438724</v>
          </cell>
          <cell r="D28">
            <v>124</v>
          </cell>
        </row>
        <row r="29">
          <cell r="B29" t="str">
            <v>瑞典</v>
          </cell>
          <cell r="C29">
            <v>382595</v>
          </cell>
          <cell r="D29">
            <v>1031</v>
          </cell>
        </row>
        <row r="30">
          <cell r="B30" t="str">
            <v>中國大陸</v>
          </cell>
          <cell r="C30">
            <v>327830</v>
          </cell>
          <cell r="D30">
            <v>99</v>
          </cell>
        </row>
        <row r="31">
          <cell r="B31" t="str">
            <v>波蘭</v>
          </cell>
          <cell r="C31">
            <v>247727</v>
          </cell>
          <cell r="D31">
            <v>115</v>
          </cell>
        </row>
        <row r="32">
          <cell r="B32" t="str">
            <v>哥斯大黎加</v>
          </cell>
          <cell r="C32">
            <v>232164</v>
          </cell>
          <cell r="D32">
            <v>47</v>
          </cell>
        </row>
        <row r="33">
          <cell r="B33" t="str">
            <v>丹麥</v>
          </cell>
          <cell r="C33">
            <v>226744</v>
          </cell>
          <cell r="D33">
            <v>134</v>
          </cell>
        </row>
        <row r="34">
          <cell r="B34" t="str">
            <v>阿根廷</v>
          </cell>
          <cell r="C34">
            <v>182704</v>
          </cell>
          <cell r="D34">
            <v>62</v>
          </cell>
        </row>
        <row r="35">
          <cell r="B35" t="str">
            <v>韓國</v>
          </cell>
          <cell r="C35">
            <v>182240</v>
          </cell>
          <cell r="D35">
            <v>50</v>
          </cell>
        </row>
        <row r="36">
          <cell r="B36" t="str">
            <v>匈牙利</v>
          </cell>
          <cell r="C36">
            <v>162191</v>
          </cell>
          <cell r="D36">
            <v>95</v>
          </cell>
        </row>
        <row r="37">
          <cell r="B37" t="str">
            <v>秘魯</v>
          </cell>
          <cell r="C37">
            <v>137428</v>
          </cell>
          <cell r="D37">
            <v>44</v>
          </cell>
        </row>
        <row r="38">
          <cell r="B38" t="str">
            <v>以色列</v>
          </cell>
          <cell r="C38">
            <v>76699</v>
          </cell>
          <cell r="D38">
            <v>72</v>
          </cell>
        </row>
        <row r="39">
          <cell r="B39" t="str">
            <v>巴西</v>
          </cell>
          <cell r="C39">
            <v>70538</v>
          </cell>
          <cell r="D39">
            <v>24</v>
          </cell>
        </row>
        <row r="40">
          <cell r="B40" t="str">
            <v>尼泊爾</v>
          </cell>
          <cell r="C40">
            <v>42203</v>
          </cell>
          <cell r="D40">
            <v>16</v>
          </cell>
        </row>
        <row r="41">
          <cell r="B41" t="str">
            <v>阿拉伯聯合大公國</v>
          </cell>
          <cell r="C41">
            <v>38326</v>
          </cell>
          <cell r="D41">
            <v>10</v>
          </cell>
        </row>
        <row r="42">
          <cell r="B42" t="str">
            <v>捷克</v>
          </cell>
          <cell r="C42">
            <v>37778</v>
          </cell>
          <cell r="D42">
            <v>10</v>
          </cell>
        </row>
        <row r="43">
          <cell r="B43" t="str">
            <v>馬來西亞</v>
          </cell>
          <cell r="C43">
            <v>10375</v>
          </cell>
          <cell r="D43">
            <v>9</v>
          </cell>
        </row>
        <row r="44">
          <cell r="B44" t="str">
            <v>巴林</v>
          </cell>
          <cell r="C44">
            <v>9460</v>
          </cell>
          <cell r="D44">
            <v>2</v>
          </cell>
        </row>
        <row r="45">
          <cell r="B45" t="str">
            <v>奧地利</v>
          </cell>
          <cell r="C45">
            <v>9395</v>
          </cell>
          <cell r="D45">
            <v>2</v>
          </cell>
        </row>
        <row r="46">
          <cell r="B46" t="str">
            <v>香港</v>
          </cell>
          <cell r="C46">
            <v>8486</v>
          </cell>
          <cell r="D46">
            <v>16</v>
          </cell>
        </row>
        <row r="47">
          <cell r="B47" t="str">
            <v>摩洛哥</v>
          </cell>
          <cell r="C47">
            <v>4834</v>
          </cell>
          <cell r="D47">
            <v>1</v>
          </cell>
        </row>
        <row r="48">
          <cell r="B48" t="str">
            <v>菲律賓</v>
          </cell>
          <cell r="C48">
            <v>2834</v>
          </cell>
          <cell r="D48">
            <v>6</v>
          </cell>
        </row>
        <row r="49">
          <cell r="B49" t="str">
            <v>比利時</v>
          </cell>
          <cell r="C49">
            <v>2075</v>
          </cell>
          <cell r="D49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329513</v>
          </cell>
          <cell r="D10">
            <v>398</v>
          </cell>
        </row>
        <row r="11">
          <cell r="B11" t="str">
            <v>韓國</v>
          </cell>
          <cell r="C11">
            <v>148018</v>
          </cell>
          <cell r="D11">
            <v>140</v>
          </cell>
        </row>
        <row r="12">
          <cell r="B12" t="str">
            <v>荷蘭</v>
          </cell>
          <cell r="C12">
            <v>61387</v>
          </cell>
          <cell r="D12">
            <v>115</v>
          </cell>
        </row>
        <row r="13">
          <cell r="B13" t="str">
            <v>香港</v>
          </cell>
          <cell r="C13">
            <v>47979</v>
          </cell>
          <cell r="D13">
            <v>40</v>
          </cell>
        </row>
        <row r="14">
          <cell r="B14" t="str">
            <v>中國大陸</v>
          </cell>
          <cell r="C14">
            <v>31938</v>
          </cell>
          <cell r="D14">
            <v>29</v>
          </cell>
        </row>
        <row r="15">
          <cell r="B15" t="str">
            <v>日本</v>
          </cell>
          <cell r="C15">
            <v>19544</v>
          </cell>
          <cell r="D15">
            <v>55</v>
          </cell>
        </row>
        <row r="16">
          <cell r="B16" t="str">
            <v>新加坡</v>
          </cell>
          <cell r="C16">
            <v>18776</v>
          </cell>
          <cell r="D16">
            <v>15</v>
          </cell>
        </row>
        <row r="17">
          <cell r="B17" t="str">
            <v>沙烏地阿拉伯</v>
          </cell>
          <cell r="C17">
            <v>1744</v>
          </cell>
          <cell r="D17">
            <v>1</v>
          </cell>
        </row>
        <row r="18">
          <cell r="B18" t="str">
            <v>美國</v>
          </cell>
          <cell r="C18">
            <v>95</v>
          </cell>
          <cell r="D18">
            <v>2</v>
          </cell>
        </row>
        <row r="19">
          <cell r="B19" t="str">
            <v>柬埔寨</v>
          </cell>
          <cell r="C19">
            <v>32</v>
          </cell>
          <cell r="D19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33255008</v>
          </cell>
          <cell r="E10">
            <v>597050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13543592</v>
          </cell>
          <cell r="E11">
            <v>313079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8759396</v>
          </cell>
          <cell r="E12">
            <v>73311</v>
          </cell>
          <cell r="F12">
            <v>92191</v>
          </cell>
        </row>
        <row r="13">
          <cell r="B13">
            <v>87149620002</v>
          </cell>
          <cell r="C13" t="str">
            <v>曲柄齒輪及其零件</v>
          </cell>
          <cell r="D13">
            <v>7750778</v>
          </cell>
          <cell r="E13">
            <v>153444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6806082</v>
          </cell>
          <cell r="E14">
            <v>51731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6376838</v>
          </cell>
          <cell r="E15">
            <v>162370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4684134</v>
          </cell>
          <cell r="E16">
            <v>123866</v>
          </cell>
          <cell r="F16">
            <v>0</v>
          </cell>
        </row>
        <row r="17">
          <cell r="B17">
            <v>87149310007</v>
          </cell>
          <cell r="C17" t="str">
            <v>輪轂，但倒煞車輪轂及輪轂煞車除外</v>
          </cell>
          <cell r="D17">
            <v>3878556</v>
          </cell>
          <cell r="E17">
            <v>51373</v>
          </cell>
          <cell r="F17">
            <v>0</v>
          </cell>
        </row>
        <row r="18">
          <cell r="B18">
            <v>87149610004</v>
          </cell>
          <cell r="C18" t="str">
            <v>踏板及其零件</v>
          </cell>
          <cell r="D18">
            <v>3724557</v>
          </cell>
          <cell r="E18">
            <v>151447</v>
          </cell>
          <cell r="F18">
            <v>0</v>
          </cell>
        </row>
        <row r="19">
          <cell r="B19">
            <v>87149990166</v>
          </cell>
          <cell r="C19" t="str">
            <v>腳踏車用把手</v>
          </cell>
          <cell r="D19">
            <v>3676213</v>
          </cell>
          <cell r="E19">
            <v>80478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3017925</v>
          </cell>
          <cell r="E20">
            <v>87585</v>
          </cell>
          <cell r="F20">
            <v>159163</v>
          </cell>
        </row>
        <row r="21">
          <cell r="B21">
            <v>87149500007</v>
          </cell>
          <cell r="C21" t="str">
            <v>腳踏車車座</v>
          </cell>
          <cell r="D21">
            <v>2839253</v>
          </cell>
          <cell r="E21">
            <v>125355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1956223</v>
          </cell>
          <cell r="E22">
            <v>58210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1048654</v>
          </cell>
          <cell r="E23">
            <v>81101</v>
          </cell>
          <cell r="F23">
            <v>12172587</v>
          </cell>
        </row>
        <row r="24">
          <cell r="B24">
            <v>87149990139</v>
          </cell>
          <cell r="C24" t="str">
            <v>腳踏車用軸心</v>
          </cell>
          <cell r="D24">
            <v>269941</v>
          </cell>
          <cell r="E24">
            <v>8476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172476</v>
          </cell>
          <cell r="E25">
            <v>7531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15869</v>
          </cell>
          <cell r="E26">
            <v>448</v>
          </cell>
          <cell r="F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69114127</v>
          </cell>
          <cell r="E10">
            <v>1213910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31361786</v>
          </cell>
          <cell r="E11">
            <v>738462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19514552</v>
          </cell>
          <cell r="E12">
            <v>144482</v>
          </cell>
          <cell r="F12">
            <v>168304</v>
          </cell>
        </row>
        <row r="13">
          <cell r="B13">
            <v>87149620002</v>
          </cell>
          <cell r="C13" t="str">
            <v>曲柄齒輪及其零件</v>
          </cell>
          <cell r="D13">
            <v>16514013</v>
          </cell>
          <cell r="E13">
            <v>314021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14819695</v>
          </cell>
          <cell r="E14">
            <v>123000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13091715</v>
          </cell>
          <cell r="E15">
            <v>319169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9577064</v>
          </cell>
          <cell r="E16">
            <v>260642</v>
          </cell>
          <cell r="F16">
            <v>0</v>
          </cell>
        </row>
        <row r="17">
          <cell r="B17">
            <v>87149990166</v>
          </cell>
          <cell r="C17" t="str">
            <v>腳踏車用把手</v>
          </cell>
          <cell r="D17">
            <v>8378874</v>
          </cell>
          <cell r="E17">
            <v>210467</v>
          </cell>
          <cell r="F17">
            <v>0</v>
          </cell>
        </row>
        <row r="18">
          <cell r="B18">
            <v>87149310007</v>
          </cell>
          <cell r="C18" t="str">
            <v>輪轂，但倒煞車輪轂及輪轂煞車除外</v>
          </cell>
          <cell r="D18">
            <v>8116485</v>
          </cell>
          <cell r="E18">
            <v>103391</v>
          </cell>
          <cell r="F18">
            <v>0</v>
          </cell>
        </row>
        <row r="19">
          <cell r="B19">
            <v>87149610004</v>
          </cell>
          <cell r="C19" t="str">
            <v>踏板及其零件</v>
          </cell>
          <cell r="D19">
            <v>7677992</v>
          </cell>
          <cell r="E19">
            <v>289804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5990011</v>
          </cell>
          <cell r="E20">
            <v>202762</v>
          </cell>
          <cell r="F20">
            <v>378193</v>
          </cell>
        </row>
        <row r="21">
          <cell r="B21">
            <v>87149500007</v>
          </cell>
          <cell r="C21" t="str">
            <v>腳踏車車座</v>
          </cell>
          <cell r="D21">
            <v>5740039</v>
          </cell>
          <cell r="E21">
            <v>277813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4624537</v>
          </cell>
          <cell r="E22">
            <v>142618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2348371</v>
          </cell>
          <cell r="E23">
            <v>177458</v>
          </cell>
          <cell r="F23">
            <v>27279895</v>
          </cell>
        </row>
        <row r="24">
          <cell r="B24">
            <v>87149990139</v>
          </cell>
          <cell r="C24" t="str">
            <v>腳踏車用軸心</v>
          </cell>
          <cell r="D24">
            <v>444126</v>
          </cell>
          <cell r="E24">
            <v>16359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414341</v>
          </cell>
          <cell r="E25">
            <v>14656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132297</v>
          </cell>
          <cell r="E26">
            <v>4099</v>
          </cell>
          <cell r="F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18407888</v>
          </cell>
          <cell r="E10">
            <v>321729</v>
          </cell>
          <cell r="F10">
            <v>0</v>
          </cell>
        </row>
        <row r="11">
          <cell r="B11">
            <v>87149200108</v>
          </cell>
          <cell r="C11" t="str">
            <v>輪圈</v>
          </cell>
          <cell r="D11">
            <v>5485577</v>
          </cell>
          <cell r="E11">
            <v>57047</v>
          </cell>
          <cell r="F11">
            <v>153960</v>
          </cell>
        </row>
        <row r="12">
          <cell r="B12">
            <v>87149490009</v>
          </cell>
          <cell r="C12" t="str">
            <v>其他煞車器及其零件</v>
          </cell>
          <cell r="D12">
            <v>4070843</v>
          </cell>
          <cell r="E12">
            <v>150510</v>
          </cell>
          <cell r="F12">
            <v>0</v>
          </cell>
        </row>
        <row r="13">
          <cell r="B13">
            <v>87149990166</v>
          </cell>
          <cell r="C13" t="str">
            <v>腳踏車用把手</v>
          </cell>
          <cell r="D13">
            <v>2377686</v>
          </cell>
          <cell r="E13">
            <v>27724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2029552</v>
          </cell>
          <cell r="E14">
            <v>42474</v>
          </cell>
          <cell r="F14">
            <v>0</v>
          </cell>
        </row>
        <row r="15">
          <cell r="B15">
            <v>87149620002</v>
          </cell>
          <cell r="C15" t="str">
            <v>曲柄齒輪及其零件</v>
          </cell>
          <cell r="D15">
            <v>1671023</v>
          </cell>
          <cell r="E15">
            <v>86794</v>
          </cell>
          <cell r="F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>
            <v>1642503</v>
          </cell>
          <cell r="E16">
            <v>39263</v>
          </cell>
          <cell r="F16">
            <v>0</v>
          </cell>
        </row>
        <row r="17">
          <cell r="B17">
            <v>87149500007</v>
          </cell>
          <cell r="C17" t="str">
            <v>腳踏車車座</v>
          </cell>
          <cell r="D17">
            <v>863360</v>
          </cell>
          <cell r="E17">
            <v>46666</v>
          </cell>
          <cell r="F17">
            <v>0</v>
          </cell>
        </row>
        <row r="18">
          <cell r="B18">
            <v>87149990157</v>
          </cell>
          <cell r="C18" t="str">
            <v>腳踏車用座管及上下管</v>
          </cell>
          <cell r="D18">
            <v>735411</v>
          </cell>
          <cell r="E18">
            <v>21044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708423</v>
          </cell>
          <cell r="E19">
            <v>16772</v>
          </cell>
          <cell r="F19">
            <v>2670474</v>
          </cell>
        </row>
        <row r="20">
          <cell r="B20">
            <v>87149320906</v>
          </cell>
          <cell r="C20" t="str">
            <v>其他飛輪之鏈輪</v>
          </cell>
          <cell r="D20">
            <v>624400</v>
          </cell>
          <cell r="E20">
            <v>17944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412799</v>
          </cell>
          <cell r="E21">
            <v>3569</v>
          </cell>
          <cell r="F21">
            <v>88715</v>
          </cell>
        </row>
        <row r="22">
          <cell r="B22">
            <v>87149410006</v>
          </cell>
          <cell r="C22" t="str">
            <v>鋼?煞車器及其零件</v>
          </cell>
          <cell r="D22">
            <v>295315</v>
          </cell>
          <cell r="E22">
            <v>2919</v>
          </cell>
          <cell r="F22">
            <v>0</v>
          </cell>
        </row>
        <row r="23">
          <cell r="B23">
            <v>87149990148</v>
          </cell>
          <cell r="C23" t="str">
            <v>腳踏車用把手豎管</v>
          </cell>
          <cell r="D23">
            <v>239059</v>
          </cell>
          <cell r="E23">
            <v>7795</v>
          </cell>
          <cell r="F23">
            <v>0</v>
          </cell>
        </row>
        <row r="24">
          <cell r="B24">
            <v>87149610004</v>
          </cell>
          <cell r="C24" t="str">
            <v>踏板及其零件</v>
          </cell>
          <cell r="D24">
            <v>153514</v>
          </cell>
          <cell r="E24">
            <v>23121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87202</v>
          </cell>
          <cell r="E25">
            <v>8659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12987</v>
          </cell>
          <cell r="E26">
            <v>254</v>
          </cell>
          <cell r="F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40397049</v>
          </cell>
          <cell r="E10">
            <v>676542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11164731</v>
          </cell>
          <cell r="E11">
            <v>363623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10759141</v>
          </cell>
          <cell r="E12">
            <v>117148</v>
          </cell>
          <cell r="F12">
            <v>273033</v>
          </cell>
        </row>
        <row r="13">
          <cell r="B13">
            <v>87149990111</v>
          </cell>
          <cell r="C13" t="str">
            <v>腳踏車用變速器</v>
          </cell>
          <cell r="D13">
            <v>5168320</v>
          </cell>
          <cell r="E13">
            <v>77060</v>
          </cell>
          <cell r="F13">
            <v>0</v>
          </cell>
        </row>
        <row r="14">
          <cell r="B14">
            <v>87149990166</v>
          </cell>
          <cell r="C14" t="str">
            <v>腳踏車用把手</v>
          </cell>
          <cell r="D14">
            <v>4664194</v>
          </cell>
          <cell r="E14">
            <v>60574</v>
          </cell>
          <cell r="F14">
            <v>0</v>
          </cell>
        </row>
        <row r="15">
          <cell r="B15">
            <v>87149620002</v>
          </cell>
          <cell r="C15" t="str">
            <v>曲柄齒輪及其零件</v>
          </cell>
          <cell r="D15">
            <v>4247628</v>
          </cell>
          <cell r="E15">
            <v>184702</v>
          </cell>
          <cell r="F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>
            <v>4063017</v>
          </cell>
          <cell r="E16">
            <v>91116</v>
          </cell>
          <cell r="F16">
            <v>0</v>
          </cell>
        </row>
        <row r="17">
          <cell r="B17">
            <v>87149990157</v>
          </cell>
          <cell r="C17" t="str">
            <v>腳踏車用座管及上下管</v>
          </cell>
          <cell r="D17">
            <v>2068609</v>
          </cell>
          <cell r="E17">
            <v>65309</v>
          </cell>
          <cell r="F17">
            <v>0</v>
          </cell>
        </row>
        <row r="18">
          <cell r="B18">
            <v>87149320906</v>
          </cell>
          <cell r="C18" t="str">
            <v>其他飛輪之鏈輪</v>
          </cell>
          <cell r="D18">
            <v>2011026</v>
          </cell>
          <cell r="E18">
            <v>47305</v>
          </cell>
          <cell r="F18">
            <v>0</v>
          </cell>
        </row>
        <row r="19">
          <cell r="B19">
            <v>87149500007</v>
          </cell>
          <cell r="C19" t="str">
            <v>腳踏車車座</v>
          </cell>
          <cell r="D19">
            <v>1944285</v>
          </cell>
          <cell r="E19">
            <v>106713</v>
          </cell>
          <cell r="F19">
            <v>0</v>
          </cell>
        </row>
        <row r="20">
          <cell r="B20">
            <v>87149200206</v>
          </cell>
          <cell r="C20" t="str">
            <v>輪幅</v>
          </cell>
          <cell r="D20">
            <v>1863355</v>
          </cell>
          <cell r="E20">
            <v>29746</v>
          </cell>
          <cell r="F20">
            <v>5358810</v>
          </cell>
        </row>
        <row r="21">
          <cell r="B21">
            <v>87149200304</v>
          </cell>
          <cell r="C21" t="str">
            <v>輪圈及輪幅</v>
          </cell>
          <cell r="D21">
            <v>1318977</v>
          </cell>
          <cell r="E21">
            <v>19982</v>
          </cell>
          <cell r="F21">
            <v>310765</v>
          </cell>
        </row>
        <row r="22">
          <cell r="B22">
            <v>87149410006</v>
          </cell>
          <cell r="C22" t="str">
            <v>鋼?煞車器及其零件</v>
          </cell>
          <cell r="D22">
            <v>578980</v>
          </cell>
          <cell r="E22">
            <v>7402</v>
          </cell>
          <cell r="F22">
            <v>0</v>
          </cell>
        </row>
        <row r="23">
          <cell r="B23">
            <v>87149990148</v>
          </cell>
          <cell r="C23" t="str">
            <v>腳踏車用把手豎管</v>
          </cell>
          <cell r="D23">
            <v>454916</v>
          </cell>
          <cell r="E23">
            <v>19680</v>
          </cell>
          <cell r="F23">
            <v>0</v>
          </cell>
        </row>
        <row r="24">
          <cell r="B24">
            <v>87149610004</v>
          </cell>
          <cell r="C24" t="str">
            <v>踏板及其零件</v>
          </cell>
          <cell r="D24">
            <v>437610</v>
          </cell>
          <cell r="E24">
            <v>56111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193355</v>
          </cell>
          <cell r="E25">
            <v>14975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37058</v>
          </cell>
          <cell r="E26">
            <v>698</v>
          </cell>
          <cell r="F26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21989161</v>
          </cell>
          <cell r="E10">
            <v>354813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7093888</v>
          </cell>
          <cell r="E11">
            <v>213113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5273564</v>
          </cell>
          <cell r="E12">
            <v>60101</v>
          </cell>
          <cell r="F12">
            <v>119073</v>
          </cell>
        </row>
        <row r="13">
          <cell r="B13">
            <v>87149990111</v>
          </cell>
          <cell r="C13" t="str">
            <v>腳踏車用變速器</v>
          </cell>
          <cell r="D13">
            <v>3138768</v>
          </cell>
          <cell r="E13">
            <v>34586</v>
          </cell>
          <cell r="F13">
            <v>0</v>
          </cell>
        </row>
        <row r="14">
          <cell r="B14">
            <v>87149620002</v>
          </cell>
          <cell r="C14" t="str">
            <v>曲柄齒輪及其零件</v>
          </cell>
          <cell r="D14">
            <v>2576605</v>
          </cell>
          <cell r="E14">
            <v>97908</v>
          </cell>
          <cell r="F14">
            <v>0</v>
          </cell>
        </row>
        <row r="15">
          <cell r="B15">
            <v>87149310007</v>
          </cell>
          <cell r="C15" t="str">
            <v>輪轂，但倒煞車輪轂及輪轂煞車除外</v>
          </cell>
          <cell r="D15">
            <v>2420514</v>
          </cell>
          <cell r="E15">
            <v>51853</v>
          </cell>
          <cell r="F15">
            <v>0</v>
          </cell>
        </row>
        <row r="16">
          <cell r="B16">
            <v>87149990166</v>
          </cell>
          <cell r="C16" t="str">
            <v>腳踏車用把手</v>
          </cell>
          <cell r="D16">
            <v>2286508</v>
          </cell>
          <cell r="E16">
            <v>32850</v>
          </cell>
          <cell r="F16">
            <v>0</v>
          </cell>
        </row>
        <row r="17">
          <cell r="B17">
            <v>87149320906</v>
          </cell>
          <cell r="C17" t="str">
            <v>其他飛輪之鏈輪</v>
          </cell>
          <cell r="D17">
            <v>1386626</v>
          </cell>
          <cell r="E17">
            <v>29361</v>
          </cell>
          <cell r="F17">
            <v>0</v>
          </cell>
        </row>
        <row r="18">
          <cell r="B18">
            <v>87149990157</v>
          </cell>
          <cell r="C18" t="str">
            <v>腳踏車用座管及上下管</v>
          </cell>
          <cell r="D18">
            <v>1333198</v>
          </cell>
          <cell r="E18">
            <v>44265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1154932</v>
          </cell>
          <cell r="E19">
            <v>12974</v>
          </cell>
          <cell r="F19">
            <v>2688336</v>
          </cell>
        </row>
        <row r="20">
          <cell r="B20">
            <v>87149500007</v>
          </cell>
          <cell r="C20" t="str">
            <v>腳踏車車座</v>
          </cell>
          <cell r="D20">
            <v>1080925</v>
          </cell>
          <cell r="E20">
            <v>60047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906178</v>
          </cell>
          <cell r="E21">
            <v>16413</v>
          </cell>
          <cell r="F21">
            <v>222050</v>
          </cell>
        </row>
        <row r="22">
          <cell r="B22">
            <v>87149610004</v>
          </cell>
          <cell r="C22" t="str">
            <v>踏板及其零件</v>
          </cell>
          <cell r="D22">
            <v>284096</v>
          </cell>
          <cell r="E22">
            <v>32990</v>
          </cell>
          <cell r="F22">
            <v>0</v>
          </cell>
        </row>
        <row r="23">
          <cell r="B23">
            <v>87149410006</v>
          </cell>
          <cell r="C23" t="str">
            <v>鋼?煞車器及其零件</v>
          </cell>
          <cell r="D23">
            <v>283665</v>
          </cell>
          <cell r="E23">
            <v>4483</v>
          </cell>
          <cell r="F23">
            <v>0</v>
          </cell>
        </row>
        <row r="24">
          <cell r="B24">
            <v>87149990148</v>
          </cell>
          <cell r="C24" t="str">
            <v>腳踏車用把手豎管</v>
          </cell>
          <cell r="D24">
            <v>215857</v>
          </cell>
          <cell r="E24">
            <v>11885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106153</v>
          </cell>
          <cell r="E25">
            <v>6316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24071</v>
          </cell>
          <cell r="E26">
            <v>444</v>
          </cell>
          <cell r="F26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106401086</v>
          </cell>
          <cell r="D10">
            <v>110445</v>
          </cell>
        </row>
        <row r="11">
          <cell r="B11" t="str">
            <v>美國</v>
          </cell>
          <cell r="C11">
            <v>28603496</v>
          </cell>
          <cell r="D11">
            <v>42698</v>
          </cell>
        </row>
        <row r="12">
          <cell r="B12" t="str">
            <v>荷蘭</v>
          </cell>
          <cell r="C12">
            <v>21793008</v>
          </cell>
          <cell r="D12">
            <v>12372</v>
          </cell>
        </row>
        <row r="13">
          <cell r="B13" t="str">
            <v>英國</v>
          </cell>
          <cell r="C13">
            <v>8952193</v>
          </cell>
          <cell r="D13">
            <v>7689</v>
          </cell>
        </row>
        <row r="14">
          <cell r="B14" t="str">
            <v>澳大利亞</v>
          </cell>
          <cell r="C14">
            <v>6546361</v>
          </cell>
          <cell r="D14">
            <v>7015</v>
          </cell>
        </row>
        <row r="15">
          <cell r="B15" t="str">
            <v>德國</v>
          </cell>
          <cell r="C15">
            <v>6501027</v>
          </cell>
          <cell r="D15">
            <v>7679</v>
          </cell>
        </row>
        <row r="16">
          <cell r="B16" t="str">
            <v>加拿大</v>
          </cell>
          <cell r="C16">
            <v>5747268</v>
          </cell>
          <cell r="D16">
            <v>4040</v>
          </cell>
        </row>
        <row r="17">
          <cell r="B17" t="str">
            <v>法國</v>
          </cell>
          <cell r="C17">
            <v>3765910</v>
          </cell>
          <cell r="D17">
            <v>2149</v>
          </cell>
        </row>
        <row r="18">
          <cell r="B18" t="str">
            <v>日本</v>
          </cell>
          <cell r="C18">
            <v>2606625</v>
          </cell>
          <cell r="D18">
            <v>2559</v>
          </cell>
        </row>
        <row r="19">
          <cell r="B19" t="str">
            <v>韓國</v>
          </cell>
          <cell r="C19">
            <v>2198522</v>
          </cell>
          <cell r="D19">
            <v>1177</v>
          </cell>
        </row>
        <row r="20">
          <cell r="B20" t="str">
            <v>西班牙</v>
          </cell>
          <cell r="C20">
            <v>1674120</v>
          </cell>
          <cell r="D20">
            <v>1180</v>
          </cell>
        </row>
        <row r="21">
          <cell r="B21" t="str">
            <v>義大利</v>
          </cell>
          <cell r="C21">
            <v>1654527</v>
          </cell>
          <cell r="D21">
            <v>1171</v>
          </cell>
        </row>
        <row r="22">
          <cell r="B22" t="str">
            <v>比利時</v>
          </cell>
          <cell r="C22">
            <v>1557825</v>
          </cell>
          <cell r="D22">
            <v>867</v>
          </cell>
        </row>
        <row r="23">
          <cell r="B23" t="str">
            <v>波蘭</v>
          </cell>
          <cell r="C23">
            <v>1364727</v>
          </cell>
          <cell r="D23">
            <v>1269</v>
          </cell>
        </row>
        <row r="24">
          <cell r="B24" t="str">
            <v>俄羅斯</v>
          </cell>
          <cell r="C24">
            <v>1363565</v>
          </cell>
          <cell r="D24">
            <v>1150</v>
          </cell>
        </row>
        <row r="25">
          <cell r="B25" t="str">
            <v>中國大陸</v>
          </cell>
          <cell r="C25">
            <v>1226309</v>
          </cell>
          <cell r="D25">
            <v>575</v>
          </cell>
        </row>
        <row r="26">
          <cell r="B26" t="str">
            <v>挪威</v>
          </cell>
          <cell r="C26">
            <v>1112542</v>
          </cell>
          <cell r="D26">
            <v>1608</v>
          </cell>
        </row>
        <row r="27">
          <cell r="B27" t="str">
            <v>紐西蘭</v>
          </cell>
          <cell r="C27">
            <v>940113</v>
          </cell>
          <cell r="D27">
            <v>990</v>
          </cell>
        </row>
        <row r="28">
          <cell r="B28" t="str">
            <v>瑞士</v>
          </cell>
          <cell r="C28">
            <v>798939</v>
          </cell>
          <cell r="D28">
            <v>863</v>
          </cell>
        </row>
        <row r="29">
          <cell r="B29" t="str">
            <v>南非</v>
          </cell>
          <cell r="C29">
            <v>620149</v>
          </cell>
          <cell r="D29">
            <v>290</v>
          </cell>
        </row>
        <row r="30">
          <cell r="B30" t="str">
            <v>香港</v>
          </cell>
          <cell r="C30">
            <v>608131</v>
          </cell>
          <cell r="D30">
            <v>255</v>
          </cell>
        </row>
        <row r="31">
          <cell r="B31" t="str">
            <v>智利</v>
          </cell>
          <cell r="C31">
            <v>593038</v>
          </cell>
          <cell r="D31">
            <v>369</v>
          </cell>
        </row>
        <row r="32">
          <cell r="B32" t="str">
            <v>以色列</v>
          </cell>
          <cell r="C32">
            <v>559921</v>
          </cell>
          <cell r="D32">
            <v>793</v>
          </cell>
        </row>
        <row r="33">
          <cell r="B33" t="str">
            <v>丹麥</v>
          </cell>
          <cell r="C33">
            <v>451314</v>
          </cell>
          <cell r="D33">
            <v>4251</v>
          </cell>
        </row>
        <row r="34">
          <cell r="B34" t="str">
            <v>烏拉圭</v>
          </cell>
          <cell r="C34">
            <v>449461</v>
          </cell>
          <cell r="D34">
            <v>314</v>
          </cell>
        </row>
        <row r="35">
          <cell r="B35" t="str">
            <v>哥倫比亞</v>
          </cell>
          <cell r="C35">
            <v>390944</v>
          </cell>
          <cell r="D35">
            <v>250</v>
          </cell>
        </row>
        <row r="36">
          <cell r="B36" t="str">
            <v>捷克</v>
          </cell>
          <cell r="C36">
            <v>390051</v>
          </cell>
          <cell r="D36">
            <v>1391</v>
          </cell>
        </row>
        <row r="37">
          <cell r="B37" t="str">
            <v>阿根廷</v>
          </cell>
          <cell r="C37">
            <v>383524</v>
          </cell>
          <cell r="D37">
            <v>535</v>
          </cell>
        </row>
        <row r="38">
          <cell r="B38" t="str">
            <v>墨西哥</v>
          </cell>
          <cell r="C38">
            <v>372283</v>
          </cell>
          <cell r="D38">
            <v>173</v>
          </cell>
        </row>
        <row r="39">
          <cell r="B39" t="str">
            <v>阿拉伯聯合大公國</v>
          </cell>
          <cell r="C39">
            <v>341467</v>
          </cell>
          <cell r="D39">
            <v>424</v>
          </cell>
        </row>
        <row r="40">
          <cell r="B40" t="str">
            <v>愛沙尼亞</v>
          </cell>
          <cell r="C40">
            <v>330325</v>
          </cell>
          <cell r="D40">
            <v>677</v>
          </cell>
        </row>
        <row r="41">
          <cell r="B41" t="str">
            <v>巴西</v>
          </cell>
          <cell r="C41">
            <v>303377</v>
          </cell>
          <cell r="D41">
            <v>154</v>
          </cell>
        </row>
        <row r="42">
          <cell r="B42" t="str">
            <v>印度</v>
          </cell>
          <cell r="C42">
            <v>283992</v>
          </cell>
          <cell r="D42">
            <v>288</v>
          </cell>
        </row>
        <row r="43">
          <cell r="B43" t="str">
            <v>瑞典</v>
          </cell>
          <cell r="C43">
            <v>261806</v>
          </cell>
          <cell r="D43">
            <v>1392</v>
          </cell>
        </row>
        <row r="44">
          <cell r="B44" t="str">
            <v>泰國</v>
          </cell>
          <cell r="C44">
            <v>257196</v>
          </cell>
          <cell r="D44">
            <v>138</v>
          </cell>
        </row>
        <row r="45">
          <cell r="B45" t="str">
            <v>菲律賓</v>
          </cell>
          <cell r="C45">
            <v>219545</v>
          </cell>
          <cell r="D45">
            <v>168</v>
          </cell>
        </row>
        <row r="46">
          <cell r="B46" t="str">
            <v>匈牙利</v>
          </cell>
          <cell r="C46">
            <v>190241</v>
          </cell>
          <cell r="D46">
            <v>357</v>
          </cell>
        </row>
        <row r="47">
          <cell r="B47" t="str">
            <v>新加坡</v>
          </cell>
          <cell r="C47">
            <v>173885</v>
          </cell>
          <cell r="D47">
            <v>92</v>
          </cell>
        </row>
        <row r="48">
          <cell r="B48" t="str">
            <v>拉脫維亞</v>
          </cell>
          <cell r="C48">
            <v>128540</v>
          </cell>
          <cell r="D48">
            <v>242</v>
          </cell>
        </row>
        <row r="49">
          <cell r="B49" t="str">
            <v>越南</v>
          </cell>
          <cell r="C49">
            <v>93508</v>
          </cell>
          <cell r="D49">
            <v>60</v>
          </cell>
        </row>
        <row r="50">
          <cell r="B50" t="str">
            <v>肯亞</v>
          </cell>
          <cell r="C50">
            <v>92198</v>
          </cell>
          <cell r="D50">
            <v>48</v>
          </cell>
        </row>
        <row r="51">
          <cell r="B51" t="str">
            <v>馬來西亞</v>
          </cell>
          <cell r="C51">
            <v>91586</v>
          </cell>
          <cell r="D51">
            <v>64</v>
          </cell>
        </row>
        <row r="52">
          <cell r="B52" t="str">
            <v>柬埔寨</v>
          </cell>
          <cell r="C52">
            <v>86363</v>
          </cell>
          <cell r="D52">
            <v>43</v>
          </cell>
        </row>
        <row r="53">
          <cell r="B53" t="str">
            <v>芬蘭</v>
          </cell>
          <cell r="C53">
            <v>72635</v>
          </cell>
          <cell r="D53">
            <v>102</v>
          </cell>
        </row>
        <row r="54">
          <cell r="B54" t="str">
            <v>克羅埃西亞</v>
          </cell>
          <cell r="C54">
            <v>70035</v>
          </cell>
          <cell r="D54">
            <v>250</v>
          </cell>
        </row>
        <row r="55">
          <cell r="B55" t="str">
            <v>厄瓜多</v>
          </cell>
          <cell r="C55">
            <v>60260</v>
          </cell>
          <cell r="D55">
            <v>36</v>
          </cell>
        </row>
        <row r="56">
          <cell r="B56" t="str">
            <v>模里西斯</v>
          </cell>
          <cell r="C56">
            <v>30162</v>
          </cell>
          <cell r="D56">
            <v>15</v>
          </cell>
        </row>
        <row r="57">
          <cell r="B57" t="str">
            <v>哥斯大黎加</v>
          </cell>
          <cell r="C57">
            <v>23345</v>
          </cell>
          <cell r="D57">
            <v>11</v>
          </cell>
        </row>
        <row r="58">
          <cell r="B58" t="str">
            <v>薩爾瓦多</v>
          </cell>
          <cell r="C58">
            <v>14666</v>
          </cell>
          <cell r="D58">
            <v>4</v>
          </cell>
        </row>
        <row r="59">
          <cell r="B59" t="str">
            <v>哈薩克</v>
          </cell>
          <cell r="C59">
            <v>13684</v>
          </cell>
          <cell r="D59">
            <v>40</v>
          </cell>
        </row>
        <row r="60">
          <cell r="B60" t="str">
            <v>巴拉圭</v>
          </cell>
          <cell r="C60">
            <v>12924</v>
          </cell>
          <cell r="D60">
            <v>12</v>
          </cell>
        </row>
        <row r="61">
          <cell r="B61" t="str">
            <v>希臘</v>
          </cell>
          <cell r="C61">
            <v>7728</v>
          </cell>
          <cell r="D61">
            <v>5</v>
          </cell>
        </row>
        <row r="62">
          <cell r="B62" t="str">
            <v>尼泊爾</v>
          </cell>
          <cell r="C62">
            <v>7612</v>
          </cell>
          <cell r="D62">
            <v>6</v>
          </cell>
        </row>
        <row r="63">
          <cell r="B63" t="str">
            <v>孟加拉</v>
          </cell>
          <cell r="C63">
            <v>5226</v>
          </cell>
          <cell r="D63">
            <v>60</v>
          </cell>
        </row>
        <row r="64">
          <cell r="B64" t="str">
            <v>沙烏地阿拉伯</v>
          </cell>
          <cell r="C64">
            <v>1744</v>
          </cell>
          <cell r="D64">
            <v>1</v>
          </cell>
        </row>
        <row r="65">
          <cell r="B65" t="str">
            <v>迦納</v>
          </cell>
          <cell r="C65">
            <v>730</v>
          </cell>
          <cell r="D65">
            <v>41</v>
          </cell>
        </row>
        <row r="66">
          <cell r="B66" t="str">
            <v>奈及利亞</v>
          </cell>
          <cell r="C66">
            <v>381</v>
          </cell>
          <cell r="D66">
            <v>34</v>
          </cell>
        </row>
        <row r="67">
          <cell r="B67" t="str">
            <v>甘比亞</v>
          </cell>
          <cell r="C67">
            <v>32</v>
          </cell>
          <cell r="D67">
            <v>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1635047</v>
          </cell>
          <cell r="D10">
            <v>15004</v>
          </cell>
        </row>
        <row r="11">
          <cell r="B11" t="str">
            <v>中國大陸</v>
          </cell>
          <cell r="C11">
            <v>1509977</v>
          </cell>
          <cell r="D11">
            <v>14920</v>
          </cell>
        </row>
        <row r="12">
          <cell r="B12" t="str">
            <v>德國</v>
          </cell>
          <cell r="C12">
            <v>35509</v>
          </cell>
          <cell r="D12">
            <v>8</v>
          </cell>
        </row>
        <row r="13">
          <cell r="B13" t="str">
            <v>柬埔寨</v>
          </cell>
          <cell r="C13">
            <v>28096</v>
          </cell>
          <cell r="D13">
            <v>28</v>
          </cell>
        </row>
        <row r="14">
          <cell r="B14" t="str">
            <v>中華民國</v>
          </cell>
          <cell r="C14">
            <v>22900</v>
          </cell>
          <cell r="D14">
            <v>6</v>
          </cell>
        </row>
        <row r="15">
          <cell r="B15" t="str">
            <v>美國</v>
          </cell>
          <cell r="C15">
            <v>20556</v>
          </cell>
          <cell r="D15">
            <v>9</v>
          </cell>
        </row>
        <row r="16">
          <cell r="B16" t="str">
            <v>越南</v>
          </cell>
          <cell r="C16">
            <v>14380</v>
          </cell>
          <cell r="D16">
            <v>18</v>
          </cell>
        </row>
        <row r="17">
          <cell r="B17" t="str">
            <v>日本</v>
          </cell>
          <cell r="C17">
            <v>1926</v>
          </cell>
          <cell r="D17">
            <v>8</v>
          </cell>
        </row>
        <row r="18">
          <cell r="B18" t="str">
            <v>義大利</v>
          </cell>
          <cell r="C18">
            <v>1330</v>
          </cell>
          <cell r="D18">
            <v>4</v>
          </cell>
        </row>
        <row r="19">
          <cell r="B19" t="str">
            <v>加拿大</v>
          </cell>
          <cell r="C19">
            <v>348</v>
          </cell>
          <cell r="D19">
            <v>2</v>
          </cell>
        </row>
        <row r="20">
          <cell r="B20" t="str">
            <v>英國</v>
          </cell>
          <cell r="C20">
            <v>25</v>
          </cell>
          <cell r="D20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5637645</v>
          </cell>
          <cell r="D10">
            <v>36964</v>
          </cell>
        </row>
        <row r="11">
          <cell r="B11" t="str">
            <v>中國大陸</v>
          </cell>
          <cell r="C11">
            <v>4056849</v>
          </cell>
          <cell r="D11">
            <v>36297</v>
          </cell>
        </row>
        <row r="12">
          <cell r="B12" t="str">
            <v>中華民國</v>
          </cell>
          <cell r="C12">
            <v>1242279</v>
          </cell>
          <cell r="D12">
            <v>321</v>
          </cell>
        </row>
        <row r="13">
          <cell r="B13" t="str">
            <v>越南</v>
          </cell>
          <cell r="C13">
            <v>184948</v>
          </cell>
          <cell r="D13">
            <v>246</v>
          </cell>
        </row>
        <row r="14">
          <cell r="B14" t="str">
            <v>德國</v>
          </cell>
          <cell r="C14">
            <v>87047</v>
          </cell>
          <cell r="D14">
            <v>17</v>
          </cell>
        </row>
        <row r="15">
          <cell r="B15" t="str">
            <v>柬埔寨</v>
          </cell>
          <cell r="C15">
            <v>28921</v>
          </cell>
          <cell r="D15">
            <v>29</v>
          </cell>
        </row>
        <row r="16">
          <cell r="B16" t="str">
            <v>美國</v>
          </cell>
          <cell r="C16">
            <v>28833</v>
          </cell>
          <cell r="D16">
            <v>14</v>
          </cell>
        </row>
        <row r="17">
          <cell r="B17" t="str">
            <v>日本</v>
          </cell>
          <cell r="C17">
            <v>5479</v>
          </cell>
          <cell r="D17">
            <v>25</v>
          </cell>
        </row>
        <row r="18">
          <cell r="B18" t="str">
            <v>義大利</v>
          </cell>
          <cell r="C18">
            <v>2821</v>
          </cell>
          <cell r="D18">
            <v>10</v>
          </cell>
        </row>
        <row r="19">
          <cell r="B19" t="str">
            <v>加拿大</v>
          </cell>
          <cell r="C19">
            <v>348</v>
          </cell>
          <cell r="D19">
            <v>2</v>
          </cell>
        </row>
        <row r="20">
          <cell r="B20" t="str">
            <v>法國</v>
          </cell>
          <cell r="C20">
            <v>63</v>
          </cell>
          <cell r="D20">
            <v>1</v>
          </cell>
        </row>
        <row r="21">
          <cell r="B21" t="str">
            <v>英國</v>
          </cell>
          <cell r="C21">
            <v>57</v>
          </cell>
          <cell r="D21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  <row r="3">
          <cell r="C3" t="str">
            <v>中國大陸</v>
          </cell>
          <cell r="D3" t="str">
            <v>China</v>
          </cell>
          <cell r="E3">
            <v>1764148</v>
          </cell>
          <cell r="F3">
            <v>20731</v>
          </cell>
        </row>
        <row r="4">
          <cell r="C4" t="str">
            <v>越南</v>
          </cell>
          <cell r="D4" t="str">
            <v>Viet Nam</v>
          </cell>
          <cell r="E4">
            <v>260360</v>
          </cell>
          <cell r="F4">
            <v>271</v>
          </cell>
        </row>
        <row r="5">
          <cell r="C5" t="str">
            <v>柬埔寨</v>
          </cell>
          <cell r="D5" t="str">
            <v>Cambodia</v>
          </cell>
          <cell r="E5">
            <v>165163</v>
          </cell>
          <cell r="F5">
            <v>573</v>
          </cell>
        </row>
        <row r="6">
          <cell r="C6" t="str">
            <v>美國</v>
          </cell>
          <cell r="D6" t="str">
            <v>United States</v>
          </cell>
          <cell r="E6">
            <v>70260</v>
          </cell>
          <cell r="F6">
            <v>13</v>
          </cell>
        </row>
        <row r="7">
          <cell r="C7" t="str">
            <v>德國</v>
          </cell>
          <cell r="D7" t="str">
            <v>Germany</v>
          </cell>
          <cell r="E7">
            <v>60720</v>
          </cell>
          <cell r="F7">
            <v>11</v>
          </cell>
        </row>
        <row r="8">
          <cell r="C8" t="str">
            <v>印尼</v>
          </cell>
          <cell r="D8" t="str">
            <v>Indonesia</v>
          </cell>
          <cell r="E8">
            <v>38530</v>
          </cell>
          <cell r="F8">
            <v>303</v>
          </cell>
        </row>
        <row r="9">
          <cell r="C9" t="str">
            <v>中華民國</v>
          </cell>
          <cell r="D9" t="str">
            <v>Taiwan, Roc</v>
          </cell>
          <cell r="E9">
            <v>34706</v>
          </cell>
          <cell r="F9">
            <v>17</v>
          </cell>
        </row>
        <row r="10">
          <cell r="C10" t="str">
            <v>法國</v>
          </cell>
          <cell r="D10" t="str">
            <v>France</v>
          </cell>
          <cell r="E10">
            <v>25425</v>
          </cell>
          <cell r="F10">
            <v>20</v>
          </cell>
        </row>
        <row r="11">
          <cell r="C11" t="str">
            <v>韓國</v>
          </cell>
          <cell r="D11" t="str">
            <v>Republic of Korea</v>
          </cell>
          <cell r="E11">
            <v>14412</v>
          </cell>
          <cell r="F11">
            <v>86</v>
          </cell>
        </row>
        <row r="12">
          <cell r="C12" t="str">
            <v>日本</v>
          </cell>
          <cell r="D12" t="str">
            <v>Japan</v>
          </cell>
          <cell r="E12">
            <v>4378</v>
          </cell>
          <cell r="F12">
            <v>12</v>
          </cell>
        </row>
        <row r="13">
          <cell r="C13" t="str">
            <v>澳大利亞</v>
          </cell>
          <cell r="D13" t="str">
            <v>Australia</v>
          </cell>
          <cell r="E13">
            <v>3105</v>
          </cell>
          <cell r="F13">
            <v>1</v>
          </cell>
        </row>
        <row r="14">
          <cell r="C14" t="str">
            <v>英國</v>
          </cell>
          <cell r="D14" t="str">
            <v>United Kingdom</v>
          </cell>
          <cell r="E14">
            <v>3104</v>
          </cell>
          <cell r="F14">
            <v>2</v>
          </cell>
        </row>
        <row r="15">
          <cell r="C15" t="str">
            <v>西班牙</v>
          </cell>
          <cell r="D15" t="str">
            <v>Spain</v>
          </cell>
          <cell r="E15">
            <v>3072</v>
          </cell>
          <cell r="F15">
            <v>1</v>
          </cell>
        </row>
        <row r="16">
          <cell r="C16" t="str">
            <v>斯洛伐克</v>
          </cell>
          <cell r="D16" t="str">
            <v>Slovakia</v>
          </cell>
          <cell r="E16">
            <v>2647</v>
          </cell>
          <cell r="F16">
            <v>2</v>
          </cell>
        </row>
        <row r="17">
          <cell r="C17" t="str">
            <v>義大利</v>
          </cell>
          <cell r="D17" t="str">
            <v>Italy</v>
          </cell>
          <cell r="E17">
            <v>2581</v>
          </cell>
          <cell r="F17">
            <v>2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48689608</v>
          </cell>
          <cell r="D10">
            <v>25177</v>
          </cell>
        </row>
        <row r="11">
          <cell r="B11" t="str">
            <v>荷蘭</v>
          </cell>
          <cell r="C11">
            <v>19957304</v>
          </cell>
          <cell r="D11">
            <v>12055</v>
          </cell>
        </row>
        <row r="12">
          <cell r="B12" t="str">
            <v>美國</v>
          </cell>
          <cell r="C12">
            <v>13172886</v>
          </cell>
          <cell r="D12">
            <v>5417</v>
          </cell>
        </row>
        <row r="13">
          <cell r="B13" t="str">
            <v>德國</v>
          </cell>
          <cell r="C13">
            <v>2782862</v>
          </cell>
          <cell r="D13">
            <v>1241</v>
          </cell>
        </row>
        <row r="14">
          <cell r="B14" t="str">
            <v>加拿大</v>
          </cell>
          <cell r="C14">
            <v>2013935</v>
          </cell>
          <cell r="D14">
            <v>843</v>
          </cell>
        </row>
        <row r="15">
          <cell r="B15" t="str">
            <v>澳大利亞</v>
          </cell>
          <cell r="C15">
            <v>1473995</v>
          </cell>
          <cell r="D15">
            <v>833</v>
          </cell>
        </row>
        <row r="16">
          <cell r="B16" t="str">
            <v>瑞士</v>
          </cell>
          <cell r="C16">
            <v>1432816</v>
          </cell>
          <cell r="D16">
            <v>522</v>
          </cell>
        </row>
        <row r="17">
          <cell r="B17" t="str">
            <v>法國</v>
          </cell>
          <cell r="C17">
            <v>913241</v>
          </cell>
          <cell r="D17">
            <v>309</v>
          </cell>
        </row>
        <row r="18">
          <cell r="B18" t="str">
            <v>英國</v>
          </cell>
          <cell r="C18">
            <v>898005</v>
          </cell>
          <cell r="D18">
            <v>634</v>
          </cell>
        </row>
        <row r="19">
          <cell r="B19" t="str">
            <v>義大利</v>
          </cell>
          <cell r="C19">
            <v>781343</v>
          </cell>
          <cell r="D19">
            <v>307</v>
          </cell>
        </row>
        <row r="20">
          <cell r="B20" t="str">
            <v>西班牙</v>
          </cell>
          <cell r="C20">
            <v>733925</v>
          </cell>
          <cell r="D20">
            <v>359</v>
          </cell>
        </row>
        <row r="21">
          <cell r="B21" t="str">
            <v>波蘭</v>
          </cell>
          <cell r="C21">
            <v>733480</v>
          </cell>
          <cell r="D21">
            <v>419</v>
          </cell>
        </row>
        <row r="22">
          <cell r="B22" t="str">
            <v>紐西蘭</v>
          </cell>
          <cell r="C22">
            <v>406589</v>
          </cell>
          <cell r="D22">
            <v>198</v>
          </cell>
        </row>
        <row r="23">
          <cell r="B23" t="str">
            <v>智利</v>
          </cell>
          <cell r="C23">
            <v>368989</v>
          </cell>
          <cell r="D23">
            <v>105</v>
          </cell>
        </row>
        <row r="24">
          <cell r="B24" t="str">
            <v>南非</v>
          </cell>
          <cell r="C24">
            <v>338740</v>
          </cell>
          <cell r="D24">
            <v>140</v>
          </cell>
        </row>
        <row r="25">
          <cell r="B25" t="str">
            <v>丹麥</v>
          </cell>
          <cell r="C25">
            <v>338708</v>
          </cell>
          <cell r="D25">
            <v>165</v>
          </cell>
        </row>
        <row r="26">
          <cell r="B26" t="str">
            <v>烏拉圭</v>
          </cell>
          <cell r="C26">
            <v>337092</v>
          </cell>
          <cell r="D26">
            <v>94</v>
          </cell>
        </row>
        <row r="27">
          <cell r="B27" t="str">
            <v>瑞典</v>
          </cell>
          <cell r="C27">
            <v>281818</v>
          </cell>
          <cell r="D27">
            <v>790</v>
          </cell>
        </row>
        <row r="28">
          <cell r="B28" t="str">
            <v>阿拉伯聯合大公國</v>
          </cell>
          <cell r="C28">
            <v>250459</v>
          </cell>
          <cell r="D28">
            <v>169</v>
          </cell>
        </row>
        <row r="29">
          <cell r="B29" t="str">
            <v>日本</v>
          </cell>
          <cell r="C29">
            <v>228129</v>
          </cell>
          <cell r="D29">
            <v>215</v>
          </cell>
        </row>
        <row r="30">
          <cell r="B30" t="str">
            <v>秘魯</v>
          </cell>
          <cell r="C30">
            <v>203167</v>
          </cell>
          <cell r="D30">
            <v>52</v>
          </cell>
        </row>
        <row r="31">
          <cell r="B31" t="str">
            <v>哥斯大黎加</v>
          </cell>
          <cell r="C31">
            <v>188343</v>
          </cell>
          <cell r="D31">
            <v>42</v>
          </cell>
        </row>
        <row r="32">
          <cell r="B32" t="str">
            <v>哥倫比亞</v>
          </cell>
          <cell r="C32">
            <v>158283</v>
          </cell>
          <cell r="D32">
            <v>43</v>
          </cell>
        </row>
        <row r="33">
          <cell r="B33" t="str">
            <v>墨西哥</v>
          </cell>
          <cell r="C33">
            <v>141273</v>
          </cell>
          <cell r="D33">
            <v>31</v>
          </cell>
        </row>
        <row r="34">
          <cell r="B34" t="str">
            <v>巴西</v>
          </cell>
          <cell r="C34">
            <v>131232</v>
          </cell>
          <cell r="D34">
            <v>43</v>
          </cell>
        </row>
        <row r="35">
          <cell r="B35" t="str">
            <v>比利時</v>
          </cell>
          <cell r="C35">
            <v>128096</v>
          </cell>
          <cell r="D35">
            <v>37</v>
          </cell>
        </row>
        <row r="36">
          <cell r="B36" t="str">
            <v>巴拉圭</v>
          </cell>
          <cell r="C36">
            <v>100000</v>
          </cell>
          <cell r="D36">
            <v>35</v>
          </cell>
        </row>
        <row r="37">
          <cell r="B37" t="str">
            <v>以色列</v>
          </cell>
          <cell r="C37">
            <v>72189</v>
          </cell>
          <cell r="D37">
            <v>28</v>
          </cell>
        </row>
        <row r="38">
          <cell r="B38" t="str">
            <v>阿根廷</v>
          </cell>
          <cell r="C38">
            <v>35128</v>
          </cell>
          <cell r="D38">
            <v>13</v>
          </cell>
        </row>
        <row r="39">
          <cell r="B39" t="str">
            <v>馬來西亞</v>
          </cell>
          <cell r="C39">
            <v>28255</v>
          </cell>
          <cell r="D39">
            <v>9</v>
          </cell>
        </row>
        <row r="40">
          <cell r="B40" t="str">
            <v>菲律賓</v>
          </cell>
          <cell r="C40">
            <v>19923</v>
          </cell>
          <cell r="D40">
            <v>7</v>
          </cell>
        </row>
        <row r="41">
          <cell r="B41" t="str">
            <v>韓國</v>
          </cell>
          <cell r="C41">
            <v>16756</v>
          </cell>
          <cell r="D41">
            <v>8</v>
          </cell>
        </row>
        <row r="42">
          <cell r="B42" t="str">
            <v>香港</v>
          </cell>
          <cell r="C42">
            <v>13620</v>
          </cell>
          <cell r="D42">
            <v>7</v>
          </cell>
        </row>
        <row r="43">
          <cell r="B43" t="str">
            <v>中國大陸</v>
          </cell>
          <cell r="C43">
            <v>7380</v>
          </cell>
          <cell r="D43">
            <v>5</v>
          </cell>
        </row>
        <row r="44">
          <cell r="B44" t="str">
            <v>匈牙利</v>
          </cell>
          <cell r="C44">
            <v>1647</v>
          </cell>
          <cell r="D4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486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68" t="s">
        <v>104</v>
      </c>
      <c r="B3" s="569"/>
      <c r="C3" s="569"/>
      <c r="D3" s="569"/>
      <c r="E3" s="569"/>
      <c r="F3" s="569"/>
      <c r="G3" s="569"/>
      <c r="H3" s="569"/>
      <c r="I3" s="570"/>
    </row>
    <row r="4" spans="1:9" s="13" customFormat="1">
      <c r="A4" s="531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24533</v>
      </c>
      <c r="C7" s="22">
        <f>SUM(C8:C10)</f>
        <v>20260947</v>
      </c>
      <c r="D7" s="23">
        <f>IF(B7,C7/B7,0)</f>
        <v>825.86503892715939</v>
      </c>
      <c r="E7" s="22">
        <v>22378</v>
      </c>
      <c r="F7" s="24">
        <f>E7/$E$67</f>
        <v>0.20261668703879759</v>
      </c>
      <c r="G7" s="22">
        <v>14462100</v>
      </c>
      <c r="H7" s="24">
        <f>G7/$G$67</f>
        <v>0.13592060517126678</v>
      </c>
      <c r="I7" s="25">
        <f>IF(E7,G7/E7,0)</f>
        <v>646.26418804182674</v>
      </c>
    </row>
    <row r="8" spans="1:9">
      <c r="A8" s="444" t="s">
        <v>195</v>
      </c>
      <c r="B8" s="27">
        <f>VLOOKUP(A8,[1]進出口值表查詢結果!$B$10:$D$60,3,0)</f>
        <v>22414</v>
      </c>
      <c r="C8" s="28">
        <f>VLOOKUP(A8,[1]進出口值表查詢結果!$B$10:$D$60,2,0)</f>
        <v>17222713</v>
      </c>
      <c r="D8" s="23">
        <f t="shared" ref="D8:D66" si="0">IF(B8,C8/B8,0)</f>
        <v>768.39087177656825</v>
      </c>
      <c r="E8" s="28">
        <f>VLOOKUP(A8,[2]進出口值表查詢結果!$B$10:$D$67,3,0)</f>
        <v>42698</v>
      </c>
      <c r="F8" s="29">
        <f>E8/$E$67</f>
        <v>0.38659966499162479</v>
      </c>
      <c r="G8" s="27">
        <f>VLOOKUP(A8,[2]進出口值表查詢結果!$B$10:$D$67,2,0)</f>
        <v>28603496</v>
      </c>
      <c r="H8" s="24">
        <f>G8/$G$67</f>
        <v>0.26882710576845054</v>
      </c>
      <c r="I8" s="25">
        <f t="shared" ref="I8:I66" si="1">IF(E8,G8/E8,0)</f>
        <v>669.90247786781583</v>
      </c>
    </row>
    <row r="9" spans="1:9">
      <c r="A9" s="445" t="s">
        <v>6</v>
      </c>
      <c r="B9" s="27">
        <f>VLOOKUP(A9,[1]進出口值表查詢結果!$B$10:$D$60,3,0)</f>
        <v>2097</v>
      </c>
      <c r="C9" s="28">
        <f>VLOOKUP(A9,[1]進出口值表查詢結果!$B$10:$D$60,2,0)</f>
        <v>2965792</v>
      </c>
      <c r="D9" s="23">
        <f t="shared" si="0"/>
        <v>1414.3023366714353</v>
      </c>
      <c r="E9" s="28">
        <f>VLOOKUP(A9,[2]進出口值表查詢結果!$B$10:$D$67,3,0)</f>
        <v>4040</v>
      </c>
      <c r="F9" s="29">
        <f>E9/$E$67</f>
        <v>3.6579292860699893E-2</v>
      </c>
      <c r="G9" s="27">
        <f>VLOOKUP(A9,[2]進出口值表查詢結果!$B$10:$D$67,2,0)</f>
        <v>5747268</v>
      </c>
      <c r="H9" s="24">
        <f>G9/$G$67</f>
        <v>5.4015125371934647E-2</v>
      </c>
      <c r="I9" s="25">
        <f t="shared" si="1"/>
        <v>1422.5910891089109</v>
      </c>
    </row>
    <row r="10" spans="1:9">
      <c r="A10" s="445" t="s">
        <v>7</v>
      </c>
      <c r="B10" s="27">
        <f>VLOOKUP(A10,[1]進出口值表查詢結果!$B$10:$D$60,3,0)</f>
        <v>22</v>
      </c>
      <c r="C10" s="28">
        <f>VLOOKUP(A10,[1]進出口值表查詢結果!$B$10:$D$60,2,0)</f>
        <v>72442</v>
      </c>
      <c r="D10" s="23">
        <f t="shared" si="0"/>
        <v>3292.818181818182</v>
      </c>
      <c r="E10" s="28">
        <f>VLOOKUP(A10,[2]進出口值表查詢結果!$B$10:$D$67,3,0)</f>
        <v>173</v>
      </c>
      <c r="F10" s="29">
        <f>E10/$E$67</f>
        <v>1.5663905111141293E-3</v>
      </c>
      <c r="G10" s="27">
        <f>VLOOKUP(A10,[2]進出口值表查詢結果!$B$10:$D$67,2,0)</f>
        <v>372283</v>
      </c>
      <c r="H10" s="24">
        <f>G10/$G$67</f>
        <v>3.4988646638437508E-3</v>
      </c>
      <c r="I10" s="25">
        <f t="shared" si="1"/>
        <v>2151.9248554913293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19642</v>
      </c>
      <c r="C12" s="33">
        <f>SUM(C13:C39)</f>
        <v>18422232</v>
      </c>
      <c r="D12" s="23">
        <f t="shared" si="0"/>
        <v>937.90001018226246</v>
      </c>
      <c r="E12" s="33">
        <f>SUM(E13:E39)</f>
        <v>35354</v>
      </c>
      <c r="F12" s="24">
        <f t="shared" ref="F12:F27" si="2">E12/$E$67</f>
        <v>0.32010502965276832</v>
      </c>
      <c r="G12" s="33">
        <f>SUM(G13:G39)</f>
        <v>40213819</v>
      </c>
      <c r="H12" s="24">
        <f t="shared" ref="H12:H39" si="3">G12/$G$67</f>
        <v>0.37794556908939819</v>
      </c>
      <c r="I12" s="25">
        <f t="shared" si="1"/>
        <v>1137.4616450755218</v>
      </c>
    </row>
    <row r="13" spans="1:9">
      <c r="A13" s="444" t="s">
        <v>196</v>
      </c>
      <c r="B13" s="27">
        <f>VLOOKUP(A13,[1]進出口值表查詢結果!$B$10:$D$60,3,0)</f>
        <v>5346</v>
      </c>
      <c r="C13" s="28">
        <f>VLOOKUP(A13,[1]進出口值表查詢結果!$B$10:$D$60,2,0)</f>
        <v>8858915</v>
      </c>
      <c r="D13" s="23">
        <f t="shared" si="0"/>
        <v>1657.1109240553685</v>
      </c>
      <c r="E13" s="28">
        <f>VLOOKUP(A13,[2]進出口值表查詢結果!$B$10:$D$67,3,0)</f>
        <v>12372</v>
      </c>
      <c r="F13" s="29">
        <f t="shared" si="2"/>
        <v>0.11201955724568789</v>
      </c>
      <c r="G13" s="27">
        <f>VLOOKUP(A13,[2]進出口值表查詢結果!$B$10:$D$67,2,0)</f>
        <v>21793008</v>
      </c>
      <c r="H13" s="24">
        <f t="shared" si="3"/>
        <v>0.20481941321538766</v>
      </c>
      <c r="I13" s="25">
        <f t="shared" si="1"/>
        <v>1761.478176527643</v>
      </c>
    </row>
    <row r="14" spans="1:9">
      <c r="A14" s="444" t="s">
        <v>197</v>
      </c>
      <c r="B14" s="27">
        <f>VLOOKUP(A14,[1]進出口值表查詢結果!$B$10:$D$60,3,0)</f>
        <v>3537</v>
      </c>
      <c r="C14" s="28">
        <f>VLOOKUP(A14,[1]進出口值表查詢結果!$B$10:$D$60,2,0)</f>
        <v>2758819</v>
      </c>
      <c r="D14" s="23">
        <f t="shared" si="0"/>
        <v>779.98840825558386</v>
      </c>
      <c r="E14" s="28">
        <f>VLOOKUP(A14,[2]進出口值表查詢結果!$B$10:$D$67,3,0)</f>
        <v>7679</v>
      </c>
      <c r="F14" s="29">
        <f t="shared" si="2"/>
        <v>6.9527819276562999E-2</v>
      </c>
      <c r="G14" s="27">
        <f>VLOOKUP(A14,[2]進出口值表查詢結果!$B$10:$D$67,2,0)</f>
        <v>6501027</v>
      </c>
      <c r="H14" s="24">
        <f t="shared" si="3"/>
        <v>6.1099254193702497E-2</v>
      </c>
      <c r="I14" s="25">
        <f t="shared" si="1"/>
        <v>846.5981247558276</v>
      </c>
    </row>
    <row r="15" spans="1:9">
      <c r="A15" s="445" t="s">
        <v>9</v>
      </c>
      <c r="B15" s="27">
        <f>VLOOKUP(A15,[1]進出口值表查詢結果!$B$10:$D$60,3,0)</f>
        <v>389</v>
      </c>
      <c r="C15" s="28">
        <f>VLOOKUP(A15,[1]進出口值表查詢結果!$B$10:$D$60,2,0)</f>
        <v>625975</v>
      </c>
      <c r="D15" s="23">
        <f t="shared" si="0"/>
        <v>1609.1902313624678</v>
      </c>
      <c r="E15" s="28">
        <f>VLOOKUP(A15,[2]進出口值表查詢結果!$B$10:$D$67,3,0)</f>
        <v>1180</v>
      </c>
      <c r="F15" s="29">
        <f t="shared" si="2"/>
        <v>1.0684050885055911E-2</v>
      </c>
      <c r="G15" s="27">
        <f>VLOOKUP(A15,[2]進出口值表查詢結果!$B$10:$D$67,2,0)</f>
        <v>1674120</v>
      </c>
      <c r="H15" s="24">
        <f t="shared" si="3"/>
        <v>1.5734049932535462E-2</v>
      </c>
      <c r="I15" s="25">
        <f t="shared" si="1"/>
        <v>1418.7457627118645</v>
      </c>
    </row>
    <row r="16" spans="1:9">
      <c r="A16" s="444" t="s">
        <v>198</v>
      </c>
      <c r="B16" s="27">
        <f>VLOOKUP(A16,[1]進出口值表查詢結果!$B$10:$D$60,3,0)</f>
        <v>1237</v>
      </c>
      <c r="C16" s="28">
        <f>VLOOKUP(A16,[1]進出口值表查詢結果!$B$10:$D$60,2,0)</f>
        <v>2345200</v>
      </c>
      <c r="D16" s="23">
        <f t="shared" si="0"/>
        <v>1895.877122069523</v>
      </c>
      <c r="E16" s="28">
        <f>VLOOKUP(A16,[2]進出口值表查詢結果!$B$10:$D$67,3,0)</f>
        <v>2149</v>
      </c>
      <c r="F16" s="29">
        <f t="shared" si="2"/>
        <v>1.9457648603377245E-2</v>
      </c>
      <c r="G16" s="27">
        <f>VLOOKUP(A16,[2]進出口值表查詢結果!$B$10:$D$67,2,0)</f>
        <v>3765910</v>
      </c>
      <c r="H16" s="24">
        <f t="shared" si="3"/>
        <v>3.5393529723935335E-2</v>
      </c>
      <c r="I16" s="25">
        <f t="shared" si="1"/>
        <v>1752.4011167985109</v>
      </c>
    </row>
    <row r="17" spans="1:9">
      <c r="A17" s="445" t="s">
        <v>10</v>
      </c>
      <c r="B17" s="27">
        <f>VLOOKUP(A17,[1]進出口值表查詢結果!$B$10:$D$60,3,0)</f>
        <v>887</v>
      </c>
      <c r="C17" s="28">
        <f>VLOOKUP(A17,[1]進出口值表查詢結果!$B$10:$D$60,2,0)</f>
        <v>1418689</v>
      </c>
      <c r="D17" s="23">
        <f t="shared" si="0"/>
        <v>1599.423900789177</v>
      </c>
      <c r="E17" s="28">
        <f>VLOOKUP(A17,[2]進出口值表查詢結果!$B$10:$D$67,3,0)</f>
        <v>1171</v>
      </c>
      <c r="F17" s="29">
        <f t="shared" si="2"/>
        <v>1.0602562361356331E-2</v>
      </c>
      <c r="G17" s="27">
        <f>VLOOKUP(A17,[2]進出口值表查詢結果!$B$10:$D$67,2,0)</f>
        <v>1654527</v>
      </c>
      <c r="H17" s="24">
        <f t="shared" si="3"/>
        <v>1.5549907075196582E-2</v>
      </c>
      <c r="I17" s="25">
        <f t="shared" si="1"/>
        <v>1412.9180187873612</v>
      </c>
    </row>
    <row r="18" spans="1:9">
      <c r="A18" s="445" t="s">
        <v>11</v>
      </c>
      <c r="B18" s="27">
        <f>VLOOKUP(A18,[1]進出口值表查詢結果!$B$10:$D$60,3,0)</f>
        <v>239</v>
      </c>
      <c r="C18" s="28">
        <f>VLOOKUP(A18,[1]進出口值表查詢結果!$B$10:$D$60,2,0)</f>
        <v>269909</v>
      </c>
      <c r="D18" s="23">
        <f t="shared" si="0"/>
        <v>1129.3263598326359</v>
      </c>
      <c r="E18" s="28">
        <f>VLOOKUP(A18,[2]進出口值表查詢結果!$B$10:$D$67,3,0)</f>
        <v>867</v>
      </c>
      <c r="F18" s="29">
        <f t="shared" si="2"/>
        <v>7.8500611163927741E-3</v>
      </c>
      <c r="G18" s="27">
        <f>VLOOKUP(A18,[2]進出口值表查詢結果!$B$10:$D$67,2,0)</f>
        <v>1557825</v>
      </c>
      <c r="H18" s="24">
        <f t="shared" si="3"/>
        <v>1.46410629680979E-2</v>
      </c>
      <c r="I18" s="25">
        <f t="shared" si="1"/>
        <v>1796.7993079584776</v>
      </c>
    </row>
    <row r="19" spans="1:9">
      <c r="A19" s="444" t="s">
        <v>199</v>
      </c>
      <c r="B19" s="27">
        <f>VLOOKUP(A19,[1]進出口值表查詢結果!$B$10:$D$60,3,0)</f>
        <v>4251</v>
      </c>
      <c r="C19" s="28">
        <f>VLOOKUP(A19,[1]進出口值表查詢結果!$B$10:$D$60,2,0)</f>
        <v>451314</v>
      </c>
      <c r="D19" s="23">
        <f t="shared" si="0"/>
        <v>106.166549047283</v>
      </c>
      <c r="E19" s="28">
        <f>VLOOKUP(A19,[2]進出口值表查詢結果!$B$10:$D$67,3,0)</f>
        <v>4251</v>
      </c>
      <c r="F19" s="29">
        <f t="shared" si="2"/>
        <v>3.848974602743447E-2</v>
      </c>
      <c r="G19" s="27">
        <f>VLOOKUP(A19,[2]進出口值表查詢結果!$B$10:$D$67,2,0)</f>
        <v>451314</v>
      </c>
      <c r="H19" s="24">
        <f t="shared" si="3"/>
        <v>4.2416296390057522E-3</v>
      </c>
      <c r="I19" s="25">
        <f t="shared" si="1"/>
        <v>106.166549047283</v>
      </c>
    </row>
    <row r="20" spans="1:9">
      <c r="A20" s="445" t="s">
        <v>200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44" t="s">
        <v>201</v>
      </c>
      <c r="B21" s="27">
        <f>VLOOKUP(A21,[1]進出口值表查詢結果!$B$10:$D$60,3,0)</f>
        <v>5</v>
      </c>
      <c r="C21" s="28">
        <f>VLOOKUP(A21,[1]進出口值表查詢結果!$B$10:$D$60,2,0)</f>
        <v>7728</v>
      </c>
      <c r="D21" s="23">
        <f t="shared" si="0"/>
        <v>1545.6</v>
      </c>
      <c r="E21" s="28">
        <f>VLOOKUP(A21,[2]進出口值表查詢結果!$B$10:$D$67,3,0)</f>
        <v>5</v>
      </c>
      <c r="F21" s="29">
        <f t="shared" si="2"/>
        <v>4.5271402055321653E-5</v>
      </c>
      <c r="G21" s="27">
        <f>VLOOKUP(A21,[2]進出口值表查詢結果!$B$10:$D$67,2,0)</f>
        <v>7728</v>
      </c>
      <c r="H21" s="24">
        <f t="shared" si="3"/>
        <v>7.263083762133781E-5</v>
      </c>
      <c r="I21" s="25">
        <f t="shared" si="1"/>
        <v>1545.6</v>
      </c>
    </row>
    <row r="22" spans="1:9">
      <c r="A22" s="445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45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45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9">
        <f t="shared" si="2"/>
        <v>0</v>
      </c>
      <c r="G24" s="27">
        <v>0</v>
      </c>
      <c r="H24" s="24">
        <f t="shared" si="3"/>
        <v>0</v>
      </c>
      <c r="I24" s="25">
        <f t="shared" si="1"/>
        <v>0</v>
      </c>
    </row>
    <row r="25" spans="1:9">
      <c r="A25" s="444" t="s">
        <v>202</v>
      </c>
      <c r="B25" s="27">
        <f>VLOOKUP(A25,[1]進出口值表查詢結果!$B$10:$D$60,3,0)</f>
        <v>830</v>
      </c>
      <c r="C25" s="28">
        <f>VLOOKUP(A25,[1]進出口值表查詢結果!$B$10:$D$60,2,0)</f>
        <v>156129</v>
      </c>
      <c r="D25" s="23">
        <f t="shared" si="0"/>
        <v>188.10722891566266</v>
      </c>
      <c r="E25" s="28">
        <f>VLOOKUP(A25,[2]進出口值表查詢結果!$B$10:$D$67,3,0)</f>
        <v>1392</v>
      </c>
      <c r="F25" s="29">
        <f t="shared" si="2"/>
        <v>1.2603558332201548E-2</v>
      </c>
      <c r="G25" s="27">
        <f>VLOOKUP(A25,[2]進出口值表查詢結果!$B$10:$D$67,2,0)</f>
        <v>261806</v>
      </c>
      <c r="H25" s="24">
        <f t="shared" si="3"/>
        <v>2.4605575924290849E-3</v>
      </c>
      <c r="I25" s="25">
        <f t="shared" si="1"/>
        <v>188.07902298850576</v>
      </c>
    </row>
    <row r="26" spans="1:9">
      <c r="A26" s="444" t="s">
        <v>203</v>
      </c>
      <c r="B26" s="27">
        <f>VLOOKUP(A26,[1]進出口值表查詢結果!$B$10:$D$60,3,0)</f>
        <v>97</v>
      </c>
      <c r="C26" s="28">
        <f>VLOOKUP(A26,[1]進出口值表查詢結果!$B$10:$D$60,2,0)</f>
        <v>69781</v>
      </c>
      <c r="D26" s="23">
        <f t="shared" si="0"/>
        <v>719.39175257731961</v>
      </c>
      <c r="E26" s="28">
        <f>VLOOKUP(A26,[2]進出口值表查詢結果!$B$10:$D$67,3,0)</f>
        <v>102</v>
      </c>
      <c r="F26" s="29">
        <f t="shared" si="2"/>
        <v>9.2353660192856177E-4</v>
      </c>
      <c r="G26" s="27">
        <f>VLOOKUP(A26,[2]進出口值表查詢結果!$B$10:$D$67,2,0)</f>
        <v>72635</v>
      </c>
      <c r="H26" s="24">
        <f t="shared" si="3"/>
        <v>6.8265280675800617E-4</v>
      </c>
      <c r="I26" s="25">
        <f t="shared" si="1"/>
        <v>712.10784313725492</v>
      </c>
    </row>
    <row r="27" spans="1:9">
      <c r="A27" s="446" t="s">
        <v>204</v>
      </c>
      <c r="B27" s="27">
        <f>VLOOKUP(A27,[1]進出口值表查詢結果!$B$10:$D$60,3,0)</f>
        <v>820</v>
      </c>
      <c r="C27" s="28">
        <f>VLOOKUP(A27,[1]進出口值表查詢結果!$B$10:$D$60,2,0)</f>
        <v>777478</v>
      </c>
      <c r="D27" s="23">
        <f t="shared" si="0"/>
        <v>948.14390243902437</v>
      </c>
      <c r="E27" s="28">
        <f>VLOOKUP(A27,[2]進出口值表查詢結果!$B$10:$D$67,3,0)</f>
        <v>1269</v>
      </c>
      <c r="F27" s="29">
        <f t="shared" si="2"/>
        <v>1.1489881841640636E-2</v>
      </c>
      <c r="G27" s="27">
        <f>VLOOKUP(A27,[2]進出口值表查詢結果!$B$10:$D$67,2,0)</f>
        <v>1364727</v>
      </c>
      <c r="H27" s="24">
        <f t="shared" si="3"/>
        <v>1.2826250664396414E-2</v>
      </c>
      <c r="I27" s="25">
        <f t="shared" si="1"/>
        <v>1075.4349881796691</v>
      </c>
    </row>
    <row r="28" spans="1:9">
      <c r="A28" s="446" t="s">
        <v>205</v>
      </c>
      <c r="B28" s="27">
        <f>VLOOKUP(A28,[1]進出口值表查詢結果!$B$10:$D$60,3,0)</f>
        <v>807</v>
      </c>
      <c r="C28" s="28">
        <f>VLOOKUP(A28,[1]進出口值表查詢結果!$B$10:$D$60,2,0)</f>
        <v>243460</v>
      </c>
      <c r="D28" s="23">
        <f t="shared" si="0"/>
        <v>301.68525402726146</v>
      </c>
      <c r="E28" s="28">
        <f>VLOOKUP(A28,[2]進出口值表查詢結果!$B$10:$D$67,3,0)</f>
        <v>1391</v>
      </c>
      <c r="F28" s="29">
        <f t="shared" ref="F28:F39" si="4">E28/$E$67</f>
        <v>1.2594504051790485E-2</v>
      </c>
      <c r="G28" s="27">
        <f>VLOOKUP(A28,[2]進出口值表查詢結果!$B$10:$D$67,2,0)</f>
        <v>390051</v>
      </c>
      <c r="H28" s="24">
        <f t="shared" si="3"/>
        <v>3.6658554406108225E-3</v>
      </c>
      <c r="I28" s="25">
        <f t="shared" si="1"/>
        <v>280.41049604601005</v>
      </c>
    </row>
    <row r="29" spans="1:9">
      <c r="A29" s="445" t="s">
        <v>206</v>
      </c>
      <c r="B29" s="27">
        <f>VLOOKUP(A29,[1]進出口值表查詢結果!$B$10:$D$60,3,0)</f>
        <v>265</v>
      </c>
      <c r="C29" s="28">
        <f>VLOOKUP(A29,[1]進出口值表查詢結果!$B$10:$D$60,2,0)</f>
        <v>69117</v>
      </c>
      <c r="D29" s="23">
        <f t="shared" si="0"/>
        <v>260.81886792452832</v>
      </c>
      <c r="E29" s="28">
        <f>VLOOKUP(A29,[2]進出口值表查詢結果!$B$10:$D$67,3,0)</f>
        <v>357</v>
      </c>
      <c r="F29" s="29">
        <f t="shared" si="4"/>
        <v>3.2323781067499662E-3</v>
      </c>
      <c r="G29" s="27">
        <f>VLOOKUP(A29,[2]進出口值表查詢結果!$B$10:$D$67,2,0)</f>
        <v>190241</v>
      </c>
      <c r="H29" s="24">
        <f t="shared" si="3"/>
        <v>1.787961074006331E-3</v>
      </c>
      <c r="I29" s="25">
        <f t="shared" si="1"/>
        <v>532.8879551820728</v>
      </c>
    </row>
    <row r="30" spans="1:9">
      <c r="A30" s="445" t="s">
        <v>207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45" t="s">
        <v>16</v>
      </c>
      <c r="B31" s="27">
        <v>0</v>
      </c>
      <c r="C31" s="28">
        <v>0</v>
      </c>
      <c r="D31" s="23">
        <f t="shared" si="0"/>
        <v>0</v>
      </c>
      <c r="E31" s="28">
        <v>0</v>
      </c>
      <c r="F31" s="29">
        <f t="shared" si="4"/>
        <v>0</v>
      </c>
      <c r="G31" s="27">
        <v>0</v>
      </c>
      <c r="H31" s="24">
        <f t="shared" si="3"/>
        <v>0</v>
      </c>
      <c r="I31" s="25">
        <f t="shared" si="1"/>
        <v>0</v>
      </c>
    </row>
    <row r="32" spans="1:9">
      <c r="A32" s="445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4"/>
        <v>0</v>
      </c>
      <c r="G32" s="27">
        <v>0</v>
      </c>
      <c r="H32" s="24">
        <f t="shared" si="3"/>
        <v>0</v>
      </c>
      <c r="I32" s="25">
        <f t="shared" si="1"/>
        <v>0</v>
      </c>
    </row>
    <row r="33" spans="1:9">
      <c r="A33" s="445" t="s">
        <v>208</v>
      </c>
      <c r="B33" s="27">
        <f>VLOOKUP(A33,[1]進出口值表查詢結果!$B$10:$D$60,3,0)</f>
        <v>440</v>
      </c>
      <c r="C33" s="28">
        <f>VLOOKUP(A33,[1]進出口值表查詢結果!$B$10:$D$60,2,0)</f>
        <v>171143</v>
      </c>
      <c r="D33" s="23">
        <f t="shared" si="0"/>
        <v>388.96136363636361</v>
      </c>
      <c r="E33" s="28">
        <f>VLOOKUP(A33,[2]進出口值表查詢結果!$B$10:$D$67,3,0)</f>
        <v>677</v>
      </c>
      <c r="F33" s="29">
        <f t="shared" si="4"/>
        <v>6.1297478382905521E-3</v>
      </c>
      <c r="G33" s="27">
        <f>VLOOKUP(A33,[2]進出口值表查詢結果!$B$10:$D$67,2,0)</f>
        <v>330325</v>
      </c>
      <c r="H33" s="24">
        <f t="shared" si="3"/>
        <v>3.1045265834974654E-3</v>
      </c>
      <c r="I33" s="25">
        <f t="shared" si="1"/>
        <v>487.92466765140324</v>
      </c>
    </row>
    <row r="34" spans="1:9">
      <c r="A34" s="445" t="s">
        <v>209</v>
      </c>
      <c r="B34" s="27">
        <f>VLOOKUP(A34,[1]進出口值表查詢結果!$B$10:$D$60,3,0)</f>
        <v>242</v>
      </c>
      <c r="C34" s="28">
        <f>VLOOKUP(A34,[1]進出口值表查詢結果!$B$10:$D$60,2,0)</f>
        <v>128540</v>
      </c>
      <c r="D34" s="23">
        <f t="shared" si="0"/>
        <v>531.15702479338847</v>
      </c>
      <c r="E34" s="28">
        <f>VLOOKUP(A34,[2]進出口值表查詢結果!$B$10:$D$67,3,0)</f>
        <v>242</v>
      </c>
      <c r="F34" s="29">
        <f t="shared" si="4"/>
        <v>2.191135859477568E-3</v>
      </c>
      <c r="G34" s="27">
        <f>VLOOKUP(A34,[2]進出口值表查詢結果!$B$10:$D$67,2,0)</f>
        <v>128540</v>
      </c>
      <c r="H34" s="24">
        <f t="shared" si="3"/>
        <v>1.2080703762741669E-3</v>
      </c>
      <c r="I34" s="25">
        <f t="shared" si="1"/>
        <v>531.15702479338847</v>
      </c>
    </row>
    <row r="35" spans="1:9">
      <c r="A35" s="445" t="s">
        <v>210</v>
      </c>
      <c r="B35" s="27">
        <v>0</v>
      </c>
      <c r="C35" s="28">
        <v>0</v>
      </c>
      <c r="D35" s="23">
        <f t="shared" si="0"/>
        <v>0</v>
      </c>
      <c r="E35" s="28">
        <v>0</v>
      </c>
      <c r="F35" s="29">
        <f t="shared" si="4"/>
        <v>0</v>
      </c>
      <c r="G35" s="27">
        <v>0</v>
      </c>
      <c r="H35" s="24">
        <f t="shared" si="3"/>
        <v>0</v>
      </c>
      <c r="I35" s="25">
        <f t="shared" si="1"/>
        <v>0</v>
      </c>
    </row>
    <row r="36" spans="1:9">
      <c r="A36" s="445" t="s">
        <v>211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45" t="s">
        <v>212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45" t="s">
        <v>213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45" t="s">
        <v>18</v>
      </c>
      <c r="B39" s="27">
        <f>VLOOKUP(A39,[1]進出口值表查詢結果!$B$10:$D$60,3,0)</f>
        <v>250</v>
      </c>
      <c r="C39" s="28">
        <f>VLOOKUP(A39,[1]進出口值表查詢結果!$B$10:$D$60,2,0)</f>
        <v>70035</v>
      </c>
      <c r="D39" s="23">
        <f t="shared" si="0"/>
        <v>280.14</v>
      </c>
      <c r="E39" s="28">
        <f>VLOOKUP(A39,[2]進出口值表查詢結果!$B$10:$D$67,3,0)</f>
        <v>250</v>
      </c>
      <c r="F39" s="29">
        <f t="shared" si="4"/>
        <v>2.2635701027660829E-3</v>
      </c>
      <c r="G39" s="27">
        <f>VLOOKUP(A39,[2]進出口值表查詢結果!$B$10:$D$67,2,0)</f>
        <v>70035</v>
      </c>
      <c r="H39" s="24">
        <f t="shared" si="3"/>
        <v>6.5821696594337389E-4</v>
      </c>
      <c r="I39" s="25">
        <f t="shared" si="1"/>
        <v>280.14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1412</v>
      </c>
      <c r="C41" s="33">
        <f>SUM(C42:C45)</f>
        <v>899682</v>
      </c>
      <c r="D41" s="23">
        <f t="shared" si="0"/>
        <v>637.16855524079324</v>
      </c>
      <c r="E41" s="33">
        <f>SUM(E42:E45)</f>
        <v>2471</v>
      </c>
      <c r="F41" s="24">
        <f>E41/$E$67</f>
        <v>2.2373126895739961E-2</v>
      </c>
      <c r="G41" s="33">
        <f>SUM(G42:G45)</f>
        <v>1911481</v>
      </c>
      <c r="H41" s="24">
        <f>G41/$G$67</f>
        <v>1.7964863629305439E-2</v>
      </c>
      <c r="I41" s="25">
        <f t="shared" si="1"/>
        <v>773.56576284904895</v>
      </c>
    </row>
    <row r="42" spans="1:9">
      <c r="A42" s="444" t="s">
        <v>214</v>
      </c>
      <c r="B42" s="27">
        <f>VLOOKUP(A42,[1]進出口值表查詢結果!$B$10:$D$60,3,0)</f>
        <v>387</v>
      </c>
      <c r="C42" s="28">
        <f>VLOOKUP(A42,[1]進出口值表查詢結果!$B$10:$D$60,2,0)</f>
        <v>360658</v>
      </c>
      <c r="D42" s="23">
        <f t="shared" si="0"/>
        <v>931.93281653746772</v>
      </c>
      <c r="E42" s="28">
        <f>VLOOKUP(A42,[2]進出口值表查詢結果!$B$10:$D$67,3,0)</f>
        <v>863</v>
      </c>
      <c r="F42" s="29">
        <f>E42/$E$67</f>
        <v>7.8138439947485171E-3</v>
      </c>
      <c r="G42" s="27">
        <f>VLOOKUP(A42,[2]進出口值表查詢結果!$B$10:$D$67,2,0)</f>
        <v>798939</v>
      </c>
      <c r="H42" s="29">
        <f>G42/$G$67</f>
        <v>7.5087485479236552E-3</v>
      </c>
      <c r="I42" s="25">
        <f t="shared" si="1"/>
        <v>925.76940903823868</v>
      </c>
    </row>
    <row r="43" spans="1:9">
      <c r="A43" s="444" t="s">
        <v>215</v>
      </c>
      <c r="B43" s="27">
        <f>VLOOKUP(A43,[1]進出口值表查詢結果!$B$10:$D$60,3,0)</f>
        <v>1025</v>
      </c>
      <c r="C43" s="28">
        <f>VLOOKUP(A43,[1]進出口值表查詢結果!$B$10:$D$60,2,0)</f>
        <v>539024</v>
      </c>
      <c r="D43" s="23">
        <f t="shared" si="0"/>
        <v>525.87707317073171</v>
      </c>
      <c r="E43" s="28">
        <f>VLOOKUP(A43,[2]進出口值表查詢結果!$B$10:$D$67,3,0)</f>
        <v>1608</v>
      </c>
      <c r="F43" s="29">
        <f>E43/$E$67</f>
        <v>1.4559282900991444E-2</v>
      </c>
      <c r="G43" s="27">
        <f>VLOOKUP(A43,[2]進出口值表查詢結果!$B$10:$D$67,2,0)</f>
        <v>1112542</v>
      </c>
      <c r="H43" s="29">
        <f>G43/$G$67</f>
        <v>1.0456115081381782E-2</v>
      </c>
      <c r="I43" s="25">
        <f t="shared" si="1"/>
        <v>691.8793532338309</v>
      </c>
    </row>
    <row r="44" spans="1:9">
      <c r="A44" s="444" t="s">
        <v>216</v>
      </c>
      <c r="B44" s="27">
        <v>0</v>
      </c>
      <c r="C44" s="28">
        <v>0</v>
      </c>
      <c r="D44" s="23">
        <f t="shared" si="0"/>
        <v>0</v>
      </c>
      <c r="E44" s="27">
        <v>0</v>
      </c>
      <c r="F44" s="29">
        <f>E44/$E$67</f>
        <v>0</v>
      </c>
      <c r="G44" s="27">
        <v>0</v>
      </c>
      <c r="H44" s="29">
        <f>G44/$G$67</f>
        <v>0</v>
      </c>
      <c r="I44" s="25">
        <f t="shared" si="1"/>
        <v>0</v>
      </c>
    </row>
    <row r="45" spans="1:9">
      <c r="A45" s="445" t="s">
        <v>20</v>
      </c>
      <c r="B45" s="27">
        <v>0</v>
      </c>
      <c r="C45" s="28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13059</v>
      </c>
      <c r="C47" s="33">
        <f>SUM(C48:C65)</f>
        <v>15583904</v>
      </c>
      <c r="D47" s="23">
        <f t="shared" si="0"/>
        <v>1193.345891722184</v>
      </c>
      <c r="E47" s="33">
        <f>SUM(E48:E65)</f>
        <v>24172</v>
      </c>
      <c r="F47" s="24">
        <f t="shared" ref="F47:F65" si="5">E47/$E$67</f>
        <v>0.218860066096247</v>
      </c>
      <c r="G47" s="33">
        <f>SUM(G48:G65)</f>
        <v>27374890</v>
      </c>
      <c r="H47" s="24">
        <f t="shared" ref="H47:H66" si="6">G47/$G$67</f>
        <v>0.25728017475310355</v>
      </c>
      <c r="I47" s="25">
        <f t="shared" si="1"/>
        <v>1132.5041370180375</v>
      </c>
    </row>
    <row r="48" spans="1:9">
      <c r="A48" s="476" t="s">
        <v>157</v>
      </c>
      <c r="B48" s="27">
        <f>VLOOKUP(A48,[1]進出口值表查詢結果!$B$10:$D$60,3,0)</f>
        <v>4226</v>
      </c>
      <c r="C48" s="28">
        <f>VLOOKUP(A48,[1]進出口值表查詢結果!$B$10:$D$60,2,0)</f>
        <v>5281088</v>
      </c>
      <c r="D48" s="23">
        <f t="shared" si="0"/>
        <v>1249.6658778987221</v>
      </c>
      <c r="E48" s="28">
        <f>VLOOKUP(A48,[2]進出口值表查詢結果!$B$10:$D$67,3,0)</f>
        <v>7689</v>
      </c>
      <c r="F48" s="29">
        <f t="shared" ref="F48" si="7">E48/$E$67</f>
        <v>6.9618362080673638E-2</v>
      </c>
      <c r="G48" s="27">
        <f>VLOOKUP(A48,[2]進出口值表查詢結果!$B$10:$D$67,2,0)</f>
        <v>8952193</v>
      </c>
      <c r="H48" s="29">
        <f t="shared" ref="H48" si="8">G48/$G$67</f>
        <v>8.4136293496102105E-2</v>
      </c>
      <c r="I48" s="25">
        <f t="shared" si="1"/>
        <v>1164.2857328651321</v>
      </c>
    </row>
    <row r="49" spans="1:9">
      <c r="A49" s="444" t="s">
        <v>217</v>
      </c>
      <c r="B49" s="27">
        <f>VLOOKUP(A49,[1]進出口值表查詢結果!$B$10:$D$60,3,0)</f>
        <v>1641</v>
      </c>
      <c r="C49" s="28">
        <f>VLOOKUP(A49,[1]進出口值表查詢結果!$B$10:$D$60,2,0)</f>
        <v>1677575</v>
      </c>
      <c r="D49" s="23">
        <f t="shared" si="0"/>
        <v>1022.2882388787325</v>
      </c>
      <c r="E49" s="28">
        <f>VLOOKUP(A49,[2]進出口值表查詢結果!$B$10:$D$67,3,0)</f>
        <v>2559</v>
      </c>
      <c r="F49" s="29">
        <f t="shared" si="5"/>
        <v>2.3169903571913623E-2</v>
      </c>
      <c r="G49" s="27">
        <f>VLOOKUP(A49,[2]進出口值表查詢結果!$B$10:$D$67,2,0)</f>
        <v>2606625</v>
      </c>
      <c r="H49" s="29">
        <f t="shared" si="6"/>
        <v>2.4498105216708033E-2</v>
      </c>
      <c r="I49" s="25">
        <f t="shared" si="1"/>
        <v>1018.6107854630715</v>
      </c>
    </row>
    <row r="50" spans="1:9">
      <c r="A50" s="284" t="s">
        <v>218</v>
      </c>
      <c r="B50" s="27">
        <f>VLOOKUP(A50,[1]進出口值表查詢結果!$B$10:$D$60,3,0)</f>
        <v>65</v>
      </c>
      <c r="C50" s="28">
        <f>VLOOKUP(A50,[1]進出口值表查詢結果!$B$10:$D$60,2,0)</f>
        <v>113715</v>
      </c>
      <c r="D50" s="23">
        <f t="shared" si="0"/>
        <v>1749.4615384615386</v>
      </c>
      <c r="E50" s="28">
        <f>VLOOKUP(A50,[2]進出口值表查詢結果!$B$10:$D$67,3,0)</f>
        <v>424</v>
      </c>
      <c r="F50" s="29">
        <f t="shared" si="5"/>
        <v>3.8390148942912764E-3</v>
      </c>
      <c r="G50" s="27">
        <f>VLOOKUP(A50,[2]進出口值表查詢結果!$B$10:$D$67,2,0)</f>
        <v>341467</v>
      </c>
      <c r="H50" s="29">
        <f t="shared" si="6"/>
        <v>3.2092435597884782E-3</v>
      </c>
      <c r="I50" s="25">
        <f t="shared" si="1"/>
        <v>805.34669811320759</v>
      </c>
    </row>
    <row r="51" spans="1:9">
      <c r="A51" s="444" t="s">
        <v>219</v>
      </c>
      <c r="B51" s="27">
        <f>VLOOKUP(A51,[1]進出口值表查詢結果!$B$10:$D$60,3,0)</f>
        <v>11</v>
      </c>
      <c r="C51" s="28">
        <f>VLOOKUP(A51,[1]進出口值表查詢結果!$B$10:$D$60,2,0)</f>
        <v>13114</v>
      </c>
      <c r="D51" s="23">
        <f t="shared" si="0"/>
        <v>1192.1818181818182</v>
      </c>
      <c r="E51" s="28">
        <f>VLOOKUP(A51,[2]進出口值表查詢結果!$B$10:$D$67,3,0)</f>
        <v>154</v>
      </c>
      <c r="F51" s="29">
        <f t="shared" si="5"/>
        <v>1.394359183303907E-3</v>
      </c>
      <c r="G51" s="27">
        <f>VLOOKUP(A51,[2]進出口值表查詢結果!$B$10:$D$67,2,0)</f>
        <v>303377</v>
      </c>
      <c r="H51" s="29">
        <f t="shared" si="6"/>
        <v>2.8512584918541149E-3</v>
      </c>
      <c r="I51" s="25">
        <f t="shared" si="1"/>
        <v>1969.9805194805194</v>
      </c>
    </row>
    <row r="52" spans="1:9">
      <c r="A52" s="445" t="s">
        <v>22</v>
      </c>
      <c r="B52" s="27">
        <f>VLOOKUP(A52,[1]進出口值表查詢結果!$B$10:$D$60,3,0)</f>
        <v>269</v>
      </c>
      <c r="C52" s="28">
        <f>VLOOKUP(A52,[1]進出口值表查詢結果!$B$10:$D$60,2,0)</f>
        <v>86474</v>
      </c>
      <c r="D52" s="23">
        <f t="shared" si="0"/>
        <v>321.46468401486987</v>
      </c>
      <c r="E52" s="28">
        <f>VLOOKUP(A52,[2]進出口值表查詢結果!$B$10:$D$67,3,0)</f>
        <v>535</v>
      </c>
      <c r="F52" s="29">
        <f t="shared" si="5"/>
        <v>4.8440400199194168E-3</v>
      </c>
      <c r="G52" s="27">
        <f>VLOOKUP(A52,[2]進出口值表查詢結果!$B$10:$D$67,2,0)</f>
        <v>383524</v>
      </c>
      <c r="H52" s="29">
        <f t="shared" si="6"/>
        <v>3.6045120817657819E-3</v>
      </c>
      <c r="I52" s="25">
        <f t="shared" si="1"/>
        <v>716.86728971962611</v>
      </c>
    </row>
    <row r="53" spans="1:9">
      <c r="A53" s="444" t="s">
        <v>220</v>
      </c>
      <c r="B53" s="27">
        <f>VLOOKUP(A53,[1]進出口值表查詢結果!$B$10:$D$60,3,0)</f>
        <v>215</v>
      </c>
      <c r="C53" s="28">
        <f>VLOOKUP(A53,[1]進出口值表查詢結果!$B$10:$D$60,2,0)</f>
        <v>363985</v>
      </c>
      <c r="D53" s="23">
        <f t="shared" si="0"/>
        <v>1692.953488372093</v>
      </c>
      <c r="E53" s="28">
        <f>VLOOKUP(A53,[2]進出口值表查詢結果!$B$10:$D$67,3,0)</f>
        <v>369</v>
      </c>
      <c r="F53" s="29">
        <f t="shared" si="5"/>
        <v>3.3410294716827381E-3</v>
      </c>
      <c r="G53" s="27">
        <f>VLOOKUP(A53,[2]進出口值表查詢結果!$B$10:$D$67,2,0)</f>
        <v>593038</v>
      </c>
      <c r="H53" s="29">
        <f t="shared" si="6"/>
        <v>5.5736085250107318E-3</v>
      </c>
      <c r="I53" s="25">
        <f t="shared" si="1"/>
        <v>1607.1490514905149</v>
      </c>
    </row>
    <row r="54" spans="1:9">
      <c r="A54" s="445" t="s">
        <v>221</v>
      </c>
      <c r="B54" s="27">
        <f>VLOOKUP(A54,[1]進出口值表查詢結果!$B$10:$D$60,3,0)</f>
        <v>3324</v>
      </c>
      <c r="C54" s="28">
        <f>VLOOKUP(A54,[1]進出口值表查詢結果!$B$10:$D$60,2,0)</f>
        <v>3504783</v>
      </c>
      <c r="D54" s="23">
        <f t="shared" si="0"/>
        <v>1054.3871841155235</v>
      </c>
      <c r="E54" s="28">
        <f>VLOOKUP(A54,[2]進出口值表查詢結果!$B$10:$D$67,3,0)</f>
        <v>7015</v>
      </c>
      <c r="F54" s="29">
        <f t="shared" si="5"/>
        <v>6.3515777083616276E-2</v>
      </c>
      <c r="G54" s="27">
        <f>VLOOKUP(A54,[2]進出口值表查詢結果!$B$10:$D$67,2,0)</f>
        <v>6546361</v>
      </c>
      <c r="H54" s="29">
        <f t="shared" si="6"/>
        <v>6.1525321273506552E-2</v>
      </c>
      <c r="I54" s="25">
        <f t="shared" si="1"/>
        <v>933.19472558802568</v>
      </c>
    </row>
    <row r="55" spans="1:9">
      <c r="A55" s="445" t="s">
        <v>23</v>
      </c>
      <c r="B55" s="27">
        <f>VLOOKUP(A55,[1]進出口值表查詢結果!$B$10:$D$60,3,0)</f>
        <v>530</v>
      </c>
      <c r="C55" s="28">
        <f>VLOOKUP(A55,[1]進出口值表查詢結果!$B$10:$D$60,2,0)</f>
        <v>266075</v>
      </c>
      <c r="D55" s="23">
        <f t="shared" si="0"/>
        <v>502.02830188679246</v>
      </c>
      <c r="E55" s="28">
        <f>VLOOKUP(A55,[2]進出口值表查詢結果!$B$10:$D$67,3,0)</f>
        <v>793</v>
      </c>
      <c r="F55" s="29">
        <f t="shared" si="5"/>
        <v>7.1800443659740141E-3</v>
      </c>
      <c r="G55" s="27">
        <f>VLOOKUP(A55,[2]進出口值表查詢結果!$B$10:$D$67,2,0)</f>
        <v>559921</v>
      </c>
      <c r="H55" s="29">
        <f t="shared" si="6"/>
        <v>5.2623617018345099E-3</v>
      </c>
      <c r="I55" s="25">
        <f t="shared" si="1"/>
        <v>706.07944514501889</v>
      </c>
    </row>
    <row r="56" spans="1:9">
      <c r="A56" s="445" t="s">
        <v>222</v>
      </c>
      <c r="B56" s="27">
        <f>VLOOKUP(A56,[1]進出口值表查詢結果!$B$10:$D$60,3,0)</f>
        <v>377</v>
      </c>
      <c r="C56" s="28">
        <f>VLOOKUP(A56,[1]進出口值表查詢結果!$B$10:$D$60,2,0)</f>
        <v>835413</v>
      </c>
      <c r="D56" s="23">
        <f t="shared" si="0"/>
        <v>2215.9496021220161</v>
      </c>
      <c r="E56" s="28">
        <f>VLOOKUP(A56,[2]進出口值表查詢結果!$B$10:$D$67,3,0)</f>
        <v>575</v>
      </c>
      <c r="F56" s="29">
        <f t="shared" si="5"/>
        <v>5.2062112363619904E-3</v>
      </c>
      <c r="G56" s="27">
        <f>VLOOKUP(A56,[2]進出口值表查詢結果!$B$10:$D$67,2,0)</f>
        <v>1226309</v>
      </c>
      <c r="H56" s="29">
        <f t="shared" si="6"/>
        <v>1.1525342889827272E-2</v>
      </c>
      <c r="I56" s="25">
        <f t="shared" si="1"/>
        <v>2132.7113043478262</v>
      </c>
    </row>
    <row r="57" spans="1:9">
      <c r="A57" s="447" t="s">
        <v>223</v>
      </c>
      <c r="B57" s="27">
        <f>VLOOKUP(A57,[1]進出口值表查詢結果!$B$10:$D$60,3,0)</f>
        <v>426</v>
      </c>
      <c r="C57" s="28">
        <f>VLOOKUP(A57,[1]進出口值表查詢結果!$B$10:$D$60,2,0)</f>
        <v>989864</v>
      </c>
      <c r="D57" s="23">
        <f t="shared" si="0"/>
        <v>2323.6244131455401</v>
      </c>
      <c r="E57" s="28">
        <f>VLOOKUP(A57,[2]進出口值表查詢結果!$B$10:$D$67,3,0)</f>
        <v>1177</v>
      </c>
      <c r="F57" s="29">
        <f t="shared" si="5"/>
        <v>1.0656888043822718E-2</v>
      </c>
      <c r="G57" s="27">
        <f>VLOOKUP(A57,[2]進出口值表查詢結果!$B$10:$D$67,2,0)</f>
        <v>2198522</v>
      </c>
      <c r="H57" s="29">
        <f t="shared" si="6"/>
        <v>2.0662589853641156E-2</v>
      </c>
      <c r="I57" s="25">
        <f t="shared" si="1"/>
        <v>1867.9031435853865</v>
      </c>
    </row>
    <row r="58" spans="1:9">
      <c r="A58" s="445" t="s">
        <v>24</v>
      </c>
      <c r="B58" s="27">
        <f>VLOOKUP(A58,[1]進出口值表查詢結果!$B$10:$D$60,3,0)</f>
        <v>669</v>
      </c>
      <c r="C58" s="28">
        <f>VLOOKUP(A58,[1]進出口值表查詢結果!$B$10:$D$60,2,0)</f>
        <v>894805</v>
      </c>
      <c r="D58" s="23">
        <f t="shared" si="0"/>
        <v>1337.5261584454411</v>
      </c>
      <c r="E58" s="28">
        <f>VLOOKUP(A58,[2]進出口值表查詢結果!$B$10:$D$67,3,0)</f>
        <v>1150</v>
      </c>
      <c r="F58" s="29">
        <f t="shared" si="5"/>
        <v>1.0412422472723981E-2</v>
      </c>
      <c r="G58" s="27">
        <f>VLOOKUP(A58,[2]進出口值表查詢結果!$B$10:$D$67,2,0)</f>
        <v>1363565</v>
      </c>
      <c r="H58" s="29">
        <f t="shared" si="6"/>
        <v>1.2815329723232335E-2</v>
      </c>
      <c r="I58" s="25">
        <f t="shared" si="1"/>
        <v>1185.7086956521739</v>
      </c>
    </row>
    <row r="59" spans="1:9">
      <c r="A59" s="445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45" t="s">
        <v>26</v>
      </c>
      <c r="B60" s="27">
        <f>VLOOKUP(A60,[1]進出口值表查詢結果!$B$10:$D$60,3,0)</f>
        <v>871</v>
      </c>
      <c r="C60" s="28">
        <f>VLOOKUP(A60,[1]進出口值表查詢結果!$B$10:$D$60,2,0)</f>
        <v>756160</v>
      </c>
      <c r="D60" s="23">
        <f t="shared" si="0"/>
        <v>868.15154994259467</v>
      </c>
      <c r="E60" s="28">
        <f>VLOOKUP(A60,[2]進出口值表查詢結果!$B$10:$D$67,3,0)</f>
        <v>990</v>
      </c>
      <c r="F60" s="29">
        <f t="shared" si="5"/>
        <v>8.9637376069536881E-3</v>
      </c>
      <c r="G60" s="27">
        <f>VLOOKUP(A60,[2]進出口值表查詢結果!$B$10:$D$67,2,0)</f>
        <v>940113</v>
      </c>
      <c r="H60" s="29">
        <f t="shared" si="6"/>
        <v>8.8355583137563094E-3</v>
      </c>
      <c r="I60" s="25">
        <f t="shared" si="1"/>
        <v>949.60909090909092</v>
      </c>
    </row>
    <row r="61" spans="1:9">
      <c r="A61" s="446" t="s">
        <v>224</v>
      </c>
      <c r="B61" s="27">
        <f>VLOOKUP(A61,[1]進出口值表查詢結果!$B$10:$D$60,3,0)</f>
        <v>193</v>
      </c>
      <c r="C61" s="28">
        <f>VLOOKUP(A61,[1]進出口值表查詢結果!$B$10:$D$60,2,0)</f>
        <v>391732</v>
      </c>
      <c r="D61" s="23">
        <f t="shared" si="0"/>
        <v>2029.699481865285</v>
      </c>
      <c r="E61" s="28">
        <f>VLOOKUP(A61,[2]進出口值表查詢結果!$B$10:$D$67,3,0)</f>
        <v>290</v>
      </c>
      <c r="F61" s="29">
        <f t="shared" si="5"/>
        <v>2.625741319208656E-3</v>
      </c>
      <c r="G61" s="27">
        <f>VLOOKUP(A61,[2]進出口值表查詢結果!$B$10:$D$67,2,0)</f>
        <v>620149</v>
      </c>
      <c r="H61" s="29">
        <f t="shared" si="6"/>
        <v>5.8284085559051528E-3</v>
      </c>
      <c r="I61" s="25">
        <f t="shared" si="1"/>
        <v>2138.4448275862069</v>
      </c>
    </row>
    <row r="62" spans="1:9">
      <c r="A62" s="445" t="s">
        <v>27</v>
      </c>
      <c r="B62" s="27">
        <f>VLOOKUP(A62,[1]進出口值表查詢結果!$B$10:$D$60,3,0)</f>
        <v>143</v>
      </c>
      <c r="C62" s="28">
        <f>VLOOKUP(A62,[1]進出口值表查詢結果!$B$10:$D$60,2,0)</f>
        <v>212575</v>
      </c>
      <c r="D62" s="23">
        <f t="shared" si="0"/>
        <v>1486.5384615384614</v>
      </c>
      <c r="E62" s="28">
        <f>VLOOKUP(A62,[2]進出口值表查詢結果!$B$10:$D$67,3,0)</f>
        <v>250</v>
      </c>
      <c r="F62" s="29">
        <f t="shared" si="5"/>
        <v>2.2635701027660829E-3</v>
      </c>
      <c r="G62" s="27">
        <f>VLOOKUP(A62,[2]進出口值表查詢結果!$B$10:$D$67,2,0)</f>
        <v>390944</v>
      </c>
      <c r="H62" s="29">
        <f t="shared" si="6"/>
        <v>3.6742482120906174E-3</v>
      </c>
      <c r="I62" s="25">
        <f t="shared" si="1"/>
        <v>1563.7760000000001</v>
      </c>
    </row>
    <row r="63" spans="1:9">
      <c r="A63" s="287" t="s">
        <v>225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45" t="s">
        <v>28</v>
      </c>
      <c r="B64" s="27">
        <f>VLOOKUP(A64,[1]進出口值表查詢結果!$B$10:$D$60,3,0)</f>
        <v>48</v>
      </c>
      <c r="C64" s="28">
        <f>VLOOKUP(A64,[1]進出口值表查詢結果!$B$10:$D$60,2,0)</f>
        <v>57016</v>
      </c>
      <c r="D64" s="23">
        <f t="shared" si="0"/>
        <v>1187.8333333333333</v>
      </c>
      <c r="E64" s="28">
        <f>VLOOKUP(A64,[2]進出口值表查詢結果!$B$10:$D$67,3,0)</f>
        <v>64</v>
      </c>
      <c r="F64" s="29">
        <f t="shared" si="5"/>
        <v>5.7947394630811721E-4</v>
      </c>
      <c r="G64" s="27">
        <f>VLOOKUP(A64,[2]進出口值表查詢結果!$B$10:$D$67,2,0)</f>
        <v>91586</v>
      </c>
      <c r="H64" s="29">
        <f t="shared" si="6"/>
        <v>8.6076189109573565E-4</v>
      </c>
      <c r="I64" s="25">
        <f t="shared" si="1"/>
        <v>1431.03125</v>
      </c>
    </row>
    <row r="65" spans="1:256">
      <c r="A65" s="287" t="s">
        <v>226</v>
      </c>
      <c r="B65" s="27">
        <f>VLOOKUP(A65,[1]進出口值表查詢結果!$B$10:$D$60,3,0)</f>
        <v>51</v>
      </c>
      <c r="C65" s="28">
        <f>VLOOKUP(A65,[1]進出口值表查詢結果!$B$10:$D$60,2,0)</f>
        <v>139530</v>
      </c>
      <c r="D65" s="23">
        <f t="shared" si="0"/>
        <v>2735.8823529411766</v>
      </c>
      <c r="E65" s="28">
        <f>VLOOKUP(A65,[2]進出口值表查詢結果!$B$10:$D$67,3,0)</f>
        <v>138</v>
      </c>
      <c r="F65" s="29">
        <f t="shared" si="5"/>
        <v>1.2494906967268776E-3</v>
      </c>
      <c r="G65" s="27">
        <f>VLOOKUP(A65,[2]進出口值表查詢結果!$B$10:$D$67,2,0)</f>
        <v>257196</v>
      </c>
      <c r="H65" s="29">
        <f t="shared" si="6"/>
        <v>2.4172309669846792E-3</v>
      </c>
      <c r="I65" s="25">
        <f t="shared" si="1"/>
        <v>1863.7391304347825</v>
      </c>
    </row>
    <row r="66" spans="1:256">
      <c r="A66" s="30" t="s">
        <v>29</v>
      </c>
      <c r="B66" s="27">
        <f>B67-B7-B12-B41-B47</f>
        <v>825</v>
      </c>
      <c r="C66" s="27">
        <f>C67-C7-C12-C41-C47</f>
        <v>1112258</v>
      </c>
      <c r="D66" s="23">
        <f t="shared" si="0"/>
        <v>1348.1915151515152</v>
      </c>
      <c r="E66" s="27">
        <f>E67-E7-E12-E41-E47</f>
        <v>26070</v>
      </c>
      <c r="F66" s="29">
        <f>E66/$E$67</f>
        <v>0.2360450903164471</v>
      </c>
      <c r="G66" s="27">
        <f>G67-G7-G12-G41-G47</f>
        <v>22438796</v>
      </c>
      <c r="H66" s="29">
        <f t="shared" si="6"/>
        <v>0.21088878735692604</v>
      </c>
      <c r="I66" s="25">
        <f t="shared" si="1"/>
        <v>860.7133103183736</v>
      </c>
    </row>
    <row r="67" spans="1:256">
      <c r="A67" s="288" t="s">
        <v>399</v>
      </c>
      <c r="B67" s="27">
        <f>VLOOKUP(A67,[1]進出口值表查詢結果!$B$10:$D$60,3,0)</f>
        <v>59471</v>
      </c>
      <c r="C67" s="28">
        <f>VLOOKUP(A67,[1]進出口值表查詢結果!$B$10:$D$60,2,0)</f>
        <v>56279023</v>
      </c>
      <c r="D67" s="23">
        <f t="shared" ref="D67" si="9">C67/B67</f>
        <v>946.32716786332833</v>
      </c>
      <c r="E67" s="28">
        <f>VLOOKUP(A67,[2]進出口值表查詢結果!$B$10:$D$67,3,0)</f>
        <v>110445</v>
      </c>
      <c r="F67" s="24">
        <f>E67/$E$67</f>
        <v>1</v>
      </c>
      <c r="G67" s="27">
        <f>VLOOKUP(A67,[2]進出口值表查詢結果!$B$10:$D$67,2,0)</f>
        <v>106401086</v>
      </c>
      <c r="H67" s="24">
        <f>G67/$G$67</f>
        <v>1</v>
      </c>
      <c r="I67" s="25">
        <f>G67/E67</f>
        <v>963.38526868577117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8" t="s">
        <v>148</v>
      </c>
      <c r="B69" s="569"/>
      <c r="C69" s="569"/>
      <c r="D69" s="569"/>
      <c r="E69" s="569"/>
      <c r="F69" s="569"/>
      <c r="G69" s="569"/>
      <c r="H69" s="569"/>
      <c r="I69" s="570"/>
    </row>
    <row r="70" spans="1:256">
      <c r="A70" s="531" t="s">
        <v>487</v>
      </c>
      <c r="B70" s="8" t="s">
        <v>488</v>
      </c>
      <c r="C70" s="8" t="s">
        <v>489</v>
      </c>
      <c r="D70" s="9" t="s">
        <v>0</v>
      </c>
      <c r="E70" s="10" t="s">
        <v>490</v>
      </c>
      <c r="F70" s="11" t="s">
        <v>1</v>
      </c>
      <c r="G70" s="73" t="s">
        <v>491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2853</v>
      </c>
      <c r="C72" s="27">
        <v>736048</v>
      </c>
      <c r="D72" s="505">
        <f>C72/B72</f>
        <v>257.99088678583945</v>
      </c>
      <c r="E72" s="27">
        <v>4068</v>
      </c>
      <c r="F72" s="506">
        <v>1</v>
      </c>
      <c r="G72" s="27">
        <v>1019842</v>
      </c>
      <c r="H72" s="53">
        <v>1</v>
      </c>
      <c r="I72" s="52">
        <f>G72/E72</f>
        <v>250.69862340216324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3" t="s">
        <v>461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3" style="5" customWidth="1"/>
    <col min="3" max="3" width="12.875" style="59" customWidth="1"/>
    <col min="4" max="4" width="10.875" style="60" customWidth="1"/>
    <col min="5" max="5" width="13.5" style="514" customWidth="1"/>
    <col min="6" max="6" width="14.625" style="59" customWidth="1"/>
    <col min="7" max="7" width="11.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3.25">
      <c r="A1" s="1" t="s">
        <v>506</v>
      </c>
      <c r="B1" s="1"/>
      <c r="C1" s="57"/>
      <c r="D1" s="58"/>
      <c r="E1" s="525"/>
      <c r="F1" s="57"/>
      <c r="G1" s="58"/>
    </row>
    <row r="2" spans="1:10" ht="9.75" customHeight="1"/>
    <row r="3" spans="1:10">
      <c r="A3" s="112" t="s">
        <v>149</v>
      </c>
      <c r="B3" s="63"/>
      <c r="C3" s="66"/>
      <c r="D3" s="65"/>
      <c r="E3" s="515"/>
      <c r="F3" s="66"/>
      <c r="G3" s="198"/>
      <c r="H3" s="199"/>
      <c r="I3" s="68"/>
      <c r="J3" s="69"/>
    </row>
    <row r="4" spans="1:10">
      <c r="A4" s="70" t="s">
        <v>493</v>
      </c>
      <c r="B4" s="8" t="s">
        <v>478</v>
      </c>
      <c r="C4" s="71" t="s">
        <v>464</v>
      </c>
      <c r="D4" s="72" t="s">
        <v>153</v>
      </c>
      <c r="E4" s="516" t="s">
        <v>481</v>
      </c>
      <c r="F4" s="71" t="s">
        <v>464</v>
      </c>
      <c r="G4" s="74" t="s">
        <v>154</v>
      </c>
      <c r="H4" s="8" t="s">
        <v>478</v>
      </c>
      <c r="I4" s="71" t="s">
        <v>479</v>
      </c>
      <c r="J4" s="200" t="s">
        <v>113</v>
      </c>
    </row>
    <row r="5" spans="1:10">
      <c r="A5" s="46"/>
      <c r="B5" s="77" t="s">
        <v>32</v>
      </c>
      <c r="C5" s="76" t="s">
        <v>32</v>
      </c>
      <c r="D5" s="201" t="s">
        <v>1</v>
      </c>
      <c r="E5" s="517" t="s">
        <v>33</v>
      </c>
      <c r="F5" s="76" t="s">
        <v>33</v>
      </c>
      <c r="G5" s="201" t="s">
        <v>1</v>
      </c>
      <c r="H5" s="78" t="s">
        <v>34</v>
      </c>
      <c r="I5" s="79" t="s">
        <v>114</v>
      </c>
      <c r="J5" s="201" t="s">
        <v>1</v>
      </c>
    </row>
    <row r="6" spans="1:10">
      <c r="A6" s="20" t="s">
        <v>4</v>
      </c>
      <c r="B6" s="202"/>
      <c r="C6" s="81"/>
      <c r="D6" s="203"/>
      <c r="E6" s="518"/>
      <c r="F6" s="81"/>
      <c r="G6" s="204"/>
      <c r="H6" s="205"/>
      <c r="I6" s="84"/>
      <c r="J6" s="204"/>
    </row>
    <row r="7" spans="1:10">
      <c r="A7" s="123" t="s">
        <v>5</v>
      </c>
      <c r="B7" s="206">
        <f>SUM(B8:B10)</f>
        <v>2</v>
      </c>
      <c r="C7" s="207">
        <v>0</v>
      </c>
      <c r="D7" s="501">
        <f>IF(C7,(B7-C7)/C7,0)</f>
        <v>0</v>
      </c>
      <c r="E7" s="519">
        <f>SUM(E8:E10)</f>
        <v>95</v>
      </c>
      <c r="F7" s="207">
        <v>0</v>
      </c>
      <c r="G7" s="501">
        <f>IF(F7,(E7-F7)/F7,0)</f>
        <v>0</v>
      </c>
      <c r="H7" s="87">
        <f>IF(B7,E7/B7,0)</f>
        <v>47.5</v>
      </c>
      <c r="I7" s="88">
        <f>IF(C7,F7/C7,0)</f>
        <v>0</v>
      </c>
      <c r="J7" s="498">
        <f>IF(I7,(H7-I7)/I7,0)</f>
        <v>0</v>
      </c>
    </row>
    <row r="8" spans="1:10">
      <c r="A8" s="77" t="s">
        <v>377</v>
      </c>
      <c r="B8" s="208">
        <f>折疊車!E8</f>
        <v>2</v>
      </c>
      <c r="C8" s="209">
        <v>0</v>
      </c>
      <c r="D8" s="501">
        <f t="shared" ref="D8:D68" si="0">IF(C8,(B8-C8)/C8,0)</f>
        <v>0</v>
      </c>
      <c r="E8" s="520">
        <f>折疊車!G8</f>
        <v>95</v>
      </c>
      <c r="F8" s="209">
        <v>0</v>
      </c>
      <c r="G8" s="501">
        <f t="shared" ref="G8:G68" si="1">IF(F8,(E8-F8)/F8,0)</f>
        <v>0</v>
      </c>
      <c r="H8" s="87">
        <f t="shared" ref="H8:H10" si="2">IF(B8,E8/B8,0)</f>
        <v>47.5</v>
      </c>
      <c r="I8" s="88">
        <f t="shared" ref="I8:I10" si="3">IF(C8,F8/C8,0)</f>
        <v>0</v>
      </c>
      <c r="J8" s="498">
        <f t="shared" ref="J8:J68" si="4">IF(I8,(H8-I8)/I8,0)</f>
        <v>0</v>
      </c>
    </row>
    <row r="9" spans="1:10">
      <c r="A9" s="30" t="s">
        <v>6</v>
      </c>
      <c r="B9" s="208">
        <f>折疊車!E9</f>
        <v>0</v>
      </c>
      <c r="C9" s="209">
        <v>0</v>
      </c>
      <c r="D9" s="501">
        <f t="shared" si="0"/>
        <v>0</v>
      </c>
      <c r="E9" s="520">
        <f>折疊車!G9</f>
        <v>0</v>
      </c>
      <c r="F9" s="209">
        <v>0</v>
      </c>
      <c r="G9" s="501">
        <f t="shared" si="1"/>
        <v>0</v>
      </c>
      <c r="H9" s="87">
        <f t="shared" si="2"/>
        <v>0</v>
      </c>
      <c r="I9" s="88">
        <f t="shared" si="3"/>
        <v>0</v>
      </c>
      <c r="J9" s="498">
        <f t="shared" si="4"/>
        <v>0</v>
      </c>
    </row>
    <row r="10" spans="1:10">
      <c r="A10" s="30" t="s">
        <v>7</v>
      </c>
      <c r="B10" s="208">
        <f>折疊車!E10</f>
        <v>0</v>
      </c>
      <c r="C10" s="209">
        <v>0</v>
      </c>
      <c r="D10" s="501">
        <f t="shared" si="0"/>
        <v>0</v>
      </c>
      <c r="E10" s="520">
        <f>折疊車!G10</f>
        <v>0</v>
      </c>
      <c r="F10" s="209">
        <v>0</v>
      </c>
      <c r="G10" s="501">
        <f t="shared" si="1"/>
        <v>0</v>
      </c>
      <c r="H10" s="87">
        <f t="shared" si="2"/>
        <v>0</v>
      </c>
      <c r="I10" s="88">
        <f t="shared" si="3"/>
        <v>0</v>
      </c>
      <c r="J10" s="498">
        <f t="shared" si="4"/>
        <v>0</v>
      </c>
    </row>
    <row r="11" spans="1:10">
      <c r="A11" s="30"/>
      <c r="B11" s="27"/>
      <c r="C11" s="90"/>
      <c r="D11" s="501"/>
      <c r="E11" s="521"/>
      <c r="F11" s="90"/>
      <c r="G11" s="501"/>
      <c r="H11" s="87"/>
      <c r="I11" s="88"/>
      <c r="J11" s="498"/>
    </row>
    <row r="12" spans="1:10">
      <c r="A12" s="32" t="s">
        <v>8</v>
      </c>
      <c r="B12" s="33">
        <f>SUM(B13:B39)</f>
        <v>115</v>
      </c>
      <c r="C12" s="91">
        <v>97</v>
      </c>
      <c r="D12" s="501">
        <f t="shared" si="0"/>
        <v>0.18556701030927836</v>
      </c>
      <c r="E12" s="522">
        <f>SUM(E13:E39)</f>
        <v>61387</v>
      </c>
      <c r="F12" s="91">
        <v>40433</v>
      </c>
      <c r="G12" s="501">
        <f t="shared" si="1"/>
        <v>0.51824005144312812</v>
      </c>
      <c r="H12" s="87">
        <f t="shared" ref="H12:H67" si="5">IF(B12,E12/B12,0)</f>
        <v>533.79999999999995</v>
      </c>
      <c r="I12" s="88">
        <f t="shared" ref="I12:I67" si="6">IF(C12,F12/C12,0)</f>
        <v>416.83505154639175</v>
      </c>
      <c r="J12" s="498">
        <f t="shared" si="4"/>
        <v>0.28060247817376882</v>
      </c>
    </row>
    <row r="13" spans="1:10">
      <c r="A13" s="444" t="s">
        <v>196</v>
      </c>
      <c r="B13" s="208">
        <f>折疊車!E13</f>
        <v>115</v>
      </c>
      <c r="C13" s="90">
        <v>97</v>
      </c>
      <c r="D13" s="501">
        <f t="shared" si="0"/>
        <v>0.18556701030927836</v>
      </c>
      <c r="E13" s="521">
        <f>折疊車!G13</f>
        <v>61387</v>
      </c>
      <c r="F13" s="209">
        <v>40433</v>
      </c>
      <c r="G13" s="501">
        <f t="shared" si="1"/>
        <v>0.51824005144312812</v>
      </c>
      <c r="H13" s="87">
        <f t="shared" si="5"/>
        <v>533.79999999999995</v>
      </c>
      <c r="I13" s="88">
        <f t="shared" si="6"/>
        <v>416.83505154639175</v>
      </c>
      <c r="J13" s="498">
        <f t="shared" si="4"/>
        <v>0.28060247817376882</v>
      </c>
    </row>
    <row r="14" spans="1:10">
      <c r="A14" s="444" t="s">
        <v>197</v>
      </c>
      <c r="B14" s="208">
        <f>折疊車!E14</f>
        <v>0</v>
      </c>
      <c r="C14" s="90">
        <v>0</v>
      </c>
      <c r="D14" s="501">
        <f t="shared" si="0"/>
        <v>0</v>
      </c>
      <c r="E14" s="521">
        <f>折疊車!G14</f>
        <v>0</v>
      </c>
      <c r="F14" s="209">
        <v>0</v>
      </c>
      <c r="G14" s="501">
        <f t="shared" si="1"/>
        <v>0</v>
      </c>
      <c r="H14" s="87">
        <f t="shared" si="5"/>
        <v>0</v>
      </c>
      <c r="I14" s="88">
        <f t="shared" si="6"/>
        <v>0</v>
      </c>
      <c r="J14" s="498">
        <f t="shared" si="4"/>
        <v>0</v>
      </c>
    </row>
    <row r="15" spans="1:10">
      <c r="A15" s="445" t="s">
        <v>9</v>
      </c>
      <c r="B15" s="208">
        <f>折疊車!E15</f>
        <v>0</v>
      </c>
      <c r="C15" s="90">
        <v>0</v>
      </c>
      <c r="D15" s="501">
        <f t="shared" si="0"/>
        <v>0</v>
      </c>
      <c r="E15" s="521">
        <f>折疊車!G15</f>
        <v>0</v>
      </c>
      <c r="F15" s="209">
        <v>0</v>
      </c>
      <c r="G15" s="501">
        <f t="shared" si="1"/>
        <v>0</v>
      </c>
      <c r="H15" s="87">
        <f t="shared" si="5"/>
        <v>0</v>
      </c>
      <c r="I15" s="88">
        <f t="shared" si="6"/>
        <v>0</v>
      </c>
      <c r="J15" s="498">
        <f t="shared" si="4"/>
        <v>0</v>
      </c>
    </row>
    <row r="16" spans="1:10">
      <c r="A16" s="444" t="s">
        <v>198</v>
      </c>
      <c r="B16" s="208">
        <f>折疊車!E16</f>
        <v>0</v>
      </c>
      <c r="C16" s="90">
        <v>0</v>
      </c>
      <c r="D16" s="501">
        <f t="shared" si="0"/>
        <v>0</v>
      </c>
      <c r="E16" s="521">
        <f>折疊車!G16</f>
        <v>0</v>
      </c>
      <c r="F16" s="209">
        <v>0</v>
      </c>
      <c r="G16" s="501">
        <f t="shared" si="1"/>
        <v>0</v>
      </c>
      <c r="H16" s="87">
        <f t="shared" si="5"/>
        <v>0</v>
      </c>
      <c r="I16" s="88">
        <f t="shared" si="6"/>
        <v>0</v>
      </c>
      <c r="J16" s="498">
        <f t="shared" si="4"/>
        <v>0</v>
      </c>
    </row>
    <row r="17" spans="1:10">
      <c r="A17" s="445" t="s">
        <v>10</v>
      </c>
      <c r="B17" s="208">
        <f>折疊車!E17</f>
        <v>0</v>
      </c>
      <c r="C17" s="90">
        <v>0</v>
      </c>
      <c r="D17" s="501">
        <f t="shared" si="0"/>
        <v>0</v>
      </c>
      <c r="E17" s="521">
        <f>折疊車!G17</f>
        <v>0</v>
      </c>
      <c r="F17" s="209">
        <v>0</v>
      </c>
      <c r="G17" s="501">
        <f t="shared" si="1"/>
        <v>0</v>
      </c>
      <c r="H17" s="87">
        <f t="shared" si="5"/>
        <v>0</v>
      </c>
      <c r="I17" s="88">
        <f t="shared" si="6"/>
        <v>0</v>
      </c>
      <c r="J17" s="498">
        <f t="shared" si="4"/>
        <v>0</v>
      </c>
    </row>
    <row r="18" spans="1:10">
      <c r="A18" s="445" t="s">
        <v>11</v>
      </c>
      <c r="B18" s="208">
        <f>折疊車!E18</f>
        <v>0</v>
      </c>
      <c r="C18" s="90">
        <v>0</v>
      </c>
      <c r="D18" s="501">
        <f t="shared" si="0"/>
        <v>0</v>
      </c>
      <c r="E18" s="521">
        <f>折疊車!G18</f>
        <v>0</v>
      </c>
      <c r="F18" s="209">
        <v>0</v>
      </c>
      <c r="G18" s="501">
        <f t="shared" si="1"/>
        <v>0</v>
      </c>
      <c r="H18" s="87">
        <f t="shared" si="5"/>
        <v>0</v>
      </c>
      <c r="I18" s="88">
        <f t="shared" si="6"/>
        <v>0</v>
      </c>
      <c r="J18" s="498">
        <f t="shared" si="4"/>
        <v>0</v>
      </c>
    </row>
    <row r="19" spans="1:10">
      <c r="A19" s="444" t="s">
        <v>199</v>
      </c>
      <c r="B19" s="208">
        <f>折疊車!E19</f>
        <v>0</v>
      </c>
      <c r="C19" s="90">
        <v>0</v>
      </c>
      <c r="D19" s="501">
        <f t="shared" si="0"/>
        <v>0</v>
      </c>
      <c r="E19" s="521">
        <f>折疊車!G19</f>
        <v>0</v>
      </c>
      <c r="F19" s="209">
        <v>0</v>
      </c>
      <c r="G19" s="501">
        <f t="shared" si="1"/>
        <v>0</v>
      </c>
      <c r="H19" s="87">
        <f t="shared" si="5"/>
        <v>0</v>
      </c>
      <c r="I19" s="88">
        <f t="shared" si="6"/>
        <v>0</v>
      </c>
      <c r="J19" s="498">
        <f t="shared" si="4"/>
        <v>0</v>
      </c>
    </row>
    <row r="20" spans="1:10">
      <c r="A20" s="445" t="s">
        <v>12</v>
      </c>
      <c r="B20" s="208">
        <f>折疊車!E20</f>
        <v>0</v>
      </c>
      <c r="C20" s="90">
        <v>0</v>
      </c>
      <c r="D20" s="501">
        <f t="shared" si="0"/>
        <v>0</v>
      </c>
      <c r="E20" s="521">
        <f>折疊車!G20</f>
        <v>0</v>
      </c>
      <c r="F20" s="209">
        <v>0</v>
      </c>
      <c r="G20" s="501">
        <f t="shared" si="1"/>
        <v>0</v>
      </c>
      <c r="H20" s="87">
        <f t="shared" si="5"/>
        <v>0</v>
      </c>
      <c r="I20" s="88">
        <f t="shared" si="6"/>
        <v>0</v>
      </c>
      <c r="J20" s="498">
        <f t="shared" si="4"/>
        <v>0</v>
      </c>
    </row>
    <row r="21" spans="1:10">
      <c r="A21" s="444" t="s">
        <v>201</v>
      </c>
      <c r="B21" s="208">
        <f>折疊車!E21</f>
        <v>0</v>
      </c>
      <c r="C21" s="90">
        <v>0</v>
      </c>
      <c r="D21" s="501">
        <f t="shared" si="0"/>
        <v>0</v>
      </c>
      <c r="E21" s="521">
        <f>折疊車!G21</f>
        <v>0</v>
      </c>
      <c r="F21" s="209">
        <v>0</v>
      </c>
      <c r="G21" s="501">
        <f t="shared" si="1"/>
        <v>0</v>
      </c>
      <c r="H21" s="87">
        <f t="shared" si="5"/>
        <v>0</v>
      </c>
      <c r="I21" s="88">
        <f t="shared" si="6"/>
        <v>0</v>
      </c>
      <c r="J21" s="498">
        <f t="shared" si="4"/>
        <v>0</v>
      </c>
    </row>
    <row r="22" spans="1:10">
      <c r="A22" s="445" t="s">
        <v>13</v>
      </c>
      <c r="B22" s="208">
        <f>折疊車!E22</f>
        <v>0</v>
      </c>
      <c r="C22" s="90">
        <v>0</v>
      </c>
      <c r="D22" s="501">
        <f t="shared" si="0"/>
        <v>0</v>
      </c>
      <c r="E22" s="521">
        <f>折疊車!G22</f>
        <v>0</v>
      </c>
      <c r="F22" s="209">
        <v>0</v>
      </c>
      <c r="G22" s="501">
        <f t="shared" si="1"/>
        <v>0</v>
      </c>
      <c r="H22" s="87">
        <f t="shared" si="5"/>
        <v>0</v>
      </c>
      <c r="I22" s="88">
        <f t="shared" si="6"/>
        <v>0</v>
      </c>
      <c r="J22" s="498">
        <f t="shared" si="4"/>
        <v>0</v>
      </c>
    </row>
    <row r="23" spans="1:10">
      <c r="A23" s="445" t="s">
        <v>14</v>
      </c>
      <c r="B23" s="208">
        <f>折疊車!E23</f>
        <v>0</v>
      </c>
      <c r="C23" s="90">
        <v>0</v>
      </c>
      <c r="D23" s="501">
        <f t="shared" si="0"/>
        <v>0</v>
      </c>
      <c r="E23" s="521">
        <f>折疊車!G23</f>
        <v>0</v>
      </c>
      <c r="F23" s="209">
        <v>0</v>
      </c>
      <c r="G23" s="501">
        <f t="shared" si="1"/>
        <v>0</v>
      </c>
      <c r="H23" s="87">
        <f t="shared" si="5"/>
        <v>0</v>
      </c>
      <c r="I23" s="88">
        <f t="shared" si="6"/>
        <v>0</v>
      </c>
      <c r="J23" s="498">
        <f t="shared" si="4"/>
        <v>0</v>
      </c>
    </row>
    <row r="24" spans="1:10">
      <c r="A24" s="445" t="s">
        <v>15</v>
      </c>
      <c r="B24" s="208">
        <f>折疊車!E24</f>
        <v>0</v>
      </c>
      <c r="C24" s="90">
        <v>0</v>
      </c>
      <c r="D24" s="501">
        <f t="shared" si="0"/>
        <v>0</v>
      </c>
      <c r="E24" s="521">
        <f>折疊車!G24</f>
        <v>0</v>
      </c>
      <c r="F24" s="209">
        <v>0</v>
      </c>
      <c r="G24" s="501">
        <f t="shared" si="1"/>
        <v>0</v>
      </c>
      <c r="H24" s="87">
        <f t="shared" si="5"/>
        <v>0</v>
      </c>
      <c r="I24" s="88">
        <f t="shared" si="6"/>
        <v>0</v>
      </c>
      <c r="J24" s="498">
        <f t="shared" si="4"/>
        <v>0</v>
      </c>
    </row>
    <row r="25" spans="1:10">
      <c r="A25" s="444" t="s">
        <v>202</v>
      </c>
      <c r="B25" s="208">
        <f>折疊車!E25</f>
        <v>0</v>
      </c>
      <c r="C25" s="90">
        <v>0</v>
      </c>
      <c r="D25" s="501">
        <f t="shared" si="0"/>
        <v>0</v>
      </c>
      <c r="E25" s="521">
        <f>折疊車!G25</f>
        <v>0</v>
      </c>
      <c r="F25" s="209">
        <v>0</v>
      </c>
      <c r="G25" s="501">
        <f t="shared" si="1"/>
        <v>0</v>
      </c>
      <c r="H25" s="87">
        <f t="shared" si="5"/>
        <v>0</v>
      </c>
      <c r="I25" s="88">
        <f t="shared" si="6"/>
        <v>0</v>
      </c>
      <c r="J25" s="498">
        <f t="shared" si="4"/>
        <v>0</v>
      </c>
    </row>
    <row r="26" spans="1:10">
      <c r="A26" s="444" t="s">
        <v>203</v>
      </c>
      <c r="B26" s="208">
        <f>折疊車!E26</f>
        <v>0</v>
      </c>
      <c r="C26" s="90">
        <v>0</v>
      </c>
      <c r="D26" s="501">
        <f t="shared" si="0"/>
        <v>0</v>
      </c>
      <c r="E26" s="521">
        <f>折疊車!G26</f>
        <v>0</v>
      </c>
      <c r="F26" s="209">
        <v>0</v>
      </c>
      <c r="G26" s="501">
        <f t="shared" si="1"/>
        <v>0</v>
      </c>
      <c r="H26" s="87">
        <f t="shared" si="5"/>
        <v>0</v>
      </c>
      <c r="I26" s="88">
        <f t="shared" si="6"/>
        <v>0</v>
      </c>
      <c r="J26" s="498">
        <f t="shared" si="4"/>
        <v>0</v>
      </c>
    </row>
    <row r="27" spans="1:10">
      <c r="A27" s="287" t="s">
        <v>204</v>
      </c>
      <c r="B27" s="208">
        <f>折疊車!E27</f>
        <v>0</v>
      </c>
      <c r="C27" s="90">
        <v>0</v>
      </c>
      <c r="D27" s="501">
        <f t="shared" si="0"/>
        <v>0</v>
      </c>
      <c r="E27" s="521">
        <f>折疊車!G27</f>
        <v>0</v>
      </c>
      <c r="F27" s="209">
        <v>0</v>
      </c>
      <c r="G27" s="501">
        <f t="shared" si="1"/>
        <v>0</v>
      </c>
      <c r="H27" s="87">
        <f t="shared" si="5"/>
        <v>0</v>
      </c>
      <c r="I27" s="88">
        <f t="shared" si="6"/>
        <v>0</v>
      </c>
      <c r="J27" s="498">
        <f t="shared" si="4"/>
        <v>0</v>
      </c>
    </row>
    <row r="28" spans="1:10">
      <c r="A28" s="287" t="s">
        <v>205</v>
      </c>
      <c r="B28" s="208">
        <f>折疊車!E28</f>
        <v>0</v>
      </c>
      <c r="C28" s="90">
        <v>0</v>
      </c>
      <c r="D28" s="501">
        <f t="shared" si="0"/>
        <v>0</v>
      </c>
      <c r="E28" s="521">
        <f>折疊車!G28</f>
        <v>0</v>
      </c>
      <c r="F28" s="209">
        <v>0</v>
      </c>
      <c r="G28" s="501">
        <f t="shared" si="1"/>
        <v>0</v>
      </c>
      <c r="H28" s="87">
        <f t="shared" si="5"/>
        <v>0</v>
      </c>
      <c r="I28" s="88">
        <f t="shared" si="6"/>
        <v>0</v>
      </c>
      <c r="J28" s="498">
        <f t="shared" si="4"/>
        <v>0</v>
      </c>
    </row>
    <row r="29" spans="1:10">
      <c r="A29" s="445" t="s">
        <v>206</v>
      </c>
      <c r="B29" s="208">
        <f>折疊車!E29</f>
        <v>0</v>
      </c>
      <c r="C29" s="90">
        <v>0</v>
      </c>
      <c r="D29" s="501">
        <f t="shared" si="0"/>
        <v>0</v>
      </c>
      <c r="E29" s="521">
        <f>折疊車!G29</f>
        <v>0</v>
      </c>
      <c r="F29" s="209">
        <v>0</v>
      </c>
      <c r="G29" s="501">
        <f t="shared" si="1"/>
        <v>0</v>
      </c>
      <c r="H29" s="87">
        <f t="shared" si="5"/>
        <v>0</v>
      </c>
      <c r="I29" s="88">
        <f t="shared" si="6"/>
        <v>0</v>
      </c>
      <c r="J29" s="498">
        <f t="shared" si="4"/>
        <v>0</v>
      </c>
    </row>
    <row r="30" spans="1:10">
      <c r="A30" s="445" t="s">
        <v>207</v>
      </c>
      <c r="B30" s="208">
        <f>折疊車!E30</f>
        <v>0</v>
      </c>
      <c r="C30" s="90">
        <v>0</v>
      </c>
      <c r="D30" s="501">
        <f t="shared" si="0"/>
        <v>0</v>
      </c>
      <c r="E30" s="521">
        <f>折疊車!G30</f>
        <v>0</v>
      </c>
      <c r="F30" s="209">
        <v>0</v>
      </c>
      <c r="G30" s="501">
        <f t="shared" si="1"/>
        <v>0</v>
      </c>
      <c r="H30" s="87">
        <f t="shared" si="5"/>
        <v>0</v>
      </c>
      <c r="I30" s="88">
        <f t="shared" si="6"/>
        <v>0</v>
      </c>
      <c r="J30" s="498">
        <f t="shared" si="4"/>
        <v>0</v>
      </c>
    </row>
    <row r="31" spans="1:10">
      <c r="A31" s="445" t="s">
        <v>16</v>
      </c>
      <c r="B31" s="208">
        <f>折疊車!E31</f>
        <v>0</v>
      </c>
      <c r="C31" s="90">
        <v>0</v>
      </c>
      <c r="D31" s="501">
        <f t="shared" si="0"/>
        <v>0</v>
      </c>
      <c r="E31" s="521">
        <f>折疊車!G31</f>
        <v>0</v>
      </c>
      <c r="F31" s="209">
        <v>0</v>
      </c>
      <c r="G31" s="501">
        <f t="shared" si="1"/>
        <v>0</v>
      </c>
      <c r="H31" s="87">
        <f t="shared" si="5"/>
        <v>0</v>
      </c>
      <c r="I31" s="88">
        <f t="shared" si="6"/>
        <v>0</v>
      </c>
      <c r="J31" s="498">
        <f t="shared" si="4"/>
        <v>0</v>
      </c>
    </row>
    <row r="32" spans="1:10">
      <c r="A32" s="445" t="s">
        <v>17</v>
      </c>
      <c r="B32" s="208">
        <f>折疊車!E32</f>
        <v>0</v>
      </c>
      <c r="C32" s="90">
        <v>0</v>
      </c>
      <c r="D32" s="501">
        <f t="shared" si="0"/>
        <v>0</v>
      </c>
      <c r="E32" s="521">
        <f>折疊車!G32</f>
        <v>0</v>
      </c>
      <c r="F32" s="209">
        <v>0</v>
      </c>
      <c r="G32" s="501">
        <f t="shared" si="1"/>
        <v>0</v>
      </c>
      <c r="H32" s="87">
        <f t="shared" si="5"/>
        <v>0</v>
      </c>
      <c r="I32" s="88">
        <f t="shared" si="6"/>
        <v>0</v>
      </c>
      <c r="J32" s="498">
        <f t="shared" si="4"/>
        <v>0</v>
      </c>
    </row>
    <row r="33" spans="1:10">
      <c r="A33" s="445" t="s">
        <v>208</v>
      </c>
      <c r="B33" s="208">
        <f>折疊車!E33</f>
        <v>0</v>
      </c>
      <c r="C33" s="90">
        <v>0</v>
      </c>
      <c r="D33" s="501">
        <f t="shared" si="0"/>
        <v>0</v>
      </c>
      <c r="E33" s="521">
        <f>折疊車!G33</f>
        <v>0</v>
      </c>
      <c r="F33" s="209">
        <v>0</v>
      </c>
      <c r="G33" s="501">
        <f t="shared" si="1"/>
        <v>0</v>
      </c>
      <c r="H33" s="87">
        <f t="shared" si="5"/>
        <v>0</v>
      </c>
      <c r="I33" s="88">
        <f t="shared" si="6"/>
        <v>0</v>
      </c>
      <c r="J33" s="498">
        <f t="shared" si="4"/>
        <v>0</v>
      </c>
    </row>
    <row r="34" spans="1:10">
      <c r="A34" s="445" t="s">
        <v>209</v>
      </c>
      <c r="B34" s="208">
        <f>折疊車!E34</f>
        <v>0</v>
      </c>
      <c r="C34" s="90">
        <v>0</v>
      </c>
      <c r="D34" s="501">
        <f t="shared" si="0"/>
        <v>0</v>
      </c>
      <c r="E34" s="521">
        <f>折疊車!G34</f>
        <v>0</v>
      </c>
      <c r="F34" s="209">
        <v>0</v>
      </c>
      <c r="G34" s="501">
        <f t="shared" si="1"/>
        <v>0</v>
      </c>
      <c r="H34" s="87">
        <f t="shared" si="5"/>
        <v>0</v>
      </c>
      <c r="I34" s="88">
        <f t="shared" si="6"/>
        <v>0</v>
      </c>
      <c r="J34" s="498">
        <f t="shared" si="4"/>
        <v>0</v>
      </c>
    </row>
    <row r="35" spans="1:10">
      <c r="A35" s="445" t="s">
        <v>210</v>
      </c>
      <c r="B35" s="208">
        <f>折疊車!E35</f>
        <v>0</v>
      </c>
      <c r="C35" s="90">
        <v>0</v>
      </c>
      <c r="D35" s="501">
        <f t="shared" si="0"/>
        <v>0</v>
      </c>
      <c r="E35" s="521">
        <f>折疊車!G35</f>
        <v>0</v>
      </c>
      <c r="F35" s="209">
        <v>0</v>
      </c>
      <c r="G35" s="501">
        <f t="shared" si="1"/>
        <v>0</v>
      </c>
      <c r="H35" s="87">
        <f t="shared" si="5"/>
        <v>0</v>
      </c>
      <c r="I35" s="88">
        <f t="shared" si="6"/>
        <v>0</v>
      </c>
      <c r="J35" s="498">
        <f t="shared" si="4"/>
        <v>0</v>
      </c>
    </row>
    <row r="36" spans="1:10">
      <c r="A36" s="445" t="s">
        <v>378</v>
      </c>
      <c r="B36" s="208">
        <f>折疊車!E36</f>
        <v>0</v>
      </c>
      <c r="C36" s="90">
        <v>0</v>
      </c>
      <c r="D36" s="501">
        <f t="shared" si="0"/>
        <v>0</v>
      </c>
      <c r="E36" s="521">
        <f>折疊車!G36</f>
        <v>0</v>
      </c>
      <c r="F36" s="209">
        <v>0</v>
      </c>
      <c r="G36" s="501">
        <f t="shared" si="1"/>
        <v>0</v>
      </c>
      <c r="H36" s="87">
        <f t="shared" si="5"/>
        <v>0</v>
      </c>
      <c r="I36" s="88">
        <f t="shared" si="6"/>
        <v>0</v>
      </c>
      <c r="J36" s="498">
        <f t="shared" si="4"/>
        <v>0</v>
      </c>
    </row>
    <row r="37" spans="1:10">
      <c r="A37" s="445" t="s">
        <v>212</v>
      </c>
      <c r="B37" s="208">
        <f>折疊車!E37</f>
        <v>0</v>
      </c>
      <c r="C37" s="90">
        <v>0</v>
      </c>
      <c r="D37" s="501">
        <f t="shared" si="0"/>
        <v>0</v>
      </c>
      <c r="E37" s="521">
        <f>折疊車!G37</f>
        <v>0</v>
      </c>
      <c r="F37" s="209">
        <v>0</v>
      </c>
      <c r="G37" s="501">
        <f t="shared" si="1"/>
        <v>0</v>
      </c>
      <c r="H37" s="87">
        <f t="shared" si="5"/>
        <v>0</v>
      </c>
      <c r="I37" s="88">
        <f t="shared" si="6"/>
        <v>0</v>
      </c>
      <c r="J37" s="498">
        <f t="shared" si="4"/>
        <v>0</v>
      </c>
    </row>
    <row r="38" spans="1:10">
      <c r="A38" s="445" t="s">
        <v>213</v>
      </c>
      <c r="B38" s="208">
        <f>折疊車!E38</f>
        <v>0</v>
      </c>
      <c r="C38" s="90">
        <v>0</v>
      </c>
      <c r="D38" s="501">
        <f t="shared" si="0"/>
        <v>0</v>
      </c>
      <c r="E38" s="521">
        <f>折疊車!G38</f>
        <v>0</v>
      </c>
      <c r="F38" s="209">
        <v>0</v>
      </c>
      <c r="G38" s="501">
        <f t="shared" si="1"/>
        <v>0</v>
      </c>
      <c r="H38" s="87">
        <f t="shared" si="5"/>
        <v>0</v>
      </c>
      <c r="I38" s="88">
        <f t="shared" si="6"/>
        <v>0</v>
      </c>
      <c r="J38" s="498">
        <f t="shared" si="4"/>
        <v>0</v>
      </c>
    </row>
    <row r="39" spans="1:10">
      <c r="A39" s="445" t="s">
        <v>18</v>
      </c>
      <c r="B39" s="208">
        <f>折疊車!E39</f>
        <v>0</v>
      </c>
      <c r="C39" s="90">
        <v>0</v>
      </c>
      <c r="D39" s="501">
        <f t="shared" si="0"/>
        <v>0</v>
      </c>
      <c r="E39" s="521">
        <f>折疊車!G39</f>
        <v>0</v>
      </c>
      <c r="F39" s="209">
        <v>0</v>
      </c>
      <c r="G39" s="501">
        <f t="shared" si="1"/>
        <v>0</v>
      </c>
      <c r="H39" s="87">
        <f t="shared" si="5"/>
        <v>0</v>
      </c>
      <c r="I39" s="88">
        <f t="shared" si="6"/>
        <v>0</v>
      </c>
      <c r="J39" s="498">
        <f t="shared" si="4"/>
        <v>0</v>
      </c>
    </row>
    <row r="40" spans="1:10">
      <c r="A40" s="30"/>
      <c r="B40" s="27"/>
      <c r="C40" s="90"/>
      <c r="D40" s="501"/>
      <c r="E40" s="521"/>
      <c r="F40" s="90"/>
      <c r="G40" s="501"/>
      <c r="H40" s="87"/>
      <c r="I40" s="88"/>
      <c r="J40" s="498"/>
    </row>
    <row r="41" spans="1:10" ht="16.149999999999999" customHeight="1">
      <c r="A41" s="36" t="s">
        <v>19</v>
      </c>
      <c r="B41" s="33">
        <f>SUM(B42:B45)</f>
        <v>0</v>
      </c>
      <c r="C41" s="91">
        <v>0</v>
      </c>
      <c r="D41" s="501">
        <f t="shared" si="0"/>
        <v>0</v>
      </c>
      <c r="E41" s="522">
        <f>SUM(E42:E45)</f>
        <v>0</v>
      </c>
      <c r="F41" s="91">
        <v>0</v>
      </c>
      <c r="G41" s="501">
        <f t="shared" si="1"/>
        <v>0</v>
      </c>
      <c r="H41" s="87">
        <f t="shared" si="5"/>
        <v>0</v>
      </c>
      <c r="I41" s="88">
        <f t="shared" si="6"/>
        <v>0</v>
      </c>
      <c r="J41" s="498">
        <f t="shared" si="4"/>
        <v>0</v>
      </c>
    </row>
    <row r="42" spans="1:10">
      <c r="A42" s="26" t="s">
        <v>214</v>
      </c>
      <c r="B42" s="27">
        <f>折疊車!E42</f>
        <v>0</v>
      </c>
      <c r="C42" s="90">
        <v>0</v>
      </c>
      <c r="D42" s="501">
        <f t="shared" si="0"/>
        <v>0</v>
      </c>
      <c r="E42" s="521">
        <f>折疊車!G42</f>
        <v>0</v>
      </c>
      <c r="F42" s="209">
        <v>0</v>
      </c>
      <c r="G42" s="501">
        <f t="shared" si="1"/>
        <v>0</v>
      </c>
      <c r="H42" s="87">
        <f t="shared" si="5"/>
        <v>0</v>
      </c>
      <c r="I42" s="88">
        <f t="shared" si="6"/>
        <v>0</v>
      </c>
      <c r="J42" s="498">
        <f t="shared" si="4"/>
        <v>0</v>
      </c>
    </row>
    <row r="43" spans="1:10">
      <c r="A43" s="26" t="s">
        <v>215</v>
      </c>
      <c r="B43" s="27">
        <f>折疊車!E43</f>
        <v>0</v>
      </c>
      <c r="C43" s="90">
        <v>0</v>
      </c>
      <c r="D43" s="501">
        <f t="shared" si="0"/>
        <v>0</v>
      </c>
      <c r="E43" s="521">
        <f>折疊車!G43</f>
        <v>0</v>
      </c>
      <c r="F43" s="209">
        <v>0</v>
      </c>
      <c r="G43" s="501">
        <f t="shared" si="1"/>
        <v>0</v>
      </c>
      <c r="H43" s="87">
        <f t="shared" si="5"/>
        <v>0</v>
      </c>
      <c r="I43" s="88">
        <f t="shared" si="6"/>
        <v>0</v>
      </c>
      <c r="J43" s="498">
        <f t="shared" si="4"/>
        <v>0</v>
      </c>
    </row>
    <row r="44" spans="1:10">
      <c r="A44" s="26" t="s">
        <v>216</v>
      </c>
      <c r="B44" s="27">
        <f>折疊車!E44</f>
        <v>0</v>
      </c>
      <c r="C44" s="90">
        <v>0</v>
      </c>
      <c r="D44" s="501">
        <f t="shared" si="0"/>
        <v>0</v>
      </c>
      <c r="E44" s="521">
        <f>折疊車!G44</f>
        <v>0</v>
      </c>
      <c r="F44" s="209">
        <v>0</v>
      </c>
      <c r="G44" s="501">
        <f t="shared" si="1"/>
        <v>0</v>
      </c>
      <c r="H44" s="87">
        <f t="shared" si="5"/>
        <v>0</v>
      </c>
      <c r="I44" s="88">
        <f t="shared" si="6"/>
        <v>0</v>
      </c>
      <c r="J44" s="498">
        <f t="shared" si="4"/>
        <v>0</v>
      </c>
    </row>
    <row r="45" spans="1:10">
      <c r="A45" s="30" t="s">
        <v>20</v>
      </c>
      <c r="B45" s="27">
        <f>折疊車!E45</f>
        <v>0</v>
      </c>
      <c r="C45" s="90">
        <v>0</v>
      </c>
      <c r="D45" s="501">
        <f t="shared" si="0"/>
        <v>0</v>
      </c>
      <c r="E45" s="521">
        <f>折疊車!G45</f>
        <v>0</v>
      </c>
      <c r="F45" s="209">
        <v>0</v>
      </c>
      <c r="G45" s="501">
        <f t="shared" si="1"/>
        <v>0</v>
      </c>
      <c r="H45" s="87">
        <f t="shared" si="5"/>
        <v>0</v>
      </c>
      <c r="I45" s="88">
        <f t="shared" si="6"/>
        <v>0</v>
      </c>
      <c r="J45" s="498">
        <f t="shared" si="4"/>
        <v>0</v>
      </c>
    </row>
    <row r="46" spans="1:10">
      <c r="A46" s="30"/>
      <c r="B46" s="27"/>
      <c r="C46" s="90"/>
      <c r="D46" s="501"/>
      <c r="E46" s="521"/>
      <c r="F46" s="90"/>
      <c r="G46" s="501"/>
      <c r="H46" s="87"/>
      <c r="I46" s="88"/>
      <c r="J46" s="498"/>
    </row>
    <row r="47" spans="1:10">
      <c r="A47" s="36" t="s">
        <v>21</v>
      </c>
      <c r="B47" s="33">
        <f>SUM(B48:B66)</f>
        <v>264</v>
      </c>
      <c r="C47" s="91">
        <v>400</v>
      </c>
      <c r="D47" s="501">
        <f t="shared" si="0"/>
        <v>-0.34</v>
      </c>
      <c r="E47" s="522">
        <f>SUM(E48:E66)</f>
        <v>247479</v>
      </c>
      <c r="F47" s="91">
        <v>154715</v>
      </c>
      <c r="G47" s="501">
        <f t="shared" si="1"/>
        <v>0.59957987266910129</v>
      </c>
      <c r="H47" s="87">
        <f t="shared" si="5"/>
        <v>937.4204545454545</v>
      </c>
      <c r="I47" s="88">
        <f t="shared" si="6"/>
        <v>386.78750000000002</v>
      </c>
      <c r="J47" s="498">
        <f t="shared" si="4"/>
        <v>1.4236058676804562</v>
      </c>
    </row>
    <row r="48" spans="1:10">
      <c r="A48" s="476" t="s">
        <v>157</v>
      </c>
      <c r="B48" s="27">
        <f>折疊車!E48</f>
        <v>0</v>
      </c>
      <c r="C48" s="90">
        <v>0</v>
      </c>
      <c r="D48" s="501">
        <f t="shared" si="0"/>
        <v>0</v>
      </c>
      <c r="E48" s="521">
        <f>折疊車!G48</f>
        <v>0</v>
      </c>
      <c r="F48" s="209">
        <v>0</v>
      </c>
      <c r="G48" s="501">
        <f t="shared" si="1"/>
        <v>0</v>
      </c>
      <c r="H48" s="87">
        <f t="shared" si="5"/>
        <v>0</v>
      </c>
      <c r="I48" s="88">
        <f t="shared" si="6"/>
        <v>0</v>
      </c>
      <c r="J48" s="498">
        <f t="shared" si="4"/>
        <v>0</v>
      </c>
    </row>
    <row r="49" spans="1:10">
      <c r="A49" s="444" t="s">
        <v>217</v>
      </c>
      <c r="B49" s="27">
        <f>折疊車!E49</f>
        <v>55</v>
      </c>
      <c r="C49" s="90">
        <v>0</v>
      </c>
      <c r="D49" s="501">
        <f t="shared" si="0"/>
        <v>0</v>
      </c>
      <c r="E49" s="521">
        <f>折疊車!G49</f>
        <v>19544</v>
      </c>
      <c r="F49" s="209">
        <v>0</v>
      </c>
      <c r="G49" s="501">
        <f t="shared" si="1"/>
        <v>0</v>
      </c>
      <c r="H49" s="87">
        <f t="shared" si="5"/>
        <v>355.34545454545457</v>
      </c>
      <c r="I49" s="88">
        <f t="shared" si="6"/>
        <v>0</v>
      </c>
      <c r="J49" s="498">
        <f t="shared" si="4"/>
        <v>0</v>
      </c>
    </row>
    <row r="50" spans="1:10">
      <c r="A50" s="284" t="s">
        <v>218</v>
      </c>
      <c r="B50" s="27">
        <f>折疊車!E50</f>
        <v>0</v>
      </c>
      <c r="C50" s="90">
        <v>0</v>
      </c>
      <c r="D50" s="501">
        <f t="shared" si="0"/>
        <v>0</v>
      </c>
      <c r="E50" s="521">
        <f>折疊車!G50</f>
        <v>0</v>
      </c>
      <c r="F50" s="209">
        <v>0</v>
      </c>
      <c r="G50" s="501">
        <f t="shared" si="1"/>
        <v>0</v>
      </c>
      <c r="H50" s="87">
        <f t="shared" si="5"/>
        <v>0</v>
      </c>
      <c r="I50" s="88">
        <f t="shared" si="6"/>
        <v>0</v>
      </c>
      <c r="J50" s="498">
        <f t="shared" si="4"/>
        <v>0</v>
      </c>
    </row>
    <row r="51" spans="1:10">
      <c r="A51" s="444" t="s">
        <v>219</v>
      </c>
      <c r="B51" s="27">
        <f>折疊車!E51</f>
        <v>0</v>
      </c>
      <c r="C51" s="90">
        <v>0</v>
      </c>
      <c r="D51" s="501">
        <f t="shared" si="0"/>
        <v>0</v>
      </c>
      <c r="E51" s="521">
        <f>折疊車!G51</f>
        <v>0</v>
      </c>
      <c r="F51" s="209">
        <v>0</v>
      </c>
      <c r="G51" s="501">
        <f t="shared" si="1"/>
        <v>0</v>
      </c>
      <c r="H51" s="87">
        <f t="shared" si="5"/>
        <v>0</v>
      </c>
      <c r="I51" s="88">
        <f t="shared" si="6"/>
        <v>0</v>
      </c>
      <c r="J51" s="498">
        <f t="shared" si="4"/>
        <v>0</v>
      </c>
    </row>
    <row r="52" spans="1:10">
      <c r="A52" s="445" t="s">
        <v>22</v>
      </c>
      <c r="B52" s="27">
        <f>折疊車!E52</f>
        <v>0</v>
      </c>
      <c r="C52" s="90">
        <v>0</v>
      </c>
      <c r="D52" s="501">
        <f t="shared" si="0"/>
        <v>0</v>
      </c>
      <c r="E52" s="521">
        <f>折疊車!G52</f>
        <v>0</v>
      </c>
      <c r="F52" s="209">
        <v>0</v>
      </c>
      <c r="G52" s="501">
        <f t="shared" si="1"/>
        <v>0</v>
      </c>
      <c r="H52" s="87">
        <f t="shared" si="5"/>
        <v>0</v>
      </c>
      <c r="I52" s="88">
        <f t="shared" si="6"/>
        <v>0</v>
      </c>
      <c r="J52" s="498">
        <f t="shared" si="4"/>
        <v>0</v>
      </c>
    </row>
    <row r="53" spans="1:10">
      <c r="A53" s="444" t="s">
        <v>220</v>
      </c>
      <c r="B53" s="27">
        <f>折疊車!E53</f>
        <v>0</v>
      </c>
      <c r="C53" s="90">
        <v>0</v>
      </c>
      <c r="D53" s="501">
        <f t="shared" si="0"/>
        <v>0</v>
      </c>
      <c r="E53" s="521">
        <f>折疊車!G53</f>
        <v>0</v>
      </c>
      <c r="F53" s="209">
        <v>0</v>
      </c>
      <c r="G53" s="501">
        <f t="shared" si="1"/>
        <v>0</v>
      </c>
      <c r="H53" s="87">
        <f t="shared" si="5"/>
        <v>0</v>
      </c>
      <c r="I53" s="88">
        <f t="shared" si="6"/>
        <v>0</v>
      </c>
      <c r="J53" s="498">
        <f t="shared" si="4"/>
        <v>0</v>
      </c>
    </row>
    <row r="54" spans="1:10">
      <c r="A54" s="445" t="s">
        <v>221</v>
      </c>
      <c r="B54" s="27">
        <f>折疊車!E54</f>
        <v>0</v>
      </c>
      <c r="C54" s="90">
        <v>0</v>
      </c>
      <c r="D54" s="501">
        <f t="shared" si="0"/>
        <v>0</v>
      </c>
      <c r="E54" s="521">
        <f>折疊車!G54</f>
        <v>0</v>
      </c>
      <c r="F54" s="209">
        <v>0</v>
      </c>
      <c r="G54" s="501">
        <f t="shared" si="1"/>
        <v>0</v>
      </c>
      <c r="H54" s="87">
        <f t="shared" si="5"/>
        <v>0</v>
      </c>
      <c r="I54" s="88">
        <f t="shared" si="6"/>
        <v>0</v>
      </c>
      <c r="J54" s="498">
        <f t="shared" si="4"/>
        <v>0</v>
      </c>
    </row>
    <row r="55" spans="1:10">
      <c r="A55" s="445" t="s">
        <v>23</v>
      </c>
      <c r="B55" s="27">
        <f>折疊車!E55</f>
        <v>0</v>
      </c>
      <c r="C55" s="90">
        <v>0</v>
      </c>
      <c r="D55" s="501">
        <f t="shared" si="0"/>
        <v>0</v>
      </c>
      <c r="E55" s="521">
        <f>折疊車!G55</f>
        <v>0</v>
      </c>
      <c r="F55" s="209">
        <v>0</v>
      </c>
      <c r="G55" s="501">
        <f t="shared" si="1"/>
        <v>0</v>
      </c>
      <c r="H55" s="87">
        <f t="shared" si="5"/>
        <v>0</v>
      </c>
      <c r="I55" s="88">
        <f t="shared" si="6"/>
        <v>0</v>
      </c>
      <c r="J55" s="498">
        <f t="shared" si="4"/>
        <v>0</v>
      </c>
    </row>
    <row r="56" spans="1:10">
      <c r="A56" s="445" t="s">
        <v>222</v>
      </c>
      <c r="B56" s="27">
        <f>折疊車!E56</f>
        <v>29</v>
      </c>
      <c r="C56" s="90">
        <v>0</v>
      </c>
      <c r="D56" s="501">
        <f t="shared" si="0"/>
        <v>0</v>
      </c>
      <c r="E56" s="521">
        <f>折疊車!G56</f>
        <v>31938</v>
      </c>
      <c r="F56" s="209">
        <v>0</v>
      </c>
      <c r="G56" s="501">
        <f t="shared" si="1"/>
        <v>0</v>
      </c>
      <c r="H56" s="87">
        <f t="shared" si="5"/>
        <v>1101.3103448275863</v>
      </c>
      <c r="I56" s="88">
        <f t="shared" si="6"/>
        <v>0</v>
      </c>
      <c r="J56" s="498">
        <f t="shared" si="4"/>
        <v>0</v>
      </c>
    </row>
    <row r="57" spans="1:10">
      <c r="A57" s="447" t="s">
        <v>223</v>
      </c>
      <c r="B57" s="27">
        <f>折疊車!E57</f>
        <v>140</v>
      </c>
      <c r="C57" s="90">
        <v>0</v>
      </c>
      <c r="D57" s="501">
        <f t="shared" si="0"/>
        <v>0</v>
      </c>
      <c r="E57" s="521">
        <f>折疊車!G57</f>
        <v>148018</v>
      </c>
      <c r="F57" s="209">
        <v>0</v>
      </c>
      <c r="G57" s="501">
        <f t="shared" si="1"/>
        <v>0</v>
      </c>
      <c r="H57" s="87">
        <f t="shared" si="5"/>
        <v>1057.2714285714285</v>
      </c>
      <c r="I57" s="88">
        <f t="shared" si="6"/>
        <v>0</v>
      </c>
      <c r="J57" s="498">
        <f t="shared" si="4"/>
        <v>0</v>
      </c>
    </row>
    <row r="58" spans="1:10">
      <c r="A58" s="287" t="s">
        <v>379</v>
      </c>
      <c r="B58" s="27">
        <f>折疊車!E58</f>
        <v>40</v>
      </c>
      <c r="C58" s="90">
        <v>0</v>
      </c>
      <c r="D58" s="501">
        <f t="shared" si="0"/>
        <v>0</v>
      </c>
      <c r="E58" s="521">
        <f>折疊車!G58</f>
        <v>47979</v>
      </c>
      <c r="F58" s="209">
        <v>0</v>
      </c>
      <c r="G58" s="501">
        <f t="shared" si="1"/>
        <v>0</v>
      </c>
      <c r="H58" s="87">
        <f t="shared" si="5"/>
        <v>1199.4749999999999</v>
      </c>
      <c r="I58" s="88">
        <f t="shared" si="6"/>
        <v>0</v>
      </c>
      <c r="J58" s="498">
        <f t="shared" si="4"/>
        <v>0</v>
      </c>
    </row>
    <row r="59" spans="1:10">
      <c r="A59" s="445" t="s">
        <v>24</v>
      </c>
      <c r="B59" s="27">
        <f>折疊車!E59</f>
        <v>0</v>
      </c>
      <c r="C59" s="90">
        <v>400</v>
      </c>
      <c r="D59" s="501">
        <f t="shared" si="0"/>
        <v>-1</v>
      </c>
      <c r="E59" s="521">
        <f>折疊車!G59</f>
        <v>0</v>
      </c>
      <c r="F59" s="209">
        <v>154715</v>
      </c>
      <c r="G59" s="501">
        <f t="shared" si="1"/>
        <v>-1</v>
      </c>
      <c r="H59" s="87">
        <f t="shared" si="5"/>
        <v>0</v>
      </c>
      <c r="I59" s="88">
        <f t="shared" si="6"/>
        <v>386.78750000000002</v>
      </c>
      <c r="J59" s="498">
        <f t="shared" si="4"/>
        <v>-1</v>
      </c>
    </row>
    <row r="60" spans="1:10">
      <c r="A60" s="445" t="s">
        <v>25</v>
      </c>
      <c r="B60" s="27">
        <f>折疊車!E60</f>
        <v>0</v>
      </c>
      <c r="C60" s="90">
        <v>0</v>
      </c>
      <c r="D60" s="501">
        <f t="shared" si="0"/>
        <v>0</v>
      </c>
      <c r="E60" s="521">
        <f>折疊車!G60</f>
        <v>0</v>
      </c>
      <c r="F60" s="209">
        <v>0</v>
      </c>
      <c r="G60" s="501">
        <f t="shared" si="1"/>
        <v>0</v>
      </c>
      <c r="H60" s="87">
        <f t="shared" si="5"/>
        <v>0</v>
      </c>
      <c r="I60" s="88">
        <f t="shared" si="6"/>
        <v>0</v>
      </c>
      <c r="J60" s="498">
        <f t="shared" si="4"/>
        <v>0</v>
      </c>
    </row>
    <row r="61" spans="1:10">
      <c r="A61" s="445" t="s">
        <v>26</v>
      </c>
      <c r="B61" s="27">
        <f>折疊車!E61</f>
        <v>0</v>
      </c>
      <c r="C61" s="90">
        <v>0</v>
      </c>
      <c r="D61" s="501">
        <f t="shared" si="0"/>
        <v>0</v>
      </c>
      <c r="E61" s="521">
        <f>折疊車!G61</f>
        <v>0</v>
      </c>
      <c r="F61" s="209">
        <v>0</v>
      </c>
      <c r="G61" s="501">
        <f t="shared" si="1"/>
        <v>0</v>
      </c>
      <c r="H61" s="87">
        <f t="shared" si="5"/>
        <v>0</v>
      </c>
      <c r="I61" s="88">
        <f t="shared" si="6"/>
        <v>0</v>
      </c>
      <c r="J61" s="498">
        <f t="shared" si="4"/>
        <v>0</v>
      </c>
    </row>
    <row r="62" spans="1:10">
      <c r="A62" s="287" t="s">
        <v>224</v>
      </c>
      <c r="B62" s="27">
        <f>折疊車!E62</f>
        <v>0</v>
      </c>
      <c r="C62" s="90">
        <v>0</v>
      </c>
      <c r="D62" s="501">
        <f t="shared" si="0"/>
        <v>0</v>
      </c>
      <c r="E62" s="521">
        <f>折疊車!G62</f>
        <v>0</v>
      </c>
      <c r="F62" s="209">
        <v>0</v>
      </c>
      <c r="G62" s="501">
        <f t="shared" si="1"/>
        <v>0</v>
      </c>
      <c r="H62" s="87">
        <f t="shared" si="5"/>
        <v>0</v>
      </c>
      <c r="I62" s="88">
        <f t="shared" si="6"/>
        <v>0</v>
      </c>
      <c r="J62" s="498">
        <f t="shared" si="4"/>
        <v>0</v>
      </c>
    </row>
    <row r="63" spans="1:10">
      <c r="A63" s="445" t="s">
        <v>27</v>
      </c>
      <c r="B63" s="27">
        <f>折疊車!E63</f>
        <v>0</v>
      </c>
      <c r="C63" s="90">
        <v>0</v>
      </c>
      <c r="D63" s="501">
        <f t="shared" si="0"/>
        <v>0</v>
      </c>
      <c r="E63" s="521">
        <f>折疊車!G63</f>
        <v>0</v>
      </c>
      <c r="F63" s="209">
        <v>0</v>
      </c>
      <c r="G63" s="501">
        <f t="shared" si="1"/>
        <v>0</v>
      </c>
      <c r="H63" s="87">
        <f t="shared" si="5"/>
        <v>0</v>
      </c>
      <c r="I63" s="88">
        <f t="shared" si="6"/>
        <v>0</v>
      </c>
      <c r="J63" s="498">
        <f t="shared" si="4"/>
        <v>0</v>
      </c>
    </row>
    <row r="64" spans="1:10">
      <c r="A64" s="287" t="s">
        <v>225</v>
      </c>
      <c r="B64" s="27">
        <f>折疊車!E64</f>
        <v>0</v>
      </c>
      <c r="C64" s="90">
        <v>0</v>
      </c>
      <c r="D64" s="501">
        <f t="shared" si="0"/>
        <v>0</v>
      </c>
      <c r="E64" s="521">
        <f>折疊車!G64</f>
        <v>0</v>
      </c>
      <c r="F64" s="209">
        <v>0</v>
      </c>
      <c r="G64" s="501">
        <f t="shared" si="1"/>
        <v>0</v>
      </c>
      <c r="H64" s="87">
        <f t="shared" si="5"/>
        <v>0</v>
      </c>
      <c r="I64" s="88">
        <f t="shared" si="6"/>
        <v>0</v>
      </c>
      <c r="J64" s="498">
        <f t="shared" si="4"/>
        <v>0</v>
      </c>
    </row>
    <row r="65" spans="1:10">
      <c r="A65" s="445" t="s">
        <v>28</v>
      </c>
      <c r="B65" s="27">
        <f>折疊車!E65</f>
        <v>0</v>
      </c>
      <c r="C65" s="90">
        <v>0</v>
      </c>
      <c r="D65" s="501">
        <f t="shared" si="0"/>
        <v>0</v>
      </c>
      <c r="E65" s="521">
        <f>折疊車!G65</f>
        <v>0</v>
      </c>
      <c r="F65" s="209">
        <v>0</v>
      </c>
      <c r="G65" s="501">
        <f t="shared" si="1"/>
        <v>0</v>
      </c>
      <c r="H65" s="87">
        <f t="shared" si="5"/>
        <v>0</v>
      </c>
      <c r="I65" s="88">
        <f t="shared" si="6"/>
        <v>0</v>
      </c>
      <c r="J65" s="498">
        <f t="shared" si="4"/>
        <v>0</v>
      </c>
    </row>
    <row r="66" spans="1:10">
      <c r="A66" s="287" t="s">
        <v>226</v>
      </c>
      <c r="B66" s="27">
        <f>折疊車!E66</f>
        <v>0</v>
      </c>
      <c r="C66" s="90">
        <v>0</v>
      </c>
      <c r="D66" s="501">
        <f t="shared" si="0"/>
        <v>0</v>
      </c>
      <c r="E66" s="521">
        <f>折疊車!G66</f>
        <v>0</v>
      </c>
      <c r="F66" s="209">
        <v>0</v>
      </c>
      <c r="G66" s="501">
        <f t="shared" si="1"/>
        <v>0</v>
      </c>
      <c r="H66" s="87">
        <f t="shared" si="5"/>
        <v>0</v>
      </c>
      <c r="I66" s="88">
        <f t="shared" si="6"/>
        <v>0</v>
      </c>
      <c r="J66" s="498">
        <f t="shared" si="4"/>
        <v>0</v>
      </c>
    </row>
    <row r="67" spans="1:10">
      <c r="A67" s="30" t="s">
        <v>29</v>
      </c>
      <c r="B67" s="27">
        <f>B68-B47-B41-B12-B7</f>
        <v>17</v>
      </c>
      <c r="C67" s="90">
        <v>1</v>
      </c>
      <c r="D67" s="501">
        <f t="shared" si="0"/>
        <v>16</v>
      </c>
      <c r="E67" s="521">
        <f>E68-E47-E41-E12-E7</f>
        <v>20552</v>
      </c>
      <c r="F67" s="90">
        <v>122</v>
      </c>
      <c r="G67" s="501">
        <f t="shared" si="1"/>
        <v>167.45901639344262</v>
      </c>
      <c r="H67" s="87">
        <f t="shared" si="5"/>
        <v>1208.9411764705883</v>
      </c>
      <c r="I67" s="88">
        <f t="shared" si="6"/>
        <v>122</v>
      </c>
      <c r="J67" s="498">
        <f t="shared" si="4"/>
        <v>8.9093539054966246</v>
      </c>
    </row>
    <row r="68" spans="1:10">
      <c r="A68" s="32" t="s">
        <v>398</v>
      </c>
      <c r="B68" s="33">
        <f>折疊車!E68</f>
        <v>398</v>
      </c>
      <c r="C68" s="90">
        <v>498</v>
      </c>
      <c r="D68" s="501">
        <f t="shared" si="0"/>
        <v>-0.20080321285140562</v>
      </c>
      <c r="E68" s="521">
        <f>折疊車!G68</f>
        <v>329513</v>
      </c>
      <c r="F68" s="209">
        <v>195270</v>
      </c>
      <c r="G68" s="501">
        <f t="shared" si="1"/>
        <v>0.68747375428893331</v>
      </c>
      <c r="H68" s="87">
        <f t="shared" ref="H68" si="7">E68/B68</f>
        <v>827.9221105527638</v>
      </c>
      <c r="I68" s="88">
        <f>F68/C68</f>
        <v>392.10843373493975</v>
      </c>
      <c r="J68" s="498">
        <f t="shared" si="4"/>
        <v>1.1114621347635396</v>
      </c>
    </row>
    <row r="69" spans="1:10" ht="7.5" customHeight="1">
      <c r="A69" s="38"/>
      <c r="B69" s="39"/>
      <c r="C69" s="150"/>
      <c r="D69" s="210"/>
      <c r="E69" s="523"/>
      <c r="F69" s="150"/>
      <c r="G69" s="210"/>
    </row>
    <row r="70" spans="1:10" ht="12.75" customHeight="1">
      <c r="A70" s="55" t="s">
        <v>460</v>
      </c>
      <c r="B70" s="13"/>
      <c r="E70" s="524"/>
      <c r="G70" s="60" t="s">
        <v>115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9" customWidth="1"/>
    <col min="4" max="4" width="10.75" style="300" customWidth="1"/>
    <col min="5" max="5" width="13.625" style="5" customWidth="1"/>
    <col min="6" max="6" width="14.25" style="299" customWidth="1"/>
    <col min="7" max="7" width="11" style="300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3.25">
      <c r="A1" s="1" t="s">
        <v>508</v>
      </c>
      <c r="B1" s="129"/>
      <c r="C1" s="297"/>
      <c r="D1" s="298"/>
      <c r="E1" s="129"/>
      <c r="F1" s="297"/>
      <c r="G1" s="298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414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483</v>
      </c>
      <c r="B4" s="68"/>
      <c r="C4" s="301"/>
      <c r="D4" s="302"/>
      <c r="E4" s="68"/>
      <c r="F4" s="303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50</v>
      </c>
      <c r="B5" s="143" t="s">
        <v>51</v>
      </c>
      <c r="C5" s="144"/>
      <c r="D5" s="145"/>
      <c r="E5" s="146" t="s">
        <v>52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484</v>
      </c>
      <c r="C6" s="147" t="s">
        <v>485</v>
      </c>
      <c r="D6" s="304" t="s">
        <v>58</v>
      </c>
      <c r="E6" s="30" t="s">
        <v>484</v>
      </c>
      <c r="F6" s="147" t="s">
        <v>485</v>
      </c>
      <c r="G6" s="304" t="s">
        <v>58</v>
      </c>
      <c r="I6" s="478"/>
      <c r="J6" s="478"/>
      <c r="K6" s="478"/>
      <c r="L6" s="478"/>
    </row>
    <row r="7" spans="1:16" ht="18" customHeight="1">
      <c r="A7" s="31">
        <v>1</v>
      </c>
      <c r="B7" s="377">
        <v>22480</v>
      </c>
      <c r="C7" s="91">
        <v>22972</v>
      </c>
      <c r="D7" s="498">
        <f t="shared" ref="D7:D19" si="0">(B7-C7)/C7</f>
        <v>-2.1417377677172209E-2</v>
      </c>
      <c r="E7" s="33">
        <v>40610914</v>
      </c>
      <c r="F7" s="91">
        <v>50191119</v>
      </c>
      <c r="G7" s="498">
        <f t="shared" ref="G7:G19" si="1">(E7-F7)/F7</f>
        <v>-0.19087450510916085</v>
      </c>
      <c r="I7" s="478"/>
      <c r="J7" s="478"/>
    </row>
    <row r="8" spans="1:16" ht="18" customHeight="1">
      <c r="A8" s="31">
        <v>2</v>
      </c>
      <c r="B8" s="377">
        <v>25177</v>
      </c>
      <c r="C8" s="91">
        <v>30485</v>
      </c>
      <c r="D8" s="498">
        <f t="shared" si="0"/>
        <v>-0.1741184188945383</v>
      </c>
      <c r="E8" s="377">
        <v>48689608</v>
      </c>
      <c r="F8" s="91">
        <v>62527249</v>
      </c>
      <c r="G8" s="498">
        <f t="shared" si="1"/>
        <v>-0.22130577022507419</v>
      </c>
      <c r="I8" s="478"/>
      <c r="J8" s="478"/>
      <c r="K8" s="478"/>
      <c r="L8" s="478"/>
    </row>
    <row r="9" spans="1:16" ht="18" customHeight="1">
      <c r="A9" s="31">
        <v>3</v>
      </c>
      <c r="B9" s="377"/>
      <c r="C9" s="91"/>
      <c r="D9" s="498"/>
      <c r="E9" s="370"/>
      <c r="F9" s="91"/>
      <c r="G9" s="498"/>
      <c r="J9" s="478"/>
      <c r="K9" s="478"/>
    </row>
    <row r="10" spans="1:16" ht="18" customHeight="1">
      <c r="A10" s="31">
        <v>4</v>
      </c>
      <c r="B10" s="378"/>
      <c r="C10" s="91"/>
      <c r="D10" s="498"/>
      <c r="E10" s="378"/>
      <c r="F10" s="91"/>
      <c r="G10" s="498"/>
    </row>
    <row r="11" spans="1:16" ht="18" customHeight="1">
      <c r="A11" s="31">
        <v>5</v>
      </c>
      <c r="B11" s="377"/>
      <c r="C11" s="91"/>
      <c r="D11" s="498"/>
      <c r="E11" s="377"/>
      <c r="F11" s="91"/>
      <c r="G11" s="498"/>
    </row>
    <row r="12" spans="1:16" ht="18" customHeight="1">
      <c r="A12" s="31">
        <v>6</v>
      </c>
      <c r="B12" s="377"/>
      <c r="C12" s="91"/>
      <c r="D12" s="498"/>
      <c r="E12" s="377"/>
      <c r="F12" s="91"/>
      <c r="G12" s="498"/>
      <c r="J12" s="478"/>
      <c r="K12" s="478"/>
    </row>
    <row r="13" spans="1:16" ht="18" customHeight="1">
      <c r="A13" s="31">
        <v>7</v>
      </c>
      <c r="B13" s="379"/>
      <c r="C13" s="91"/>
      <c r="D13" s="498"/>
      <c r="E13" s="379"/>
      <c r="F13" s="91"/>
      <c r="G13" s="498"/>
    </row>
    <row r="14" spans="1:16" ht="18" customHeight="1">
      <c r="A14" s="31">
        <v>8</v>
      </c>
      <c r="B14" s="377"/>
      <c r="C14" s="91"/>
      <c r="D14" s="498"/>
      <c r="E14" s="377"/>
      <c r="F14" s="91"/>
      <c r="G14" s="498"/>
      <c r="J14" s="478"/>
      <c r="K14" s="478"/>
    </row>
    <row r="15" spans="1:16" ht="18" customHeight="1">
      <c r="A15" s="31">
        <v>9</v>
      </c>
      <c r="B15" s="27"/>
      <c r="C15" s="91"/>
      <c r="D15" s="498"/>
      <c r="E15" s="27"/>
      <c r="F15" s="91"/>
      <c r="G15" s="498"/>
    </row>
    <row r="16" spans="1:16" ht="18" customHeight="1">
      <c r="A16" s="31">
        <v>10</v>
      </c>
      <c r="B16" s="27"/>
      <c r="C16" s="91"/>
      <c r="D16" s="498"/>
      <c r="E16" s="27"/>
      <c r="F16" s="91"/>
      <c r="G16" s="498"/>
    </row>
    <row r="17" spans="1:18" ht="18" customHeight="1">
      <c r="A17" s="31">
        <v>11</v>
      </c>
      <c r="B17" s="27"/>
      <c r="C17" s="91"/>
      <c r="D17" s="498"/>
      <c r="E17" s="27"/>
      <c r="F17" s="91"/>
      <c r="G17" s="498"/>
    </row>
    <row r="18" spans="1:18" ht="18" customHeight="1">
      <c r="A18" s="31">
        <v>12</v>
      </c>
      <c r="B18" s="27"/>
      <c r="C18" s="91"/>
      <c r="D18" s="498"/>
      <c r="E18" s="27"/>
      <c r="F18" s="91"/>
      <c r="G18" s="498"/>
      <c r="I18" s="479"/>
      <c r="J18" s="479"/>
      <c r="K18" s="479"/>
      <c r="L18" s="479"/>
      <c r="M18"/>
      <c r="N18"/>
      <c r="O18"/>
      <c r="P18"/>
      <c r="Q18"/>
      <c r="R18"/>
    </row>
    <row r="19" spans="1:18" s="115" customFormat="1" ht="18" customHeight="1">
      <c r="A19" s="32" t="s">
        <v>49</v>
      </c>
      <c r="B19" s="33">
        <f>SUM(B7:B18)</f>
        <v>47657</v>
      </c>
      <c r="C19" s="91">
        <f>SUM(C7:C18)</f>
        <v>53457</v>
      </c>
      <c r="D19" s="498">
        <f t="shared" si="0"/>
        <v>-0.10849841929027068</v>
      </c>
      <c r="E19" s="33">
        <f>SUM(E7:E18)</f>
        <v>89300522</v>
      </c>
      <c r="F19" s="91">
        <f>SUM(F7:F18)</f>
        <v>112718368</v>
      </c>
      <c r="G19" s="498">
        <f t="shared" si="1"/>
        <v>-0.20775536778531073</v>
      </c>
      <c r="H19" s="5"/>
      <c r="I19" s="479"/>
      <c r="J19" s="479"/>
      <c r="K19" s="479"/>
      <c r="L19" s="479"/>
      <c r="M19"/>
      <c r="N19"/>
      <c r="O19"/>
      <c r="P19"/>
      <c r="Q19"/>
      <c r="R19"/>
    </row>
    <row r="20" spans="1:18" s="115" customFormat="1" ht="14.25" customHeight="1">
      <c r="A20" s="38"/>
      <c r="B20" s="39"/>
      <c r="C20" s="480"/>
      <c r="D20" s="305"/>
      <c r="E20" s="39"/>
      <c r="F20" s="480"/>
      <c r="G20" s="305"/>
      <c r="H20" s="5"/>
      <c r="I20" s="479"/>
      <c r="J20" s="479"/>
      <c r="K20"/>
      <c r="L20"/>
      <c r="M20"/>
      <c r="N20"/>
      <c r="O20"/>
      <c r="P20"/>
      <c r="Q20"/>
      <c r="R20"/>
    </row>
    <row r="21" spans="1:18" s="115" customFormat="1" ht="14.25" customHeight="1">
      <c r="A21" s="38"/>
      <c r="B21" s="39"/>
      <c r="C21" s="480"/>
      <c r="D21" s="305"/>
      <c r="E21" s="39"/>
      <c r="F21" s="480"/>
      <c r="G21" s="305"/>
      <c r="H21" s="5"/>
      <c r="I21" s="479"/>
      <c r="J21" s="479"/>
      <c r="K21" s="479"/>
      <c r="L21" s="479"/>
      <c r="M21"/>
      <c r="N21"/>
      <c r="O21"/>
      <c r="P21"/>
      <c r="Q21"/>
      <c r="R21"/>
    </row>
    <row r="22" spans="1:18" ht="18" customHeight="1">
      <c r="A22" s="1" t="s">
        <v>507</v>
      </c>
      <c r="B22" s="129"/>
      <c r="C22" s="297"/>
      <c r="D22" s="298"/>
      <c r="E22" s="129"/>
      <c r="F22" s="297"/>
      <c r="G22" s="298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9"/>
      <c r="C23" s="297"/>
      <c r="D23" s="298"/>
      <c r="E23" s="129"/>
      <c r="F23" s="297"/>
      <c r="G23" s="298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2" t="s">
        <v>412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476</v>
      </c>
      <c r="B25" s="158"/>
      <c r="C25" s="306"/>
      <c r="D25" s="307"/>
      <c r="E25" s="158"/>
      <c r="F25" s="308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50</v>
      </c>
      <c r="B26" s="163" t="s">
        <v>51</v>
      </c>
      <c r="C26" s="164"/>
      <c r="D26" s="165"/>
      <c r="E26" s="166" t="s">
        <v>52</v>
      </c>
      <c r="F26" s="164"/>
      <c r="G26" s="165"/>
    </row>
    <row r="27" spans="1:18" ht="18" customHeight="1">
      <c r="A27" s="94"/>
      <c r="B27" s="30" t="s">
        <v>484</v>
      </c>
      <c r="C27" s="147" t="s">
        <v>485</v>
      </c>
      <c r="D27" s="304" t="s">
        <v>408</v>
      </c>
      <c r="E27" s="30" t="s">
        <v>484</v>
      </c>
      <c r="F27" s="147" t="s">
        <v>485</v>
      </c>
      <c r="G27" s="304" t="s">
        <v>409</v>
      </c>
    </row>
    <row r="28" spans="1:18" ht="18" customHeight="1">
      <c r="A28" s="31">
        <v>1</v>
      </c>
      <c r="B28" s="377">
        <v>196</v>
      </c>
      <c r="C28" s="494">
        <v>1</v>
      </c>
      <c r="D28" s="498">
        <f>(B28-C28)/C28</f>
        <v>195</v>
      </c>
      <c r="E28" s="377">
        <v>217413</v>
      </c>
      <c r="F28" s="91">
        <v>122</v>
      </c>
      <c r="G28" s="498">
        <f>(E28-F28)/F28</f>
        <v>1781.0737704918033</v>
      </c>
    </row>
    <row r="29" spans="1:18" ht="18" customHeight="1">
      <c r="A29" s="31">
        <v>2</v>
      </c>
      <c r="B29" s="377">
        <v>202</v>
      </c>
      <c r="C29" s="494">
        <v>497</v>
      </c>
      <c r="D29" s="498">
        <f>(B29-C29)/C29</f>
        <v>-0.59356136820925554</v>
      </c>
      <c r="E29" s="377">
        <v>112100</v>
      </c>
      <c r="F29" s="91">
        <v>195148</v>
      </c>
      <c r="G29" s="498">
        <f>(E29-F29)/F29</f>
        <v>-0.42556418718101136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7"/>
      <c r="C30" s="494"/>
      <c r="D30" s="498"/>
      <c r="E30" s="377"/>
      <c r="F30" s="91"/>
      <c r="G30" s="498"/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7"/>
      <c r="C31" s="494"/>
      <c r="D31" s="498"/>
      <c r="E31" s="377"/>
      <c r="F31" s="91"/>
      <c r="G31" s="498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7"/>
      <c r="C32" s="494"/>
      <c r="D32" s="498"/>
      <c r="E32" s="377"/>
      <c r="F32" s="91"/>
      <c r="G32" s="498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7"/>
      <c r="C33" s="494"/>
      <c r="D33" s="498"/>
      <c r="E33" s="377"/>
      <c r="F33" s="91"/>
      <c r="G33" s="498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7"/>
      <c r="C34" s="494"/>
      <c r="D34" s="498"/>
      <c r="E34" s="377"/>
      <c r="F34" s="91"/>
      <c r="G34" s="498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7"/>
      <c r="C35" s="494"/>
      <c r="D35" s="498"/>
      <c r="E35" s="377"/>
      <c r="F35" s="91"/>
      <c r="G35" s="498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94"/>
      <c r="D36" s="498"/>
      <c r="E36" s="377"/>
      <c r="F36" s="91"/>
      <c r="G36" s="498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94"/>
      <c r="D37" s="498"/>
      <c r="E37" s="377"/>
      <c r="F37" s="91"/>
      <c r="G37" s="498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494"/>
      <c r="D38" s="498"/>
      <c r="E38" s="377"/>
      <c r="F38" s="91"/>
      <c r="G38" s="498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494"/>
      <c r="D39" s="498"/>
      <c r="E39" s="377"/>
      <c r="F39" s="91"/>
      <c r="G39" s="498"/>
      <c r="I39" s="479"/>
      <c r="J39" s="479"/>
      <c r="K39"/>
      <c r="L39"/>
      <c r="M39"/>
      <c r="N39"/>
      <c r="O39"/>
      <c r="P39"/>
    </row>
    <row r="40" spans="1:16" s="115" customFormat="1" ht="18" customHeight="1">
      <c r="A40" s="32" t="s">
        <v>49</v>
      </c>
      <c r="B40" s="33">
        <f>SUM(B28:B39)</f>
        <v>398</v>
      </c>
      <c r="C40" s="494">
        <f>SUM(C28:C39)</f>
        <v>498</v>
      </c>
      <c r="D40" s="498">
        <f t="shared" ref="D40" si="2">(B40-C40)/C40</f>
        <v>-0.20080321285140562</v>
      </c>
      <c r="E40" s="33">
        <f>SUM(E28:E39)</f>
        <v>329513</v>
      </c>
      <c r="F40" s="91">
        <f>SUM(F28:F39)</f>
        <v>195270</v>
      </c>
      <c r="G40" s="498">
        <f t="shared" ref="G40" si="3">(E40-F40)/F40</f>
        <v>0.68747375428893331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0"/>
      <c r="D41" s="305"/>
      <c r="E41" s="39"/>
      <c r="F41" s="480"/>
      <c r="G41" s="305"/>
      <c r="H41" s="5"/>
      <c r="I41" s="479"/>
      <c r="J41" s="479"/>
      <c r="K41" s="479"/>
      <c r="L41" s="479"/>
      <c r="M41"/>
      <c r="N41"/>
      <c r="O41"/>
      <c r="P41"/>
    </row>
    <row r="42" spans="1:16" s="13" customFormat="1">
      <c r="A42" s="54" t="s">
        <v>410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 E28:E39">
    <cfRule type="cellIs" dxfId="45" priority="35" operator="lessThan">
      <formula>0</formula>
    </cfRule>
  </conditionalFormatting>
  <conditionalFormatting sqref="B29:B35">
    <cfRule type="cellIs" dxfId="44" priority="5" operator="lessThan">
      <formula>0</formula>
    </cfRule>
  </conditionalFormatting>
  <conditionalFormatting sqref="B28:C28 C29:C40">
    <cfRule type="cellIs" dxfId="43" priority="33" operator="lessThan">
      <formula>0</formula>
    </cfRule>
  </conditionalFormatting>
  <conditionalFormatting sqref="D7:D19">
    <cfRule type="cellIs" dxfId="42" priority="1" operator="greaterThanOrEqual">
      <formula>0</formula>
    </cfRule>
    <cfRule type="cellIs" dxfId="41" priority="2" operator="lessThan">
      <formula>0</formula>
    </cfRule>
  </conditionalFormatting>
  <conditionalFormatting sqref="D28:D40">
    <cfRule type="cellIs" dxfId="40" priority="20" operator="greaterThanOrEqual">
      <formula>0</formula>
    </cfRule>
    <cfRule type="cellIs" dxfId="39" priority="21" operator="lessThan">
      <formula>0</formula>
    </cfRule>
  </conditionalFormatting>
  <conditionalFormatting sqref="E8:E9 E11:E14">
    <cfRule type="cellIs" dxfId="38" priority="34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4" width="17.625" style="313" customWidth="1"/>
    <col min="5" max="5" width="2.375" style="313" customWidth="1"/>
    <col min="6" max="6" width="17.125" style="313" customWidth="1"/>
    <col min="7" max="7" width="19" style="313" customWidth="1"/>
    <col min="8" max="8" width="2.125" style="313" customWidth="1"/>
    <col min="9" max="10" width="18.375" style="313" customWidth="1"/>
    <col min="11" max="11" width="2.5" style="313" customWidth="1"/>
    <col min="12" max="12" width="17.125" style="313" customWidth="1"/>
    <col min="13" max="13" width="18.5" style="313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0" customFormat="1" ht="23.25">
      <c r="A1" s="1" t="s">
        <v>509</v>
      </c>
      <c r="B1" s="1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310" customFormat="1" ht="19.5">
      <c r="C2" s="311"/>
      <c r="D2" s="311"/>
      <c r="E2" s="311"/>
      <c r="F2" s="311"/>
      <c r="G2" s="311"/>
      <c r="H2" s="311"/>
      <c r="I2" s="311"/>
      <c r="J2" s="311"/>
      <c r="K2" s="311"/>
      <c r="L2" s="5"/>
      <c r="M2" s="311" t="s">
        <v>59</v>
      </c>
    </row>
    <row r="3" spans="1:13" s="310" customFormat="1" ht="19.5">
      <c r="A3" s="312"/>
      <c r="B3" s="312"/>
      <c r="C3" s="311"/>
      <c r="D3" s="311"/>
      <c r="E3" s="311"/>
      <c r="F3" s="311"/>
      <c r="G3" s="311"/>
      <c r="H3" s="311"/>
      <c r="I3" s="311"/>
      <c r="J3" s="311"/>
      <c r="K3" s="311"/>
      <c r="L3" s="5"/>
      <c r="M3" s="311" t="s">
        <v>60</v>
      </c>
    </row>
    <row r="4" spans="1:13">
      <c r="M4" s="5"/>
    </row>
    <row r="5" spans="1:13" s="310" customFormat="1" ht="19.5">
      <c r="A5" s="314" t="s">
        <v>61</v>
      </c>
      <c r="B5" s="315"/>
      <c r="C5" s="566" t="s">
        <v>510</v>
      </c>
      <c r="D5" s="567" t="s">
        <v>511</v>
      </c>
      <c r="E5" s="315"/>
      <c r="F5" s="316" t="s">
        <v>512</v>
      </c>
      <c r="G5" s="317" t="s">
        <v>513</v>
      </c>
      <c r="H5" s="315"/>
      <c r="I5" s="566" t="s">
        <v>514</v>
      </c>
      <c r="J5" s="567" t="s">
        <v>515</v>
      </c>
      <c r="K5" s="315"/>
      <c r="L5" s="316" t="s">
        <v>516</v>
      </c>
      <c r="M5" s="317" t="s">
        <v>517</v>
      </c>
    </row>
    <row r="6" spans="1:13" ht="19.5">
      <c r="A6" s="318">
        <v>85121010001</v>
      </c>
      <c r="B6" s="471"/>
      <c r="C6" s="470"/>
      <c r="D6" s="319"/>
      <c r="E6" s="470"/>
      <c r="F6" s="470"/>
      <c r="G6" s="319"/>
      <c r="H6" s="470"/>
      <c r="I6" s="470"/>
      <c r="J6" s="319"/>
      <c r="K6" s="470"/>
      <c r="L6" s="470"/>
      <c r="M6" s="319"/>
    </row>
    <row r="7" spans="1:13" ht="19.5">
      <c r="A7" s="320" t="s">
        <v>62</v>
      </c>
      <c r="B7" s="310"/>
      <c r="C7" s="459">
        <v>10331</v>
      </c>
      <c r="D7" s="459">
        <v>1238041</v>
      </c>
      <c r="F7" s="459">
        <v>18182</v>
      </c>
      <c r="G7" s="459">
        <v>2350794</v>
      </c>
      <c r="I7" s="459">
        <v>4934</v>
      </c>
      <c r="J7" s="459">
        <v>211764</v>
      </c>
      <c r="L7" s="459">
        <v>10065</v>
      </c>
      <c r="M7" s="459">
        <v>514072</v>
      </c>
    </row>
    <row r="8" spans="1:13" ht="19.5">
      <c r="A8" s="320" t="s">
        <v>63</v>
      </c>
      <c r="B8" s="13" t="s">
        <v>64</v>
      </c>
      <c r="C8" s="459">
        <v>84709</v>
      </c>
      <c r="D8" s="458" t="s">
        <v>391</v>
      </c>
      <c r="E8" s="13" t="s">
        <v>64</v>
      </c>
      <c r="F8" s="459">
        <v>156107</v>
      </c>
      <c r="G8" s="458" t="s">
        <v>390</v>
      </c>
      <c r="H8" s="13" t="s">
        <v>64</v>
      </c>
      <c r="I8" s="459">
        <v>61130</v>
      </c>
      <c r="J8" s="458" t="s">
        <v>391</v>
      </c>
      <c r="K8" s="313" t="s">
        <v>64</v>
      </c>
      <c r="L8" s="459">
        <v>115921</v>
      </c>
      <c r="M8" s="458" t="s">
        <v>390</v>
      </c>
    </row>
    <row r="9" spans="1:13" ht="19.5">
      <c r="A9" s="322">
        <v>85121020009</v>
      </c>
      <c r="B9" s="469"/>
      <c r="C9" s="467"/>
      <c r="D9" s="464"/>
      <c r="E9" s="468"/>
      <c r="F9" s="467"/>
      <c r="G9" s="464"/>
      <c r="H9" s="468"/>
      <c r="I9" s="467"/>
      <c r="J9" s="467"/>
      <c r="K9" s="468"/>
      <c r="L9" s="467"/>
      <c r="M9" s="467"/>
    </row>
    <row r="10" spans="1:13" ht="19.5">
      <c r="A10" s="320" t="s">
        <v>65</v>
      </c>
      <c r="B10" s="310"/>
      <c r="C10" s="459">
        <v>3086</v>
      </c>
      <c r="D10" s="459">
        <v>545012</v>
      </c>
      <c r="F10" s="459">
        <v>7830</v>
      </c>
      <c r="G10" s="459">
        <v>1395251</v>
      </c>
      <c r="I10" s="459">
        <v>1497</v>
      </c>
      <c r="J10" s="459">
        <v>134572</v>
      </c>
      <c r="L10" s="459">
        <v>2825</v>
      </c>
      <c r="M10" s="459">
        <v>289768</v>
      </c>
    </row>
    <row r="11" spans="1:13" ht="19.5">
      <c r="A11" s="320" t="s">
        <v>66</v>
      </c>
      <c r="B11" s="13" t="s">
        <v>64</v>
      </c>
      <c r="C11" s="459">
        <v>28893</v>
      </c>
      <c r="D11" s="458" t="s">
        <v>391</v>
      </c>
      <c r="E11" s="13" t="s">
        <v>64</v>
      </c>
      <c r="F11" s="459">
        <v>75588</v>
      </c>
      <c r="G11" s="458" t="s">
        <v>390</v>
      </c>
      <c r="H11" s="13" t="s">
        <v>64</v>
      </c>
      <c r="I11" s="459">
        <v>25250</v>
      </c>
      <c r="J11" s="458" t="s">
        <v>390</v>
      </c>
      <c r="K11" s="313" t="s">
        <v>64</v>
      </c>
      <c r="L11" s="459">
        <v>57886</v>
      </c>
      <c r="M11" s="458" t="s">
        <v>390</v>
      </c>
    </row>
    <row r="12" spans="1:13" ht="19.5">
      <c r="A12" s="323">
        <v>87149120007</v>
      </c>
      <c r="B12" s="463"/>
      <c r="C12" s="460"/>
      <c r="D12" s="464"/>
      <c r="E12" s="462"/>
      <c r="F12" s="460"/>
      <c r="G12" s="464"/>
      <c r="H12" s="462"/>
      <c r="I12" s="464"/>
      <c r="J12" s="460"/>
      <c r="K12" s="462"/>
      <c r="L12" s="467"/>
      <c r="M12" s="467"/>
    </row>
    <row r="13" spans="1:13" ht="19.5">
      <c r="A13" s="320" t="s">
        <v>68</v>
      </c>
      <c r="B13" s="310"/>
      <c r="C13" s="459">
        <f>VLOOKUP(A12,[13]進出口值表查詢結果!$B$10:$F$26,4,0)</f>
        <v>597050</v>
      </c>
      <c r="D13" s="459">
        <f>VLOOKUP(A12,[13]進出口值表查詢結果!$B$10:$F$26,3,0)</f>
        <v>33255008</v>
      </c>
      <c r="F13" s="459">
        <f>VLOOKUP(A12,[14]進出口值表查詢結果!$B$10:$F$26,4,0)</f>
        <v>1213910</v>
      </c>
      <c r="G13" s="459">
        <f>VLOOKUP(A12,[14]進出口值表查詢結果!$B$10:$F$26,3,0)</f>
        <v>69114127</v>
      </c>
      <c r="I13" s="459">
        <f>VLOOKUP(A12,[15]進出口值表查詢結果!$B$10:$F$26,4,0)</f>
        <v>321729</v>
      </c>
      <c r="J13" s="459">
        <f>VLOOKUP(A12,[15]進出口值表查詢結果!$B$10:$F$26,3,0)</f>
        <v>18407888</v>
      </c>
      <c r="L13" s="459">
        <f>VLOOKUP(A12,[16]進出口值表查詢結果!$B$10:$F$26,4,0)</f>
        <v>676542</v>
      </c>
      <c r="M13" s="459">
        <f>VLOOKUP(A12,[16]進出口值表查詢結果!$B$10:$F$26,3,0)</f>
        <v>40397049</v>
      </c>
    </row>
    <row r="14" spans="1:13" ht="19.5">
      <c r="A14" s="320" t="s">
        <v>69</v>
      </c>
      <c r="B14" s="13" t="s">
        <v>64</v>
      </c>
      <c r="C14" s="459">
        <f>VLOOKUP(A12,[17]出!$B$11:$G$350,6,0)</f>
        <v>0</v>
      </c>
      <c r="D14" s="458"/>
      <c r="E14" s="13" t="s">
        <v>64</v>
      </c>
      <c r="F14" s="459">
        <v>0</v>
      </c>
      <c r="G14" s="458"/>
      <c r="I14" s="459"/>
      <c r="J14" s="458"/>
      <c r="L14" s="459"/>
      <c r="M14" s="458"/>
    </row>
    <row r="15" spans="1:13" ht="19.5">
      <c r="A15" s="323">
        <v>87149200108</v>
      </c>
      <c r="B15" s="463"/>
      <c r="C15" s="464"/>
      <c r="D15" s="460"/>
      <c r="E15" s="462"/>
      <c r="F15" s="464"/>
      <c r="G15" s="460"/>
      <c r="H15" s="462"/>
      <c r="I15" s="464"/>
      <c r="J15" s="460"/>
      <c r="K15" s="462"/>
      <c r="L15" s="464"/>
      <c r="M15" s="460"/>
    </row>
    <row r="16" spans="1:13" ht="19.5">
      <c r="A16" s="320" t="s">
        <v>70</v>
      </c>
      <c r="B16" s="310"/>
      <c r="C16" s="459">
        <f>VLOOKUP(A15,[13]進出口值表查詢結果!$B$10:$F$26,4,0)</f>
        <v>87585</v>
      </c>
      <c r="D16" s="459">
        <f>VLOOKUP(A15,[13]進出口值表查詢結果!$B$10:$F$26,3,0)</f>
        <v>3017925</v>
      </c>
      <c r="F16" s="459">
        <f>VLOOKUP(A15,[14]進出口值表查詢結果!$B$10:$F$26,4,0)</f>
        <v>202762</v>
      </c>
      <c r="G16" s="459">
        <f>VLOOKUP(A15,[14]進出口值表查詢結果!$B$10:$F$26,3,0)</f>
        <v>5990011</v>
      </c>
      <c r="I16" s="459">
        <f>VLOOKUP(A15,[15]進出口值表查詢結果!$B$10:$F$26,4,0)</f>
        <v>57047</v>
      </c>
      <c r="J16" s="459">
        <f>VLOOKUP(A15,[15]進出口值表查詢結果!$B$10:$F$26,3,0)</f>
        <v>5485577</v>
      </c>
      <c r="L16" s="459">
        <f>VLOOKUP(A15,[16]進出口值表查詢結果!$B$10:$F$26,4,0)</f>
        <v>117148</v>
      </c>
      <c r="M16" s="459">
        <f>VLOOKUP(A15,[16]進出口值表查詢結果!$B$10:$F$26,3,0)</f>
        <v>10759141</v>
      </c>
    </row>
    <row r="17" spans="1:13" ht="19.5">
      <c r="A17" s="320"/>
      <c r="B17" s="13" t="s">
        <v>64</v>
      </c>
      <c r="C17" s="459">
        <f>VLOOKUP(A15,[13]進出口值表查詢結果!$B$10:$F$26,5,0)</f>
        <v>159163</v>
      </c>
      <c r="D17" s="458" t="s">
        <v>150</v>
      </c>
      <c r="E17" s="13" t="s">
        <v>64</v>
      </c>
      <c r="F17" s="459">
        <f>VLOOKUP(A15,[14]進出口值表查詢結果!$B$10:$F$26,5,0)</f>
        <v>378193</v>
      </c>
      <c r="G17" s="458" t="s">
        <v>67</v>
      </c>
      <c r="H17" s="13" t="s">
        <v>64</v>
      </c>
      <c r="I17" s="459">
        <f>VLOOKUP(A15,[18]進出口值表查詢結果!$B$10:$F$26,5,0)</f>
        <v>119073</v>
      </c>
      <c r="J17" s="458" t="s">
        <v>67</v>
      </c>
      <c r="K17" s="313" t="s">
        <v>64</v>
      </c>
      <c r="L17" s="459">
        <f>VLOOKUP(A15,[16]進出口值表查詢結果!$B$10:$F$26,5,0)</f>
        <v>273033</v>
      </c>
      <c r="M17" s="458" t="s">
        <v>67</v>
      </c>
    </row>
    <row r="18" spans="1:13" ht="19.5">
      <c r="A18" s="323">
        <v>87149200206</v>
      </c>
      <c r="B18" s="463"/>
      <c r="C18" s="464"/>
      <c r="D18" s="460"/>
      <c r="E18" s="462"/>
      <c r="F18" s="464"/>
      <c r="G18" s="460"/>
      <c r="H18" s="462"/>
      <c r="I18" s="461"/>
      <c r="J18" s="460"/>
      <c r="K18" s="462"/>
      <c r="L18" s="461"/>
      <c r="M18" s="460"/>
    </row>
    <row r="19" spans="1:13" ht="19.5">
      <c r="A19" s="320" t="s">
        <v>55</v>
      </c>
      <c r="B19" s="310"/>
      <c r="C19" s="459">
        <f>VLOOKUP(A18,[13]進出口值表查詢結果!$B$10:$F$26,4,0)</f>
        <v>81101</v>
      </c>
      <c r="D19" s="459">
        <f>VLOOKUP(A18,[13]進出口值表查詢結果!$B$10:$F$26,3,0)</f>
        <v>1048654</v>
      </c>
      <c r="F19" s="459">
        <f>VLOOKUP(A18,[14]進出口值表查詢結果!$B$10:$F$26,4,0)</f>
        <v>177458</v>
      </c>
      <c r="G19" s="459">
        <f>VLOOKUP(A18,[14]進出口值表查詢結果!$B$10:$F$26,3,0)</f>
        <v>2348371</v>
      </c>
      <c r="I19" s="459">
        <f>VLOOKUP(A18,[15]進出口值表查詢結果!$B$10:$F$26,4,0)</f>
        <v>16772</v>
      </c>
      <c r="J19" s="459">
        <f>VLOOKUP(A18,[15]進出口值表查詢結果!$B$10:$F$26,3,0)</f>
        <v>708423</v>
      </c>
      <c r="L19" s="459">
        <f>VLOOKUP(A18,[16]進出口值表查詢結果!$B$10:$F$26,4,0)</f>
        <v>29746</v>
      </c>
      <c r="M19" s="459">
        <f>VLOOKUP(A18,[16]進出口值表查詢結果!$B$10:$F$26,3,0)</f>
        <v>1863355</v>
      </c>
    </row>
    <row r="20" spans="1:13" ht="19.5">
      <c r="A20" s="320"/>
      <c r="B20" s="13" t="s">
        <v>64</v>
      </c>
      <c r="C20" s="459">
        <f>VLOOKUP(A18,[13]進出口值表查詢結果!$B$10:$F$26,5,0)</f>
        <v>12172587</v>
      </c>
      <c r="D20" s="458" t="s">
        <v>150</v>
      </c>
      <c r="E20" s="13" t="s">
        <v>64</v>
      </c>
      <c r="F20" s="459">
        <f>VLOOKUP(A18,[14]進出口值表查詢結果!$B$10:$F$26,5,0)</f>
        <v>27279895</v>
      </c>
      <c r="G20" s="458" t="s">
        <v>67</v>
      </c>
      <c r="H20" s="13" t="s">
        <v>64</v>
      </c>
      <c r="I20" s="459">
        <f>VLOOKUP(A18,[18]進出口值表查詢結果!$B$10:$F$26,5,0)</f>
        <v>2688336</v>
      </c>
      <c r="J20" s="458" t="s">
        <v>67</v>
      </c>
      <c r="K20" s="313" t="s">
        <v>64</v>
      </c>
      <c r="L20" s="459">
        <f>VLOOKUP(A18,[16]進出口值表查詢結果!$B$10:$F$26,5,0)</f>
        <v>5358810</v>
      </c>
      <c r="M20" s="458" t="s">
        <v>67</v>
      </c>
    </row>
    <row r="21" spans="1:13" ht="19.5">
      <c r="A21" s="323">
        <v>87149200304</v>
      </c>
      <c r="B21" s="463"/>
      <c r="C21" s="464"/>
      <c r="D21" s="460"/>
      <c r="E21" s="462"/>
      <c r="F21" s="464"/>
      <c r="G21" s="460"/>
      <c r="H21" s="462"/>
      <c r="I21" s="461"/>
      <c r="J21" s="460"/>
      <c r="K21" s="462"/>
      <c r="L21" s="461"/>
      <c r="M21" s="460"/>
    </row>
    <row r="22" spans="1:13" ht="19.5">
      <c r="A22" s="320" t="s">
        <v>56</v>
      </c>
      <c r="B22" s="310"/>
      <c r="C22" s="459">
        <f>VLOOKUP(A21,[13]進出口值表查詢結果!$B$10:$F$26,4,0)</f>
        <v>73311</v>
      </c>
      <c r="D22" s="459">
        <f>VLOOKUP(A21,[13]進出口值表查詢結果!$B$10:$F$26,3,0)</f>
        <v>8759396</v>
      </c>
      <c r="E22" s="313">
        <f>[19]二全年出口類別合計驗算!U18</f>
        <v>0</v>
      </c>
      <c r="F22" s="459">
        <f>VLOOKUP(A21,[14]進出口值表查詢結果!$B$10:$F$26,4,0)</f>
        <v>144482</v>
      </c>
      <c r="G22" s="459">
        <f>VLOOKUP(A21,[14]進出口值表查詢結果!$B$10:$F$26,3,0)</f>
        <v>19514552</v>
      </c>
      <c r="I22" s="459">
        <f>VLOOKUP(A21,[15]進出口值表查詢結果!$B$10:$F$26,4,0)</f>
        <v>3569</v>
      </c>
      <c r="J22" s="459">
        <f>VLOOKUP(A21,[15]進出口值表查詢結果!$B$10:$F$26,3,0)</f>
        <v>412799</v>
      </c>
      <c r="L22" s="459">
        <f>VLOOKUP(A21,[16]進出口值表查詢結果!$B$10:$F$26,4,0)</f>
        <v>19982</v>
      </c>
      <c r="M22" s="459">
        <f>VLOOKUP(A21,[16]進出口值表查詢結果!$B$10:$F$26,3,0)</f>
        <v>1318977</v>
      </c>
    </row>
    <row r="23" spans="1:13" ht="19.5">
      <c r="A23" s="323">
        <v>87149310007</v>
      </c>
      <c r="B23" s="463"/>
      <c r="C23" s="464"/>
      <c r="D23" s="460"/>
      <c r="E23" s="462"/>
      <c r="F23" s="464"/>
      <c r="G23" s="460"/>
      <c r="H23" s="462"/>
      <c r="I23" s="461"/>
      <c r="J23" s="460"/>
      <c r="K23" s="462"/>
      <c r="L23" s="461"/>
      <c r="M23" s="460"/>
    </row>
    <row r="24" spans="1:13" ht="19.5">
      <c r="A24" s="320" t="s">
        <v>71</v>
      </c>
      <c r="B24" s="310"/>
      <c r="C24" s="459">
        <f>VLOOKUP(A23,[13]進出口值表查詢結果!$B$10:$F$26,4,0)</f>
        <v>51373</v>
      </c>
      <c r="D24" s="459">
        <f>VLOOKUP(A23,[13]進出口值表查詢結果!$B$10:$F$26,3,0)</f>
        <v>3878556</v>
      </c>
      <c r="F24" s="459">
        <f>VLOOKUP(A23,[14]進出口值表查詢結果!$B$10:$F$26,4,0)</f>
        <v>103391</v>
      </c>
      <c r="G24" s="459">
        <f>VLOOKUP(A23,[14]進出口值表查詢結果!$B$10:$F$26,3,0)</f>
        <v>8116485</v>
      </c>
      <c r="I24" s="459">
        <f>VLOOKUP(A23,[15]進出口值表查詢結果!$B$10:$F$26,4,0)</f>
        <v>39263</v>
      </c>
      <c r="J24" s="459">
        <f>VLOOKUP(A23,[15]進出口值表查詢結果!$B$10:$F$26,3,0)</f>
        <v>1642503</v>
      </c>
      <c r="L24" s="459">
        <f>VLOOKUP(A23,[16]進出口值表查詢結果!$B$10:$F$26,4,0)</f>
        <v>91116</v>
      </c>
      <c r="M24" s="459">
        <f>VLOOKUP(A23,[16]進出口值表查詢結果!$B$10:$F$26,3,0)</f>
        <v>4063017</v>
      </c>
    </row>
    <row r="25" spans="1:13" ht="19.5">
      <c r="A25" s="320" t="s">
        <v>72</v>
      </c>
      <c r="B25" s="310"/>
      <c r="C25" s="459"/>
      <c r="D25" s="458"/>
      <c r="F25" s="459"/>
      <c r="G25" s="458"/>
      <c r="I25" s="459"/>
      <c r="J25" s="458"/>
      <c r="L25" s="459"/>
      <c r="M25" s="458"/>
    </row>
    <row r="26" spans="1:13" ht="19.5">
      <c r="A26" s="320" t="s">
        <v>73</v>
      </c>
      <c r="B26" s="310"/>
      <c r="C26" s="459"/>
      <c r="D26" s="458"/>
      <c r="F26" s="459"/>
      <c r="G26" s="458"/>
      <c r="I26" s="459"/>
      <c r="J26" s="458"/>
      <c r="L26" s="459"/>
      <c r="M26" s="458"/>
    </row>
    <row r="27" spans="1:13" ht="19.5">
      <c r="A27" s="323">
        <v>87149320103</v>
      </c>
      <c r="B27" s="463"/>
      <c r="C27" s="464"/>
      <c r="D27" s="460"/>
      <c r="E27" s="462"/>
      <c r="F27" s="464"/>
      <c r="G27" s="460"/>
      <c r="H27" s="462"/>
      <c r="I27" s="461"/>
      <c r="J27" s="460"/>
      <c r="K27" s="462"/>
      <c r="L27" s="461"/>
      <c r="M27" s="460"/>
    </row>
    <row r="28" spans="1:13" ht="19.5">
      <c r="A28" s="320" t="s">
        <v>404</v>
      </c>
      <c r="B28" s="310"/>
      <c r="C28" s="459">
        <f>VLOOKUP(A27,[13]進出口值表查詢結果!$B$10:$F$26,4,0)</f>
        <v>448</v>
      </c>
      <c r="D28" s="459">
        <f>VLOOKUP(A27,[13]進出口值表查詢結果!$B$10:$F$26,3,0)</f>
        <v>15869</v>
      </c>
      <c r="F28" s="459">
        <f>VLOOKUP(A27,[14]進出口值表查詢結果!$B$10:$F$26,4,0)</f>
        <v>4099</v>
      </c>
      <c r="G28" s="459">
        <f>VLOOKUP(A27,[14]進出口值表查詢結果!$B$10:$F$26,3,0)</f>
        <v>132297</v>
      </c>
      <c r="I28" s="459">
        <f>VLOOKUP(A27,[15]進出口值表查詢結果!$B$10:$F$26,4,0)</f>
        <v>254</v>
      </c>
      <c r="J28" s="459">
        <f>VLOOKUP(A27,[15]進出口值表查詢結果!$B$10:$F$26,3,0)</f>
        <v>12987</v>
      </c>
      <c r="L28" s="459">
        <f>VLOOKUP(A27,[16]進出口值表查詢結果!$B$10:$F$26,4,0)</f>
        <v>698</v>
      </c>
      <c r="M28" s="459">
        <f>VLOOKUP(A27,[16]進出口值表查詢結果!$B$10:$F$26,3,0)</f>
        <v>37058</v>
      </c>
    </row>
    <row r="29" spans="1:13" ht="19.5">
      <c r="A29" s="323">
        <v>87149410006</v>
      </c>
      <c r="B29" s="463"/>
      <c r="C29" s="464"/>
      <c r="D29" s="460"/>
      <c r="E29" s="462"/>
      <c r="F29" s="464"/>
      <c r="G29" s="460"/>
      <c r="H29" s="462"/>
      <c r="I29" s="461"/>
      <c r="J29" s="460"/>
      <c r="K29" s="462"/>
      <c r="L29" s="461"/>
      <c r="M29" s="460"/>
    </row>
    <row r="30" spans="1:13" ht="19.5">
      <c r="A30" s="320" t="s">
        <v>74</v>
      </c>
      <c r="B30" s="310"/>
      <c r="C30" s="459">
        <f>VLOOKUP(A29,[13]進出口值表查詢結果!$B$10:$F$26,4,0)</f>
        <v>7531</v>
      </c>
      <c r="D30" s="459">
        <f>VLOOKUP(A29,[13]進出口值表查詢結果!$B$10:$F$26,3,0)</f>
        <v>172476</v>
      </c>
      <c r="F30" s="459">
        <f>VLOOKUP(A29,[14]進出口值表查詢結果!$B$10:$F$26,4,0)</f>
        <v>14656</v>
      </c>
      <c r="G30" s="459">
        <f>VLOOKUP(A29,[14]進出口值表查詢結果!$B$10:$F$26,3,0)</f>
        <v>414341</v>
      </c>
      <c r="I30" s="459">
        <f>VLOOKUP(A29,[15]進出口值表查詢結果!$B$10:$F$26,4,0)</f>
        <v>2919</v>
      </c>
      <c r="J30" s="459">
        <f>VLOOKUP(A29,[15]進出口值表查詢結果!$B$10:$F$26,3,0)</f>
        <v>295315</v>
      </c>
      <c r="L30" s="459">
        <f>VLOOKUP(A29,[16]進出口值表查詢結果!$B$10:$F$26,4,0)</f>
        <v>7402</v>
      </c>
      <c r="M30" s="459">
        <f>VLOOKUP(A29,[16]進出口值表查詢結果!$B$10:$F$26,3,0)</f>
        <v>578980</v>
      </c>
    </row>
    <row r="31" spans="1:13" ht="19.5">
      <c r="A31" s="320" t="s">
        <v>75</v>
      </c>
      <c r="B31" s="310"/>
      <c r="C31" s="459"/>
      <c r="D31" s="458"/>
      <c r="F31" s="459"/>
      <c r="G31" s="458"/>
      <c r="I31" s="459"/>
      <c r="J31" s="458"/>
      <c r="L31" s="459"/>
      <c r="M31" s="458"/>
    </row>
    <row r="32" spans="1:13" ht="19.5">
      <c r="A32" s="323">
        <v>87149490009</v>
      </c>
      <c r="B32" s="463"/>
      <c r="C32" s="464"/>
      <c r="D32" s="460"/>
      <c r="E32" s="462"/>
      <c r="F32" s="464"/>
      <c r="G32" s="460"/>
      <c r="H32" s="462"/>
      <c r="I32" s="461"/>
      <c r="J32" s="460"/>
      <c r="K32" s="462"/>
      <c r="L32" s="461"/>
      <c r="M32" s="460"/>
    </row>
    <row r="33" spans="1:13" ht="19.5">
      <c r="A33" s="320" t="s">
        <v>76</v>
      </c>
      <c r="B33" s="310"/>
      <c r="C33" s="459">
        <f>VLOOKUP(A32,[13]進出口值表查詢結果!$B$10:$F$26,4,0)</f>
        <v>313079</v>
      </c>
      <c r="D33" s="459">
        <f>VLOOKUP(A32,[13]進出口值表查詢結果!$B$10:$F$26,3,0)</f>
        <v>13543592</v>
      </c>
      <c r="F33" s="459">
        <f>VLOOKUP(A32,[14]進出口值表查詢結果!$B$10:$F$26,4,0)</f>
        <v>738462</v>
      </c>
      <c r="G33" s="459">
        <f>VLOOKUP(A32,[14]進出口值表查詢結果!$B$10:$F$26,3,0)</f>
        <v>31361786</v>
      </c>
      <c r="I33" s="459">
        <f>VLOOKUP(A32,[15]進出口值表查詢結果!$B$10:$F$26,4,0)</f>
        <v>150510</v>
      </c>
      <c r="J33" s="459">
        <f>VLOOKUP(A32,[15]進出口值表查詢結果!$B$10:$F$26,3,0)</f>
        <v>4070843</v>
      </c>
      <c r="L33" s="459">
        <f>VLOOKUP(A32,[16]進出口值表查詢結果!$B$10:$F$26,4,0)</f>
        <v>363623</v>
      </c>
      <c r="M33" s="459">
        <f>VLOOKUP(A32,[16]進出口值表查詢結果!$B$10:$F$26,3,0)</f>
        <v>11164731</v>
      </c>
    </row>
    <row r="34" spans="1:13" ht="19.5">
      <c r="A34" s="320" t="s">
        <v>77</v>
      </c>
      <c r="B34" s="310"/>
      <c r="C34" s="459"/>
      <c r="D34" s="458"/>
      <c r="F34" s="459"/>
      <c r="G34" s="458"/>
      <c r="I34" s="459"/>
      <c r="J34" s="458"/>
      <c r="L34" s="459"/>
      <c r="M34" s="458"/>
    </row>
    <row r="35" spans="1:13" ht="19.5">
      <c r="A35" s="323">
        <v>87149500007</v>
      </c>
      <c r="B35" s="463"/>
      <c r="C35" s="461"/>
      <c r="D35" s="460"/>
      <c r="E35" s="462"/>
      <c r="F35" s="461"/>
      <c r="G35" s="460"/>
      <c r="H35" s="462"/>
      <c r="I35" s="461"/>
      <c r="J35" s="460"/>
      <c r="K35" s="462"/>
      <c r="L35" s="461"/>
      <c r="M35" s="460"/>
    </row>
    <row r="36" spans="1:13" ht="19.5">
      <c r="A36" s="320" t="s">
        <v>78</v>
      </c>
      <c r="B36" s="310"/>
      <c r="C36" s="459">
        <f>VLOOKUP(A35,[13]進出口值表查詢結果!$B$10:$F$26,4,0)</f>
        <v>125355</v>
      </c>
      <c r="D36" s="459">
        <f>VLOOKUP(A35,[13]進出口值表查詢結果!$B$10:$F$26,3,0)</f>
        <v>2839253</v>
      </c>
      <c r="F36" s="459">
        <f>VLOOKUP(A35,[14]進出口值表查詢結果!$B$10:$F$26,4,0)</f>
        <v>277813</v>
      </c>
      <c r="G36" s="459">
        <f>VLOOKUP(A35,[14]進出口值表查詢結果!$B$10:$F$26,3,0)</f>
        <v>5740039</v>
      </c>
      <c r="I36" s="459">
        <f>VLOOKUP(A35,[15]進出口值表查詢結果!$B$10:$F$26,4,0)</f>
        <v>46666</v>
      </c>
      <c r="J36" s="459">
        <f>VLOOKUP(A35,[15]進出口值表查詢結果!$B$10:$F$26,3,0)</f>
        <v>863360</v>
      </c>
      <c r="L36" s="459">
        <f>VLOOKUP(A35,[16]進出口值表查詢結果!$B$10:$F$26,4,0)</f>
        <v>106713</v>
      </c>
      <c r="M36" s="459">
        <f>VLOOKUP(A35,[16]進出口值表查詢結果!$B$10:$F$26,3,0)</f>
        <v>1944285</v>
      </c>
    </row>
    <row r="37" spans="1:13" ht="19.5">
      <c r="A37" s="323">
        <v>87149610004</v>
      </c>
      <c r="B37" s="463"/>
      <c r="C37" s="461"/>
      <c r="D37" s="460"/>
      <c r="E37" s="462"/>
      <c r="F37" s="461"/>
      <c r="G37" s="460"/>
      <c r="H37" s="462"/>
      <c r="I37" s="461"/>
      <c r="J37" s="460"/>
      <c r="K37" s="462"/>
      <c r="L37" s="461"/>
      <c r="M37" s="460"/>
    </row>
    <row r="38" spans="1:13" ht="19.5">
      <c r="A38" s="320" t="s">
        <v>79</v>
      </c>
      <c r="B38" s="310"/>
      <c r="C38" s="459">
        <f>VLOOKUP(A37,[13]進出口值表查詢結果!$B$10:$F$26,4,0)</f>
        <v>151447</v>
      </c>
      <c r="D38" s="459">
        <f>VLOOKUP(A37,[13]進出口值表查詢結果!$B$10:$F$26,3,0)</f>
        <v>3724557</v>
      </c>
      <c r="F38" s="459">
        <f>VLOOKUP(A37,[14]進出口值表查詢結果!$B$10:$F$26,4,0)</f>
        <v>289804</v>
      </c>
      <c r="G38" s="459">
        <f>VLOOKUP(A37,[14]進出口值表查詢結果!$B$10:$F$26,3,0)</f>
        <v>7677992</v>
      </c>
      <c r="I38" s="459">
        <f>VLOOKUP(A37,[15]進出口值表查詢結果!$B$10:$F$26,4,0)</f>
        <v>23121</v>
      </c>
      <c r="J38" s="459">
        <f>VLOOKUP(A37,[15]進出口值表查詢結果!$B$10:$F$26,3,0)</f>
        <v>153514</v>
      </c>
      <c r="L38" s="459">
        <f>VLOOKUP(A37,[16]進出口值表查詢結果!$B$10:$F$26,4,0)</f>
        <v>56111</v>
      </c>
      <c r="M38" s="459">
        <f>VLOOKUP(A37,[16]進出口值表查詢結果!$B$10:$F$26,3,0)</f>
        <v>437610</v>
      </c>
    </row>
    <row r="39" spans="1:13" ht="19.5">
      <c r="A39" s="323">
        <v>87149620002</v>
      </c>
      <c r="B39" s="463"/>
      <c r="C39" s="464"/>
      <c r="D39" s="460"/>
      <c r="E39" s="462"/>
      <c r="F39" s="464"/>
      <c r="G39" s="460"/>
      <c r="H39" s="462"/>
      <c r="I39" s="461"/>
      <c r="J39" s="460"/>
      <c r="K39" s="462"/>
      <c r="L39" s="461"/>
      <c r="M39" s="460"/>
    </row>
    <row r="40" spans="1:13" ht="19.5">
      <c r="A40" s="320" t="s">
        <v>80</v>
      </c>
      <c r="B40" s="310"/>
      <c r="C40" s="459">
        <f>VLOOKUP(A39,[13]進出口值表查詢結果!$B$10:$F$26,4,0)</f>
        <v>153444</v>
      </c>
      <c r="D40" s="459">
        <f>VLOOKUP(A39,[13]進出口值表查詢結果!$B$10:$F$26,3,0)</f>
        <v>7750778</v>
      </c>
      <c r="F40" s="459">
        <f>VLOOKUP(A39,[14]進出口值表查詢結果!$B$10:$F$26,4,0)</f>
        <v>314021</v>
      </c>
      <c r="G40" s="459">
        <f>VLOOKUP(A39,[14]進出口值表查詢結果!$B$10:$F$26,3,0)</f>
        <v>16514013</v>
      </c>
      <c r="I40" s="459">
        <f>VLOOKUP(A39,[15]進出口值表查詢結果!$B$10:$F$26,4,0)</f>
        <v>86794</v>
      </c>
      <c r="J40" s="459">
        <f>VLOOKUP(A39,[15]進出口值表查詢結果!$B$10:$F$26,3,0)</f>
        <v>1671023</v>
      </c>
      <c r="L40" s="459">
        <f>VLOOKUP(A39,[16]進出口值表查詢結果!$B$10:$F$26,4,0)</f>
        <v>184702</v>
      </c>
      <c r="M40" s="459">
        <f>VLOOKUP(A39,[16]進出口值表查詢結果!$B$10:$F$26,3,0)</f>
        <v>4247628</v>
      </c>
    </row>
    <row r="41" spans="1:13" ht="19.5">
      <c r="A41" s="320" t="s">
        <v>75</v>
      </c>
      <c r="B41" s="310"/>
      <c r="C41" s="459"/>
      <c r="D41" s="459"/>
      <c r="F41" s="459"/>
      <c r="G41" s="459"/>
      <c r="I41" s="459"/>
      <c r="J41" s="459"/>
      <c r="L41" s="459"/>
      <c r="M41" s="459"/>
    </row>
    <row r="42" spans="1:13" ht="19.5">
      <c r="A42" s="323">
        <v>73151100209</v>
      </c>
      <c r="B42" s="463"/>
      <c r="C42" s="460"/>
      <c r="D42" s="464"/>
      <c r="E42" s="462"/>
      <c r="F42" s="460"/>
      <c r="G42" s="464"/>
      <c r="H42" s="462"/>
      <c r="I42" s="461"/>
      <c r="J42" s="460"/>
      <c r="K42" s="462"/>
      <c r="L42" s="461"/>
      <c r="M42" s="460"/>
    </row>
    <row r="43" spans="1:13" ht="19.5">
      <c r="A43" s="320" t="s">
        <v>81</v>
      </c>
      <c r="B43" s="310"/>
      <c r="C43" s="459">
        <v>77601</v>
      </c>
      <c r="D43" s="459">
        <v>1359423</v>
      </c>
      <c r="F43" s="459">
        <v>225746</v>
      </c>
      <c r="G43" s="459">
        <v>4026213</v>
      </c>
      <c r="I43" s="459">
        <v>49235</v>
      </c>
      <c r="J43" s="459">
        <v>903911</v>
      </c>
      <c r="L43" s="459">
        <v>160308</v>
      </c>
      <c r="M43" s="459">
        <v>1751994</v>
      </c>
    </row>
    <row r="44" spans="1:13" ht="19.5">
      <c r="A44" s="320" t="s">
        <v>82</v>
      </c>
      <c r="B44" s="310"/>
      <c r="C44" s="459"/>
      <c r="D44" s="458"/>
      <c r="F44" s="459"/>
      <c r="G44" s="458"/>
      <c r="I44" s="459"/>
      <c r="J44" s="458"/>
      <c r="L44" s="459"/>
      <c r="M44" s="458"/>
    </row>
    <row r="45" spans="1:13" ht="19.5">
      <c r="A45" s="323">
        <v>87149990111</v>
      </c>
      <c r="B45" s="463"/>
      <c r="C45" s="464"/>
      <c r="D45" s="460"/>
      <c r="E45" s="462"/>
      <c r="F45" s="464"/>
      <c r="G45" s="460"/>
      <c r="H45" s="462"/>
      <c r="I45" s="461"/>
      <c r="J45" s="460"/>
      <c r="K45" s="462"/>
      <c r="L45" s="461"/>
      <c r="M45" s="460"/>
    </row>
    <row r="46" spans="1:13" ht="19.5">
      <c r="A46" s="324" t="s">
        <v>83</v>
      </c>
      <c r="B46" s="312"/>
      <c r="C46" s="459">
        <f>VLOOKUP(A45,[13]進出口值表查詢結果!$B$10:$F$26,4,0)</f>
        <v>51731</v>
      </c>
      <c r="D46" s="459">
        <f>VLOOKUP(A45,[13]進出口值表查詢結果!$B$10:$F$26,3,0)</f>
        <v>6806082</v>
      </c>
      <c r="F46" s="459">
        <f>VLOOKUP(A45,[14]進出口值表查詢結果!$B$10:$F$26,4,0)</f>
        <v>123000</v>
      </c>
      <c r="G46" s="459">
        <f>VLOOKUP(A45,[14]進出口值表查詢結果!$B$10:$F$26,3,0)</f>
        <v>14819695</v>
      </c>
      <c r="I46" s="459">
        <f>VLOOKUP(A45,[15]進出口值表查詢結果!$B$10:$F$26,4,0)</f>
        <v>42474</v>
      </c>
      <c r="J46" s="459">
        <f>VLOOKUP(A45,[15]進出口值表查詢結果!$B$10:$F$26,3,0)</f>
        <v>2029552</v>
      </c>
      <c r="L46" s="459">
        <f>VLOOKUP(A45,[16]進出口值表查詢結果!$B$10:$F$26,4,0)</f>
        <v>77060</v>
      </c>
      <c r="M46" s="459">
        <f>VLOOKUP(A45,[16]進出口值表查詢結果!$B$10:$F$26,3,0)</f>
        <v>5168320</v>
      </c>
    </row>
    <row r="47" spans="1:13" ht="19.5">
      <c r="A47" s="320" t="s">
        <v>84</v>
      </c>
      <c r="B47" s="310"/>
      <c r="C47" s="459"/>
      <c r="D47" s="458"/>
      <c r="F47" s="459"/>
      <c r="G47" s="458"/>
      <c r="I47" s="459"/>
      <c r="J47" s="458"/>
      <c r="L47" s="459"/>
      <c r="M47" s="458"/>
    </row>
    <row r="48" spans="1:13" ht="19.5">
      <c r="A48" s="323">
        <v>87149320906</v>
      </c>
      <c r="B48" s="463"/>
      <c r="C48" s="464"/>
      <c r="D48" s="460"/>
      <c r="E48" s="462"/>
      <c r="F48" s="464"/>
      <c r="G48" s="460"/>
      <c r="H48" s="462"/>
      <c r="I48" s="461"/>
      <c r="J48" s="460"/>
      <c r="K48" s="462"/>
      <c r="L48" s="461"/>
      <c r="M48" s="460"/>
    </row>
    <row r="49" spans="1:13" ht="19.5">
      <c r="A49" s="320" t="s">
        <v>405</v>
      </c>
      <c r="B49" s="310"/>
      <c r="C49" s="459">
        <f>VLOOKUP(A48,[13]進出口值表查詢結果!$B$10:$F$26,4,0)</f>
        <v>162370</v>
      </c>
      <c r="D49" s="459">
        <f>VLOOKUP(A48,[13]進出口值表查詢結果!$B$10:$F$26,3,0)</f>
        <v>6376838</v>
      </c>
      <c r="F49" s="459">
        <f>VLOOKUP(A48,[14]進出口值表查詢結果!$B$10:$F$26,4,0)</f>
        <v>319169</v>
      </c>
      <c r="G49" s="459">
        <f>VLOOKUP(A48,[14]進出口值表查詢結果!$B$10:$F$26,3,0)</f>
        <v>13091715</v>
      </c>
      <c r="I49" s="459">
        <f>VLOOKUP(A48,[15]進出口值表查詢結果!$B$10:$F$26,4,0)</f>
        <v>17944</v>
      </c>
      <c r="J49" s="459">
        <f>VLOOKUP(A48,[15]進出口值表查詢結果!$B$10:$F$26,3,0)</f>
        <v>624400</v>
      </c>
      <c r="L49" s="459">
        <f>VLOOKUP(A48,[16]進出口值表查詢結果!$B$10:$F$26,4,0)</f>
        <v>47305</v>
      </c>
      <c r="M49" s="459">
        <f>VLOOKUP(A48,[16]進出口值表查詢結果!$B$10:$F$26,3,0)</f>
        <v>2011026</v>
      </c>
    </row>
    <row r="50" spans="1:13" ht="19.5">
      <c r="A50" s="323">
        <v>87149990139</v>
      </c>
      <c r="B50" s="463"/>
      <c r="C50" s="464"/>
      <c r="D50" s="460"/>
      <c r="E50" s="462"/>
      <c r="F50" s="464"/>
      <c r="G50" s="460"/>
      <c r="H50" s="462"/>
      <c r="I50" s="461"/>
      <c r="J50" s="460"/>
      <c r="K50" s="462"/>
      <c r="L50" s="461"/>
      <c r="M50" s="460"/>
    </row>
    <row r="51" spans="1:13" ht="19.5">
      <c r="A51" s="320" t="s">
        <v>85</v>
      </c>
      <c r="B51" s="310"/>
      <c r="C51" s="459">
        <f>VLOOKUP(A50,[13]進出口值表查詢結果!$B$10:$F$26,4,0)</f>
        <v>8476</v>
      </c>
      <c r="D51" s="459">
        <f>VLOOKUP(A50,[13]進出口值表查詢結果!$B$10:$F$26,3,0)</f>
        <v>269941</v>
      </c>
      <c r="F51" s="459">
        <f>VLOOKUP(A50,[14]進出口值表查詢結果!$B$10:$F$26,4,0)</f>
        <v>16359</v>
      </c>
      <c r="G51" s="459">
        <f>VLOOKUP(A50,[14]進出口值表查詢結果!$B$10:$F$26,3,0)</f>
        <v>444126</v>
      </c>
      <c r="I51" s="459">
        <f>VLOOKUP(A50,[15]進出口值表查詢結果!$B$10:$F$26,4,0)</f>
        <v>8659</v>
      </c>
      <c r="J51" s="459">
        <f>VLOOKUP(A50,[15]進出口值表查詢結果!$B$10:$F$26,3,0)</f>
        <v>87202</v>
      </c>
      <c r="L51" s="459">
        <f>VLOOKUP(A50,[16]進出口值表查詢結果!$B$10:$F$26,4,0)</f>
        <v>14975</v>
      </c>
      <c r="M51" s="459">
        <f>VLOOKUP(A50,[16]進出口值表查詢結果!$B$10:$F$26,3,0)</f>
        <v>193355</v>
      </c>
    </row>
    <row r="52" spans="1:13" ht="19.5">
      <c r="A52" s="323">
        <v>87149990148</v>
      </c>
      <c r="B52" s="463"/>
      <c r="C52" s="464"/>
      <c r="D52" s="460"/>
      <c r="E52" s="462"/>
      <c r="F52" s="464"/>
      <c r="G52" s="460"/>
      <c r="H52" s="462"/>
      <c r="I52" s="461"/>
      <c r="J52" s="460"/>
      <c r="K52" s="462"/>
      <c r="L52" s="461"/>
      <c r="M52" s="460"/>
    </row>
    <row r="53" spans="1:13" ht="19.5">
      <c r="A53" s="325" t="s">
        <v>86</v>
      </c>
      <c r="B53" s="466"/>
      <c r="C53" s="459">
        <f>VLOOKUP(A52,[13]進出口值表查詢結果!$B$10:$F$26,4,0)</f>
        <v>58210</v>
      </c>
      <c r="D53" s="459">
        <f>VLOOKUP(A52,[13]進出口值表查詢結果!$B$10:$F$26,3,0)</f>
        <v>1956223</v>
      </c>
      <c r="F53" s="459">
        <f>VLOOKUP(A52,[14]進出口值表查詢結果!$B$10:$F$26,4,0)</f>
        <v>142618</v>
      </c>
      <c r="G53" s="459">
        <f>VLOOKUP(A52,[14]進出口值表查詢結果!$B$10:$F$26,3,0)</f>
        <v>4624537</v>
      </c>
      <c r="I53" s="459">
        <f>VLOOKUP(A52,[15]進出口值表查詢結果!$B$10:$F$26,4,0)</f>
        <v>7795</v>
      </c>
      <c r="J53" s="459">
        <f>VLOOKUP(A52,[15]進出口值表查詢結果!$B$10:$F$26,3,0)</f>
        <v>239059</v>
      </c>
      <c r="L53" s="459">
        <f>VLOOKUP(A52,[16]進出口值表查詢結果!$B$10:$F$26,4,0)</f>
        <v>19680</v>
      </c>
      <c r="M53" s="459">
        <f>VLOOKUP(A52,[16]進出口值表查詢結果!$B$10:$F$26,3,0)</f>
        <v>454916</v>
      </c>
    </row>
    <row r="54" spans="1:13" ht="19.5">
      <c r="A54" s="320" t="s">
        <v>87</v>
      </c>
      <c r="B54" s="310"/>
      <c r="C54" s="459"/>
      <c r="D54" s="458"/>
      <c r="F54" s="459"/>
      <c r="G54" s="458"/>
      <c r="I54" s="459"/>
      <c r="J54" s="465"/>
      <c r="L54" s="459"/>
      <c r="M54" s="458"/>
    </row>
    <row r="55" spans="1:13" ht="19.5">
      <c r="A55" s="323">
        <v>87149990157</v>
      </c>
      <c r="B55" s="463"/>
      <c r="C55" s="464"/>
      <c r="D55" s="460"/>
      <c r="E55" s="462"/>
      <c r="F55" s="464"/>
      <c r="G55" s="460"/>
      <c r="H55" s="462"/>
      <c r="I55" s="461"/>
      <c r="J55" s="460"/>
      <c r="K55" s="462"/>
      <c r="L55" s="461"/>
      <c r="M55" s="460"/>
    </row>
    <row r="56" spans="1:13" ht="19.5">
      <c r="A56" s="320" t="s">
        <v>88</v>
      </c>
      <c r="B56" s="310"/>
      <c r="C56" s="459">
        <f>VLOOKUP(A55,[13]進出口值表查詢結果!$B$10:$F$26,4,0)</f>
        <v>123866</v>
      </c>
      <c r="D56" s="459">
        <f>VLOOKUP(A55,[13]進出口值表查詢結果!$B$10:$F$26,3,0)</f>
        <v>4684134</v>
      </c>
      <c r="F56" s="459">
        <f>VLOOKUP(A55,[14]進出口值表查詢結果!$B$10:$F$26,4,0)</f>
        <v>260642</v>
      </c>
      <c r="G56" s="459">
        <f>VLOOKUP(A55,[14]進出口值表查詢結果!$B$10:$F$26,3,0)</f>
        <v>9577064</v>
      </c>
      <c r="I56" s="459">
        <f>VLOOKUP(A55,[15]進出口值表查詢結果!$B$10:$F$26,4,0)</f>
        <v>21044</v>
      </c>
      <c r="J56" s="459">
        <f>VLOOKUP(A55,[15]進出口值表查詢結果!$B$10:$F$26,3,0)</f>
        <v>735411</v>
      </c>
      <c r="L56" s="459">
        <f>VLOOKUP(A55,[16]進出口值表查詢結果!$B$10:$F$26,4,0)</f>
        <v>65309</v>
      </c>
      <c r="M56" s="459">
        <f>VLOOKUP(A55,[16]進出口值表查詢結果!$B$10:$F$26,3,0)</f>
        <v>2068609</v>
      </c>
    </row>
    <row r="57" spans="1:13" ht="19.5">
      <c r="A57" s="320" t="s">
        <v>89</v>
      </c>
      <c r="B57" s="310"/>
      <c r="C57" s="459"/>
      <c r="D57" s="458"/>
      <c r="F57" s="459"/>
      <c r="G57" s="458"/>
      <c r="I57" s="459"/>
      <c r="J57" s="459"/>
      <c r="L57" s="459"/>
      <c r="M57" s="458"/>
    </row>
    <row r="58" spans="1:13" ht="19.5">
      <c r="A58" s="323">
        <v>87149990166</v>
      </c>
      <c r="B58" s="463"/>
      <c r="C58" s="464"/>
      <c r="D58" s="460"/>
      <c r="E58" s="462"/>
      <c r="F58" s="464"/>
      <c r="G58" s="460"/>
      <c r="H58" s="462"/>
      <c r="I58" s="461"/>
      <c r="J58" s="461"/>
      <c r="K58" s="462"/>
      <c r="L58" s="461"/>
      <c r="M58" s="460"/>
    </row>
    <row r="59" spans="1:13" ht="19.5">
      <c r="A59" s="320" t="s">
        <v>86</v>
      </c>
      <c r="B59" s="310"/>
      <c r="C59" s="459">
        <f>VLOOKUP(A58,[13]進出口值表查詢結果!$B$10:$F$26,4,0)</f>
        <v>80478</v>
      </c>
      <c r="D59" s="459">
        <f>VLOOKUP(A58,[13]進出口值表查詢結果!$B$10:$F$26,3,0)</f>
        <v>3676213</v>
      </c>
      <c r="F59" s="459">
        <f>VLOOKUP(A58,[14]進出口值表查詢結果!$B$10:$F$26,4,0)</f>
        <v>210467</v>
      </c>
      <c r="G59" s="459">
        <f>VLOOKUP(A58,[14]進出口值表查詢結果!$B$10:$F$26,3,0)</f>
        <v>8378874</v>
      </c>
      <c r="I59" s="459">
        <f>VLOOKUP(A58,[15]進出口值表查詢結果!$B$10:$F$26,4,0)</f>
        <v>27724</v>
      </c>
      <c r="J59" s="459">
        <f>VLOOKUP(A58,[15]進出口值表查詢結果!$B$10:$F$26,3,0)</f>
        <v>2377686</v>
      </c>
      <c r="L59" s="459">
        <f>VLOOKUP(A58,[16]進出口值表查詢結果!$B$10:$F$26,4,0)</f>
        <v>60574</v>
      </c>
      <c r="M59" s="459">
        <f>VLOOKUP(A58,[16]進出口值表查詢結果!$B$10:$F$26,3,0)</f>
        <v>4664194</v>
      </c>
    </row>
    <row r="60" spans="1:13" ht="19.5">
      <c r="A60" s="323">
        <v>40115000008</v>
      </c>
      <c r="B60" s="463"/>
      <c r="C60" s="461"/>
      <c r="D60" s="461"/>
      <c r="E60" s="462"/>
      <c r="F60" s="461"/>
      <c r="G60" s="461"/>
      <c r="H60" s="462"/>
      <c r="I60" s="461"/>
      <c r="J60" s="461"/>
      <c r="K60" s="462"/>
      <c r="L60" s="461"/>
      <c r="M60" s="460"/>
    </row>
    <row r="61" spans="1:13" ht="19.5">
      <c r="A61" s="320" t="s">
        <v>90</v>
      </c>
      <c r="B61" s="310"/>
      <c r="C61" s="459">
        <v>339932</v>
      </c>
      <c r="D61" s="459">
        <v>5769496</v>
      </c>
      <c r="F61" s="459">
        <v>687861</v>
      </c>
      <c r="G61" s="459">
        <v>10790108</v>
      </c>
      <c r="I61" s="459">
        <v>112533</v>
      </c>
      <c r="J61" s="459">
        <v>1136966</v>
      </c>
      <c r="L61" s="459">
        <v>273080</v>
      </c>
      <c r="M61" s="459">
        <v>3003512</v>
      </c>
    </row>
    <row r="62" spans="1:13" ht="19.5">
      <c r="A62" s="320" t="s">
        <v>91</v>
      </c>
      <c r="B62" s="310" t="s">
        <v>64</v>
      </c>
      <c r="C62" s="459">
        <v>409827</v>
      </c>
      <c r="D62" s="458" t="s">
        <v>67</v>
      </c>
      <c r="E62" s="13" t="s">
        <v>64</v>
      </c>
      <c r="F62" s="459">
        <v>865351</v>
      </c>
      <c r="G62" s="458" t="s">
        <v>67</v>
      </c>
      <c r="H62" s="13" t="s">
        <v>64</v>
      </c>
      <c r="I62" s="459">
        <v>168545</v>
      </c>
      <c r="J62" s="537" t="s">
        <v>67</v>
      </c>
      <c r="K62" s="313" t="s">
        <v>64</v>
      </c>
      <c r="L62" s="459">
        <v>394400</v>
      </c>
      <c r="M62" s="537" t="s">
        <v>67</v>
      </c>
    </row>
    <row r="63" spans="1:13" ht="19.5">
      <c r="A63" s="323">
        <v>40132000003</v>
      </c>
      <c r="B63" s="463"/>
      <c r="C63" s="461"/>
      <c r="D63" s="461"/>
      <c r="E63" s="462"/>
      <c r="F63" s="461"/>
      <c r="G63" s="461"/>
      <c r="H63" s="462"/>
      <c r="I63" s="461"/>
      <c r="J63" s="461"/>
      <c r="K63" s="462"/>
      <c r="L63" s="461"/>
      <c r="M63" s="460"/>
    </row>
    <row r="64" spans="1:13" ht="19.5">
      <c r="A64" s="320" t="s">
        <v>92</v>
      </c>
      <c r="B64" s="310"/>
      <c r="C64" s="459">
        <v>271270</v>
      </c>
      <c r="D64" s="459">
        <v>24718</v>
      </c>
      <c r="F64" s="459">
        <v>64930</v>
      </c>
      <c r="G64" s="459">
        <v>678215</v>
      </c>
      <c r="I64" s="459">
        <v>46015</v>
      </c>
      <c r="J64" s="459">
        <v>321793</v>
      </c>
      <c r="L64" s="459">
        <v>84694</v>
      </c>
      <c r="M64" s="459">
        <v>609917</v>
      </c>
    </row>
    <row r="65" spans="1:13" ht="19.5">
      <c r="A65" s="320" t="s">
        <v>93</v>
      </c>
      <c r="B65" s="310" t="s">
        <v>64</v>
      </c>
      <c r="C65" s="459">
        <v>145370</v>
      </c>
      <c r="D65" s="458" t="s">
        <v>67</v>
      </c>
      <c r="E65" s="13" t="s">
        <v>64</v>
      </c>
      <c r="F65" s="459">
        <v>384886</v>
      </c>
      <c r="G65" s="458" t="s">
        <v>67</v>
      </c>
      <c r="H65" s="13" t="s">
        <v>64</v>
      </c>
      <c r="I65" s="459">
        <v>239523</v>
      </c>
      <c r="J65" s="537" t="s">
        <v>67</v>
      </c>
      <c r="K65" s="313" t="s">
        <v>64</v>
      </c>
      <c r="L65" s="459">
        <v>441475</v>
      </c>
      <c r="M65" s="537" t="s">
        <v>67</v>
      </c>
    </row>
    <row r="66" spans="1:13" ht="19.5">
      <c r="A66" s="320"/>
      <c r="B66" s="310"/>
      <c r="D66" s="321"/>
      <c r="G66" s="321"/>
      <c r="J66" s="538"/>
      <c r="M66" s="538"/>
    </row>
    <row r="67" spans="1:13" ht="19.5">
      <c r="A67" s="314" t="s">
        <v>94</v>
      </c>
      <c r="B67" s="326"/>
      <c r="C67" s="327">
        <f>SUM(C6:C66)-C65-C62-C20-C17-C11-C8-C14</f>
        <v>2829075</v>
      </c>
      <c r="D67" s="328">
        <f>SUM(D6:D66)</f>
        <v>110712185</v>
      </c>
      <c r="E67" s="327"/>
      <c r="F67" s="327">
        <f>SUM(F6:F66)-F65-F62-F20-F17-F11-F8-F14</f>
        <v>5557662</v>
      </c>
      <c r="G67" s="328">
        <f>SUM(G6:G66)</f>
        <v>237100606</v>
      </c>
      <c r="H67" s="327"/>
      <c r="I67" s="327">
        <f>SUM(I6:I66)-I65-I62-I20-I17-I11-I8</f>
        <v>1088498</v>
      </c>
      <c r="J67" s="539">
        <f>SUM(J6:J66)</f>
        <v>42526548</v>
      </c>
      <c r="K67" s="327"/>
      <c r="L67" s="327">
        <f>SUM(L6:L66)-L65-L62-L20-L17-L11-L8</f>
        <v>2469658</v>
      </c>
      <c r="M67" s="539">
        <f>SUM(M6:M66)</f>
        <v>97541514</v>
      </c>
    </row>
    <row r="68" spans="1:13" ht="4.5" customHeight="1">
      <c r="G68" s="5"/>
    </row>
    <row r="69" spans="1:13">
      <c r="A69" s="55" t="s">
        <v>463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3" customWidth="1"/>
    <col min="3" max="3" width="17.25" style="356" customWidth="1"/>
    <col min="4" max="4" width="15.75" style="357" customWidth="1"/>
    <col min="5" max="5" width="16.75" style="313" customWidth="1"/>
    <col min="6" max="6" width="16.875" style="356" customWidth="1"/>
    <col min="7" max="7" width="14.875" style="357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0" customFormat="1" ht="25.5">
      <c r="A1" s="329" t="s">
        <v>518</v>
      </c>
      <c r="B1" s="330"/>
      <c r="C1" s="331"/>
      <c r="D1" s="332"/>
      <c r="E1" s="330"/>
      <c r="F1" s="331"/>
      <c r="G1" s="332"/>
    </row>
    <row r="2" spans="1:7" s="310" customFormat="1" ht="19.5">
      <c r="B2" s="311"/>
      <c r="C2" s="333"/>
      <c r="D2" s="334"/>
      <c r="E2" s="311"/>
      <c r="F2" s="333"/>
      <c r="G2" s="334"/>
    </row>
    <row r="3" spans="1:7" s="310" customFormat="1" ht="19.5">
      <c r="A3" s="312"/>
      <c r="B3" s="311"/>
      <c r="C3" s="333"/>
      <c r="D3" s="334"/>
      <c r="E3" s="311"/>
      <c r="F3" s="333"/>
      <c r="G3" s="334"/>
    </row>
    <row r="4" spans="1:7">
      <c r="A4" s="42" t="s">
        <v>95</v>
      </c>
      <c r="B4" s="511" t="s">
        <v>478</v>
      </c>
      <c r="C4" s="71" t="s">
        <v>464</v>
      </c>
      <c r="D4" s="335" t="s">
        <v>36</v>
      </c>
      <c r="E4" s="73" t="s">
        <v>478</v>
      </c>
      <c r="F4" s="71" t="s">
        <v>464</v>
      </c>
      <c r="G4" s="200" t="s">
        <v>36</v>
      </c>
    </row>
    <row r="5" spans="1:7" s="310" customFormat="1" ht="18" customHeight="1">
      <c r="A5" s="46"/>
      <c r="B5" s="77" t="s">
        <v>96</v>
      </c>
      <c r="C5" s="76" t="s">
        <v>482</v>
      </c>
      <c r="D5" s="201" t="s">
        <v>1</v>
      </c>
      <c r="E5" s="77" t="s">
        <v>33</v>
      </c>
      <c r="F5" s="76" t="s">
        <v>33</v>
      </c>
      <c r="G5" s="201" t="s">
        <v>1</v>
      </c>
    </row>
    <row r="6" spans="1:7" ht="19.5">
      <c r="A6" s="336">
        <v>85121010001</v>
      </c>
      <c r="B6" s="337"/>
      <c r="C6" s="338"/>
      <c r="D6" s="339"/>
      <c r="E6" s="337"/>
      <c r="F6" s="338"/>
      <c r="G6" s="340"/>
    </row>
    <row r="7" spans="1:7" ht="19.5">
      <c r="A7" s="320" t="s">
        <v>62</v>
      </c>
      <c r="B7" s="341">
        <f>零件!F7</f>
        <v>18182</v>
      </c>
      <c r="C7" s="342">
        <v>20310</v>
      </c>
      <c r="D7" s="499">
        <f>(B7-C7)/C7</f>
        <v>-0.10477597242737567</v>
      </c>
      <c r="E7" s="341">
        <f>零件!G7</f>
        <v>2350794</v>
      </c>
      <c r="F7" s="342">
        <v>2200399</v>
      </c>
      <c r="G7" s="499">
        <f>(E7-F7)/F7</f>
        <v>6.834896761905454E-2</v>
      </c>
    </row>
    <row r="8" spans="1:7" ht="19.5">
      <c r="A8" s="320" t="s">
        <v>63</v>
      </c>
      <c r="B8" s="341"/>
      <c r="C8" s="345"/>
      <c r="D8" s="344"/>
      <c r="E8" s="345"/>
      <c r="F8" s="342"/>
      <c r="G8" s="345"/>
    </row>
    <row r="9" spans="1:7" ht="19.5">
      <c r="A9" s="322">
        <v>85121020009</v>
      </c>
      <c r="B9" s="346"/>
      <c r="C9" s="346"/>
      <c r="D9" s="347"/>
      <c r="E9" s="346"/>
      <c r="F9" s="346"/>
      <c r="G9" s="346"/>
    </row>
    <row r="10" spans="1:7" ht="19.5">
      <c r="A10" s="320" t="s">
        <v>65</v>
      </c>
      <c r="B10" s="341">
        <f>零件!F10</f>
        <v>7830</v>
      </c>
      <c r="C10" s="342">
        <v>5747</v>
      </c>
      <c r="D10" s="500">
        <f>(B10-C10)/C10</f>
        <v>0.36244997389942579</v>
      </c>
      <c r="E10" s="341">
        <f>零件!G10</f>
        <v>1395251</v>
      </c>
      <c r="F10" s="342">
        <v>854266</v>
      </c>
      <c r="G10" s="500">
        <f>(E10-F10)/F10</f>
        <v>0.63327464747514239</v>
      </c>
    </row>
    <row r="11" spans="1:7" ht="19.5">
      <c r="A11" s="320" t="s">
        <v>66</v>
      </c>
      <c r="B11" s="341"/>
      <c r="C11" s="345"/>
      <c r="D11" s="348"/>
      <c r="E11" s="345"/>
      <c r="F11" s="342"/>
      <c r="G11" s="345"/>
    </row>
    <row r="12" spans="1:7" ht="19.5">
      <c r="A12" s="323">
        <v>87149120007</v>
      </c>
      <c r="B12" s="346"/>
      <c r="C12" s="346"/>
      <c r="D12" s="350"/>
      <c r="E12" s="351"/>
      <c r="F12" s="346"/>
      <c r="G12" s="351"/>
    </row>
    <row r="13" spans="1:7" ht="19.5">
      <c r="A13" s="320" t="s">
        <v>68</v>
      </c>
      <c r="B13" s="341">
        <f>零件!F13</f>
        <v>1213910</v>
      </c>
      <c r="C13" s="342">
        <v>1224572</v>
      </c>
      <c r="D13" s="499">
        <f>(B13-C13)/C13</f>
        <v>-8.7067154891668271E-3</v>
      </c>
      <c r="E13" s="341">
        <f>零件!G13</f>
        <v>69114127</v>
      </c>
      <c r="F13" s="342">
        <v>73595324</v>
      </c>
      <c r="G13" s="500">
        <f>(E13-F13)/F13</f>
        <v>-6.0889697285659072E-2</v>
      </c>
    </row>
    <row r="14" spans="1:7" ht="19.5">
      <c r="A14" s="320" t="s">
        <v>69</v>
      </c>
      <c r="B14" s="348"/>
      <c r="C14" s="343"/>
      <c r="D14" s="341"/>
      <c r="E14" s="345"/>
      <c r="F14" s="342"/>
      <c r="G14" s="345"/>
    </row>
    <row r="15" spans="1:7" ht="19.5">
      <c r="A15" s="323">
        <v>87149200108</v>
      </c>
      <c r="B15" s="346"/>
      <c r="C15" s="349"/>
      <c r="D15" s="350"/>
      <c r="E15" s="351"/>
      <c r="F15" s="352"/>
      <c r="G15" s="351"/>
    </row>
    <row r="16" spans="1:7" ht="19.5">
      <c r="A16" s="320" t="s">
        <v>70</v>
      </c>
      <c r="B16" s="341">
        <f>零件!F16</f>
        <v>202762</v>
      </c>
      <c r="C16" s="342">
        <v>180618</v>
      </c>
      <c r="D16" s="500">
        <f>(B16-C16)/C16</f>
        <v>0.12260129112270095</v>
      </c>
      <c r="E16" s="341">
        <f>零件!G16</f>
        <v>5990011</v>
      </c>
      <c r="F16" s="342">
        <v>5870671</v>
      </c>
      <c r="G16" s="499">
        <f>(E16-F16)/F16</f>
        <v>2.032817032329013E-2</v>
      </c>
    </row>
    <row r="17" spans="1:7" ht="19.5">
      <c r="A17" s="320"/>
      <c r="B17" s="341"/>
      <c r="C17" s="343"/>
      <c r="D17" s="341"/>
      <c r="E17" s="345"/>
      <c r="F17" s="342"/>
      <c r="G17" s="345"/>
    </row>
    <row r="18" spans="1:7" ht="19.5">
      <c r="A18" s="323">
        <v>87149200206</v>
      </c>
      <c r="B18" s="346"/>
      <c r="C18" s="349"/>
      <c r="D18" s="350"/>
      <c r="E18" s="351"/>
      <c r="F18" s="352"/>
      <c r="G18" s="351"/>
    </row>
    <row r="19" spans="1:7" ht="19.5">
      <c r="A19" s="320" t="s">
        <v>55</v>
      </c>
      <c r="B19" s="341">
        <f>零件!F19</f>
        <v>177458</v>
      </c>
      <c r="C19" s="342">
        <v>136376</v>
      </c>
      <c r="D19" s="500">
        <f>(B19-C19)/C19</f>
        <v>0.30124068751099903</v>
      </c>
      <c r="E19" s="341">
        <f>零件!G19</f>
        <v>2348371</v>
      </c>
      <c r="F19" s="342">
        <v>1804249</v>
      </c>
      <c r="G19" s="500">
        <f>(E19-F19)/F19</f>
        <v>0.30157810812143998</v>
      </c>
    </row>
    <row r="20" spans="1:7" ht="19.5">
      <c r="A20" s="320"/>
      <c r="B20" s="341"/>
      <c r="C20" s="343"/>
      <c r="D20" s="341"/>
      <c r="E20" s="345"/>
      <c r="F20" s="342"/>
      <c r="G20" s="345"/>
    </row>
    <row r="21" spans="1:7" ht="19.5">
      <c r="A21" s="323">
        <v>87149200304</v>
      </c>
      <c r="B21" s="346"/>
      <c r="C21" s="349"/>
      <c r="D21" s="350"/>
      <c r="E21" s="351"/>
      <c r="F21" s="352"/>
      <c r="G21" s="351"/>
    </row>
    <row r="22" spans="1:7" ht="19.5">
      <c r="A22" s="320" t="s">
        <v>56</v>
      </c>
      <c r="B22" s="341">
        <f>零件!F22</f>
        <v>144482</v>
      </c>
      <c r="C22" s="342">
        <v>101990</v>
      </c>
      <c r="D22" s="499">
        <f>(B22-C22)/C22</f>
        <v>0.41662908128247866</v>
      </c>
      <c r="E22" s="341">
        <f>零件!G22</f>
        <v>19514552</v>
      </c>
      <c r="F22" s="342">
        <v>15209845</v>
      </c>
      <c r="G22" s="500">
        <f>(E22-F22)/F22</f>
        <v>0.28302109587573049</v>
      </c>
    </row>
    <row r="23" spans="1:7" ht="19.5">
      <c r="A23" s="323">
        <v>87149310007</v>
      </c>
      <c r="B23" s="346"/>
      <c r="C23" s="349"/>
      <c r="D23" s="350"/>
      <c r="E23" s="351"/>
      <c r="F23" s="352"/>
      <c r="G23" s="351"/>
    </row>
    <row r="24" spans="1:7" ht="19.5">
      <c r="A24" s="320" t="s">
        <v>71</v>
      </c>
      <c r="B24" s="341">
        <f>零件!F24</f>
        <v>103391</v>
      </c>
      <c r="C24" s="342">
        <v>81683</v>
      </c>
      <c r="D24" s="500">
        <f>(B24-C24)/C24</f>
        <v>0.26575909307934331</v>
      </c>
      <c r="E24" s="341">
        <f>零件!G24</f>
        <v>8116485</v>
      </c>
      <c r="F24" s="342">
        <v>7740548</v>
      </c>
      <c r="G24" s="500">
        <f>(E24-F24)/F24</f>
        <v>4.8567233224314353E-2</v>
      </c>
    </row>
    <row r="25" spans="1:7" ht="19.5">
      <c r="A25" s="320" t="s">
        <v>97</v>
      </c>
      <c r="B25" s="341"/>
      <c r="C25" s="343"/>
      <c r="D25" s="341"/>
      <c r="E25" s="345"/>
      <c r="F25" s="342"/>
      <c r="G25" s="345"/>
    </row>
    <row r="26" spans="1:7" ht="19.5">
      <c r="A26" s="323">
        <v>87149320103</v>
      </c>
      <c r="B26" s="346"/>
      <c r="C26" s="349"/>
      <c r="D26" s="350"/>
      <c r="E26" s="351"/>
      <c r="F26" s="352"/>
      <c r="G26" s="351"/>
    </row>
    <row r="27" spans="1:7" ht="19.5">
      <c r="A27" s="320" t="s">
        <v>404</v>
      </c>
      <c r="B27" s="341">
        <f>零件!F28</f>
        <v>4099</v>
      </c>
      <c r="C27" s="342">
        <v>4477</v>
      </c>
      <c r="D27" s="500">
        <f>(B27-C27)/C27</f>
        <v>-8.4431538976993528E-2</v>
      </c>
      <c r="E27" s="341">
        <f>零件!G28</f>
        <v>132297</v>
      </c>
      <c r="F27" s="342">
        <v>135599</v>
      </c>
      <c r="G27" s="500">
        <f>(E27-F27)/F27</f>
        <v>-2.4351212029587239E-2</v>
      </c>
    </row>
    <row r="28" spans="1:7" ht="19.5">
      <c r="A28" s="323">
        <v>87149410006</v>
      </c>
      <c r="B28" s="346"/>
      <c r="C28" s="349"/>
      <c r="D28" s="350"/>
      <c r="E28" s="351"/>
      <c r="F28" s="352"/>
      <c r="G28" s="351"/>
    </row>
    <row r="29" spans="1:7" ht="19.5">
      <c r="A29" s="320" t="s">
        <v>74</v>
      </c>
      <c r="B29" s="341">
        <f>零件!F30</f>
        <v>14656</v>
      </c>
      <c r="C29" s="342">
        <v>14553</v>
      </c>
      <c r="D29" s="500">
        <f>(B29-C29)/C29</f>
        <v>7.0775785061499346E-3</v>
      </c>
      <c r="E29" s="341">
        <f>零件!G30</f>
        <v>414341</v>
      </c>
      <c r="F29" s="342">
        <v>227269</v>
      </c>
      <c r="G29" s="499">
        <f>(E29-F29)/F29</f>
        <v>0.82313029933690918</v>
      </c>
    </row>
    <row r="30" spans="1:7" ht="19.5">
      <c r="A30" s="320" t="s">
        <v>75</v>
      </c>
      <c r="B30" s="341"/>
      <c r="C30" s="343"/>
      <c r="D30" s="341"/>
      <c r="E30" s="345"/>
      <c r="F30" s="342"/>
      <c r="G30" s="345"/>
    </row>
    <row r="31" spans="1:7" ht="19.5">
      <c r="A31" s="323">
        <v>87149490009</v>
      </c>
      <c r="B31" s="346"/>
      <c r="C31" s="349"/>
      <c r="D31" s="350"/>
      <c r="E31" s="351"/>
      <c r="F31" s="352"/>
      <c r="G31" s="351"/>
    </row>
    <row r="32" spans="1:7" ht="19.5">
      <c r="A32" s="320" t="s">
        <v>76</v>
      </c>
      <c r="B32" s="341">
        <f>零件!F33</f>
        <v>738462</v>
      </c>
      <c r="C32" s="342">
        <v>685991</v>
      </c>
      <c r="D32" s="499">
        <f>(B32-C32)/C32</f>
        <v>7.6489341696902732E-2</v>
      </c>
      <c r="E32" s="341">
        <f>零件!G33</f>
        <v>31361786</v>
      </c>
      <c r="F32" s="342">
        <v>27478819</v>
      </c>
      <c r="G32" s="500">
        <f>(E32-F32)/F32</f>
        <v>0.14130763771179541</v>
      </c>
    </row>
    <row r="33" spans="1:7" ht="19.5">
      <c r="A33" s="320" t="s">
        <v>77</v>
      </c>
      <c r="B33" s="341"/>
      <c r="C33" s="343"/>
      <c r="D33" s="341"/>
      <c r="E33" s="345"/>
      <c r="F33" s="342"/>
      <c r="G33" s="345"/>
    </row>
    <row r="34" spans="1:7" ht="19.5">
      <c r="A34" s="323">
        <v>87149500007</v>
      </c>
      <c r="B34" s="350"/>
      <c r="C34" s="349"/>
      <c r="D34" s="350"/>
      <c r="E34" s="351"/>
      <c r="F34" s="352"/>
      <c r="G34" s="351"/>
    </row>
    <row r="35" spans="1:7" ht="19.5">
      <c r="A35" s="320" t="s">
        <v>78</v>
      </c>
      <c r="B35" s="341">
        <f>零件!F36</f>
        <v>277813</v>
      </c>
      <c r="C35" s="342">
        <v>246731</v>
      </c>
      <c r="D35" s="500">
        <f>(B35-C35)/C35</f>
        <v>0.12597525240038746</v>
      </c>
      <c r="E35" s="341">
        <f>零件!G36</f>
        <v>5740039</v>
      </c>
      <c r="F35" s="342">
        <v>5228540</v>
      </c>
      <c r="G35" s="500">
        <f>(E35-F35)/F35</f>
        <v>9.7828265634383599E-2</v>
      </c>
    </row>
    <row r="36" spans="1:7" ht="19.5">
      <c r="A36" s="323">
        <v>87149610004</v>
      </c>
      <c r="B36" s="350"/>
      <c r="C36" s="349"/>
      <c r="D36" s="350"/>
      <c r="E36" s="351"/>
      <c r="F36" s="352"/>
      <c r="G36" s="351"/>
    </row>
    <row r="37" spans="1:7" ht="19.5">
      <c r="A37" s="320" t="s">
        <v>79</v>
      </c>
      <c r="B37" s="341">
        <f>零件!F38</f>
        <v>289804</v>
      </c>
      <c r="C37" s="342">
        <v>243354</v>
      </c>
      <c r="D37" s="500">
        <f>(B37-C37)/C37</f>
        <v>0.19087419972550276</v>
      </c>
      <c r="E37" s="341">
        <f>零件!G38</f>
        <v>7677992</v>
      </c>
      <c r="F37" s="342">
        <v>5895916</v>
      </c>
      <c r="G37" s="500">
        <f>(E37-F37)/F37</f>
        <v>0.30225600229039901</v>
      </c>
    </row>
    <row r="38" spans="1:7" ht="19.5">
      <c r="A38" s="323">
        <v>87149620002</v>
      </c>
      <c r="B38" s="346"/>
      <c r="C38" s="349"/>
      <c r="D38" s="350"/>
      <c r="E38" s="351"/>
      <c r="F38" s="352"/>
      <c r="G38" s="351"/>
    </row>
    <row r="39" spans="1:7" ht="19.5">
      <c r="A39" s="320" t="s">
        <v>80</v>
      </c>
      <c r="B39" s="341">
        <f>零件!F40</f>
        <v>314021</v>
      </c>
      <c r="C39" s="342">
        <v>266066</v>
      </c>
      <c r="D39" s="499">
        <f>(B39-C39)/C39</f>
        <v>0.18023723437041936</v>
      </c>
      <c r="E39" s="341">
        <f>零件!G40</f>
        <v>16514013</v>
      </c>
      <c r="F39" s="342">
        <v>12270371</v>
      </c>
      <c r="G39" s="499">
        <f>(E39-F39)/F39</f>
        <v>0.34584463664546083</v>
      </c>
    </row>
    <row r="40" spans="1:7" ht="19.5">
      <c r="A40" s="320" t="s">
        <v>75</v>
      </c>
      <c r="B40" s="341"/>
      <c r="C40" s="345"/>
      <c r="D40" s="341"/>
      <c r="E40" s="345"/>
      <c r="F40" s="342"/>
      <c r="G40" s="345"/>
    </row>
    <row r="41" spans="1:7" ht="19.5">
      <c r="A41" s="323">
        <v>73151100209</v>
      </c>
      <c r="B41" s="346"/>
      <c r="C41" s="350"/>
      <c r="D41" s="350"/>
      <c r="E41" s="351"/>
      <c r="F41" s="351"/>
      <c r="G41" s="351"/>
    </row>
    <row r="42" spans="1:7" ht="19.5">
      <c r="A42" s="320" t="s">
        <v>81</v>
      </c>
      <c r="B42" s="341">
        <f>零件!F43</f>
        <v>225746</v>
      </c>
      <c r="C42" s="342">
        <v>194217</v>
      </c>
      <c r="D42" s="500">
        <f>(B42-C42)/C42</f>
        <v>0.16233903314333967</v>
      </c>
      <c r="E42" s="341">
        <f>零件!G43</f>
        <v>4026213</v>
      </c>
      <c r="F42" s="342">
        <v>4049136</v>
      </c>
      <c r="G42" s="500">
        <f>(E42-F42)/F42</f>
        <v>-5.6612077243145204E-3</v>
      </c>
    </row>
    <row r="43" spans="1:7" ht="19.5">
      <c r="A43" s="320" t="s">
        <v>82</v>
      </c>
      <c r="B43" s="341"/>
      <c r="C43" s="343"/>
      <c r="D43" s="341"/>
      <c r="E43" s="345"/>
      <c r="F43" s="342"/>
      <c r="G43" s="345"/>
    </row>
    <row r="44" spans="1:7" ht="19.5">
      <c r="A44" s="323">
        <v>87149990111</v>
      </c>
      <c r="B44" s="346"/>
      <c r="C44" s="349"/>
      <c r="D44" s="350"/>
      <c r="E44" s="351"/>
      <c r="F44" s="352"/>
      <c r="G44" s="351"/>
    </row>
    <row r="45" spans="1:7" ht="19.5">
      <c r="A45" s="324" t="s">
        <v>83</v>
      </c>
      <c r="B45" s="341">
        <f>零件!F46</f>
        <v>123000</v>
      </c>
      <c r="C45" s="342">
        <v>140346</v>
      </c>
      <c r="D45" s="499">
        <f>(B45-C45)/C45</f>
        <v>-0.12359454491043564</v>
      </c>
      <c r="E45" s="341">
        <f>零件!G46</f>
        <v>14819695</v>
      </c>
      <c r="F45" s="342">
        <v>11329128</v>
      </c>
      <c r="G45" s="499">
        <f>(E45-F45)/F45</f>
        <v>0.30810553115826744</v>
      </c>
    </row>
    <row r="46" spans="1:7" ht="19.5">
      <c r="A46" s="320" t="s">
        <v>84</v>
      </c>
      <c r="B46" s="341"/>
      <c r="C46" s="343"/>
      <c r="D46" s="341"/>
      <c r="E46" s="345"/>
      <c r="F46" s="342"/>
      <c r="G46" s="345"/>
    </row>
    <row r="47" spans="1:7" ht="19.5">
      <c r="A47" s="323">
        <v>87149320906</v>
      </c>
      <c r="B47" s="346"/>
      <c r="C47" s="349"/>
      <c r="D47" s="350"/>
      <c r="E47" s="351"/>
      <c r="F47" s="352"/>
      <c r="G47" s="351"/>
    </row>
    <row r="48" spans="1:7" ht="19.5">
      <c r="A48" s="320" t="s">
        <v>407</v>
      </c>
      <c r="B48" s="341">
        <f>零件!F49</f>
        <v>319169</v>
      </c>
      <c r="C48" s="342">
        <v>254513</v>
      </c>
      <c r="D48" s="500">
        <f>(B48-C48)/C48</f>
        <v>0.25403810414399264</v>
      </c>
      <c r="E48" s="341">
        <f>零件!G49</f>
        <v>13091715</v>
      </c>
      <c r="F48" s="342">
        <v>8012021</v>
      </c>
      <c r="G48" s="500">
        <f>(E48-F48)/F48</f>
        <v>0.63400907211800872</v>
      </c>
    </row>
    <row r="49" spans="1:7" ht="19.5">
      <c r="A49" s="323">
        <v>87149990139</v>
      </c>
      <c r="B49" s="346"/>
      <c r="C49" s="349"/>
      <c r="D49" s="350"/>
      <c r="E49" s="351"/>
      <c r="F49" s="352"/>
      <c r="G49" s="351"/>
    </row>
    <row r="50" spans="1:7" ht="19.5">
      <c r="A50" s="320" t="s">
        <v>85</v>
      </c>
      <c r="B50" s="341">
        <f>零件!F51</f>
        <v>16359</v>
      </c>
      <c r="C50" s="342">
        <v>15442</v>
      </c>
      <c r="D50" s="500">
        <f>(B50-C50)/C50</f>
        <v>5.9383499546690845E-2</v>
      </c>
      <c r="E50" s="341">
        <f>零件!G51</f>
        <v>444126</v>
      </c>
      <c r="F50" s="342">
        <v>312867</v>
      </c>
      <c r="G50" s="500">
        <f>(E50-F50)/F50</f>
        <v>0.41953609680790876</v>
      </c>
    </row>
    <row r="51" spans="1:7" ht="19.5">
      <c r="A51" s="323">
        <v>87149990148</v>
      </c>
      <c r="B51" s="346"/>
      <c r="C51" s="349"/>
      <c r="D51" s="350"/>
      <c r="E51" s="351"/>
      <c r="F51" s="352"/>
      <c r="G51" s="351"/>
    </row>
    <row r="52" spans="1:7" ht="19.5">
      <c r="A52" s="325" t="s">
        <v>86</v>
      </c>
      <c r="B52" s="341">
        <f>零件!F53</f>
        <v>142618</v>
      </c>
      <c r="C52" s="342">
        <v>96101</v>
      </c>
      <c r="D52" s="500">
        <f>(B52-C52)/C52</f>
        <v>0.48404282993933467</v>
      </c>
      <c r="E52" s="341">
        <f>零件!G53</f>
        <v>4624537</v>
      </c>
      <c r="F52" s="342">
        <v>3347422</v>
      </c>
      <c r="G52" s="500">
        <f>(E52-F52)/F52</f>
        <v>0.3815219592868781</v>
      </c>
    </row>
    <row r="53" spans="1:7" ht="19.5">
      <c r="A53" s="320" t="s">
        <v>87</v>
      </c>
      <c r="B53" s="341"/>
      <c r="C53" s="343"/>
      <c r="D53" s="341"/>
      <c r="E53" s="345"/>
      <c r="F53" s="342"/>
      <c r="G53" s="345"/>
    </row>
    <row r="54" spans="1:7" ht="19.5">
      <c r="A54" s="323">
        <v>87149990157</v>
      </c>
      <c r="B54" s="346"/>
      <c r="C54" s="349"/>
      <c r="D54" s="350"/>
      <c r="E54" s="351"/>
      <c r="F54" s="352"/>
      <c r="G54" s="351"/>
    </row>
    <row r="55" spans="1:7" ht="19.5">
      <c r="A55" s="320" t="s">
        <v>88</v>
      </c>
      <c r="B55" s="341">
        <f>零件!F56</f>
        <v>260642</v>
      </c>
      <c r="C55" s="342">
        <v>176588</v>
      </c>
      <c r="D55" s="500">
        <f>(B55-C55)/C55</f>
        <v>0.47598930844678006</v>
      </c>
      <c r="E55" s="341">
        <f>零件!G56</f>
        <v>9577064</v>
      </c>
      <c r="F55" s="342">
        <v>7944572</v>
      </c>
      <c r="G55" s="500">
        <f>(E55-F55)/F55</f>
        <v>0.20548520423755992</v>
      </c>
    </row>
    <row r="56" spans="1:7" ht="19.5">
      <c r="A56" s="320" t="s">
        <v>89</v>
      </c>
      <c r="B56" s="341"/>
      <c r="C56" s="343"/>
      <c r="D56" s="341"/>
      <c r="E56" s="345"/>
      <c r="F56" s="342"/>
      <c r="G56" s="345"/>
    </row>
    <row r="57" spans="1:7" ht="19.5">
      <c r="A57" s="323">
        <v>87149990166</v>
      </c>
      <c r="B57" s="346"/>
      <c r="C57" s="349"/>
      <c r="D57" s="350"/>
      <c r="E57" s="351"/>
      <c r="F57" s="352"/>
      <c r="G57" s="351"/>
    </row>
    <row r="58" spans="1:7" ht="19.5">
      <c r="A58" s="320" t="s">
        <v>86</v>
      </c>
      <c r="B58" s="341">
        <f>零件!F59</f>
        <v>210467</v>
      </c>
      <c r="C58" s="342">
        <v>183797</v>
      </c>
      <c r="D58" s="500">
        <f>(B58-C58)/C58</f>
        <v>0.14510574166063647</v>
      </c>
      <c r="E58" s="341">
        <f>零件!G59</f>
        <v>8378874</v>
      </c>
      <c r="F58" s="342">
        <v>6209659</v>
      </c>
      <c r="G58" s="500">
        <f>(E58-F58)/F58</f>
        <v>0.3493291660620978</v>
      </c>
    </row>
    <row r="59" spans="1:7" ht="19.5">
      <c r="A59" s="323">
        <v>40115000008</v>
      </c>
      <c r="B59" s="350"/>
      <c r="C59" s="350"/>
      <c r="D59" s="350"/>
      <c r="E59" s="351"/>
      <c r="F59" s="351"/>
      <c r="G59" s="351"/>
    </row>
    <row r="60" spans="1:7" ht="19.5">
      <c r="A60" s="320" t="s">
        <v>90</v>
      </c>
      <c r="B60" s="341">
        <f>零件!F61</f>
        <v>687861</v>
      </c>
      <c r="C60" s="342">
        <v>548474</v>
      </c>
      <c r="D60" s="500">
        <f>(B60-C60)/C60</f>
        <v>0.25413602103290217</v>
      </c>
      <c r="E60" s="341">
        <f>零件!G61</f>
        <v>10790108</v>
      </c>
      <c r="F60" s="342">
        <v>8157739</v>
      </c>
      <c r="G60" s="500">
        <f>(E60-F60)/F60</f>
        <v>0.32268365045755937</v>
      </c>
    </row>
    <row r="61" spans="1:7" ht="19.5">
      <c r="A61" s="320" t="s">
        <v>91</v>
      </c>
      <c r="B61" s="341"/>
      <c r="C61" s="341"/>
      <c r="D61" s="344"/>
      <c r="E61" s="345"/>
      <c r="F61" s="342"/>
      <c r="G61" s="345"/>
    </row>
    <row r="62" spans="1:7" ht="19.5">
      <c r="A62" s="323">
        <v>40132000003</v>
      </c>
      <c r="B62" s="350"/>
      <c r="C62" s="350"/>
      <c r="D62" s="350"/>
      <c r="E62" s="351"/>
      <c r="F62" s="351"/>
      <c r="G62" s="351"/>
    </row>
    <row r="63" spans="1:7" ht="19.5">
      <c r="A63" s="320" t="s">
        <v>92</v>
      </c>
      <c r="B63" s="341">
        <f>零件!F64</f>
        <v>64930</v>
      </c>
      <c r="C63" s="342">
        <v>104058</v>
      </c>
      <c r="D63" s="500">
        <f>(B63-C63)/C63</f>
        <v>-0.37602106517519074</v>
      </c>
      <c r="E63" s="341">
        <f>零件!G64</f>
        <v>678215</v>
      </c>
      <c r="F63" s="342">
        <v>1014506</v>
      </c>
      <c r="G63" s="500">
        <f>(E63-F63)/F63</f>
        <v>-0.33148251464259454</v>
      </c>
    </row>
    <row r="64" spans="1:7" ht="19.5">
      <c r="A64" s="320" t="s">
        <v>93</v>
      </c>
      <c r="B64" s="341"/>
      <c r="C64" s="343"/>
      <c r="D64" s="344"/>
      <c r="E64" s="345"/>
      <c r="F64" s="342"/>
      <c r="G64" s="345"/>
    </row>
    <row r="65" spans="1:7" ht="19.5">
      <c r="A65" s="354" t="s">
        <v>94</v>
      </c>
      <c r="B65" s="355">
        <f>SUM(B6:B64)-B64-B61-B20-B17-B11-B8</f>
        <v>5557662</v>
      </c>
      <c r="C65" s="355">
        <v>4926004</v>
      </c>
      <c r="D65" s="498">
        <f>(B65-C65)/C65</f>
        <v>0.12822929092221605</v>
      </c>
      <c r="E65" s="443">
        <f>SUM(E7:E64)</f>
        <v>237100606</v>
      </c>
      <c r="F65" s="443">
        <v>208888866</v>
      </c>
      <c r="G65" s="501">
        <f>(E65-F65)/F65</f>
        <v>0.13505621692637271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3" customWidth="1"/>
    <col min="3" max="3" width="17.25" style="356" customWidth="1"/>
    <col min="4" max="4" width="15.75" style="357" customWidth="1"/>
    <col min="5" max="5" width="16.75" style="313" customWidth="1"/>
    <col min="6" max="6" width="16.875" style="356" customWidth="1"/>
    <col min="7" max="7" width="14.875" style="357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0" customFormat="1" ht="25.5">
      <c r="A1" s="329" t="s">
        <v>519</v>
      </c>
      <c r="B1" s="330"/>
      <c r="C1" s="331"/>
      <c r="D1" s="332"/>
      <c r="E1" s="330"/>
      <c r="F1" s="331"/>
      <c r="G1" s="332"/>
    </row>
    <row r="2" spans="1:7" s="310" customFormat="1" ht="19.5">
      <c r="B2" s="311"/>
      <c r="C2" s="333"/>
      <c r="D2" s="334"/>
      <c r="E2" s="311"/>
      <c r="F2" s="333"/>
      <c r="G2" s="334"/>
    </row>
    <row r="3" spans="1:7" s="310" customFormat="1" ht="19.5">
      <c r="A3" s="312"/>
      <c r="B3" s="311"/>
      <c r="C3" s="333"/>
      <c r="D3" s="334"/>
      <c r="E3" s="311"/>
      <c r="F3" s="333"/>
      <c r="G3" s="334"/>
    </row>
    <row r="4" spans="1:7">
      <c r="A4" s="509" t="s">
        <v>95</v>
      </c>
      <c r="B4" s="511" t="s">
        <v>464</v>
      </c>
      <c r="C4" s="71" t="s">
        <v>464</v>
      </c>
      <c r="D4" s="513" t="s">
        <v>465</v>
      </c>
      <c r="E4" s="512" t="s">
        <v>464</v>
      </c>
      <c r="F4" s="510" t="s">
        <v>464</v>
      </c>
      <c r="G4" s="200" t="s">
        <v>465</v>
      </c>
    </row>
    <row r="5" spans="1:7" s="310" customFormat="1" ht="18" customHeight="1">
      <c r="A5" s="46"/>
      <c r="B5" s="77" t="s">
        <v>96</v>
      </c>
      <c r="C5" s="76" t="s">
        <v>482</v>
      </c>
      <c r="D5" s="201" t="s">
        <v>1</v>
      </c>
      <c r="E5" s="77" t="s">
        <v>33</v>
      </c>
      <c r="F5" s="76" t="s">
        <v>33</v>
      </c>
      <c r="G5" s="201" t="s">
        <v>1</v>
      </c>
    </row>
    <row r="6" spans="1:7" ht="19.5">
      <c r="A6" s="336">
        <v>85121010001</v>
      </c>
      <c r="B6" s="337"/>
      <c r="C6" s="338"/>
      <c r="D6" s="339"/>
      <c r="E6" s="337"/>
      <c r="F6" s="338"/>
      <c r="G6" s="340"/>
    </row>
    <row r="7" spans="1:7" ht="19.5">
      <c r="A7" s="320" t="s">
        <v>62</v>
      </c>
      <c r="B7" s="341">
        <f>零件!L7</f>
        <v>10065</v>
      </c>
      <c r="C7" s="342">
        <v>7639</v>
      </c>
      <c r="D7" s="499">
        <f>(B7-C7)/C7</f>
        <v>0.3175808351878518</v>
      </c>
      <c r="E7" s="341">
        <f>零件!M7</f>
        <v>514072</v>
      </c>
      <c r="F7" s="342">
        <v>400348</v>
      </c>
      <c r="G7" s="499">
        <f>(E7-F7)/F7</f>
        <v>0.28406286530718278</v>
      </c>
    </row>
    <row r="8" spans="1:7" ht="19.5">
      <c r="A8" s="320" t="s">
        <v>63</v>
      </c>
      <c r="B8" s="341"/>
      <c r="C8" s="345"/>
      <c r="D8" s="344"/>
      <c r="E8" s="345"/>
      <c r="F8" s="342"/>
      <c r="G8" s="345"/>
    </row>
    <row r="9" spans="1:7" ht="19.5">
      <c r="A9" s="322">
        <v>85121020009</v>
      </c>
      <c r="B9" s="346"/>
      <c r="C9" s="347"/>
      <c r="D9" s="347"/>
      <c r="E9" s="346"/>
      <c r="F9" s="346"/>
      <c r="G9" s="346"/>
    </row>
    <row r="10" spans="1:7" ht="19.5">
      <c r="A10" s="320" t="s">
        <v>65</v>
      </c>
      <c r="B10" s="341">
        <f>零件!L10</f>
        <v>2825</v>
      </c>
      <c r="C10" s="342">
        <v>3026</v>
      </c>
      <c r="D10" s="499">
        <f>(B10-C10)/C10</f>
        <v>-6.6424322538003969E-2</v>
      </c>
      <c r="E10" s="341">
        <f>零件!M10</f>
        <v>289768</v>
      </c>
      <c r="F10" s="342">
        <v>261207</v>
      </c>
      <c r="G10" s="500">
        <f>(E10-F10)/F10</f>
        <v>0.10934239894030405</v>
      </c>
    </row>
    <row r="11" spans="1:7" ht="19.5">
      <c r="A11" s="320" t="s">
        <v>66</v>
      </c>
      <c r="B11" s="341"/>
      <c r="C11" s="345"/>
      <c r="D11" s="348"/>
      <c r="E11" s="345"/>
      <c r="F11" s="342"/>
      <c r="G11" s="345"/>
    </row>
    <row r="12" spans="1:7" ht="19.5">
      <c r="A12" s="323">
        <v>87149120007</v>
      </c>
      <c r="B12" s="346"/>
      <c r="C12" s="347"/>
      <c r="D12" s="350"/>
      <c r="E12" s="351"/>
      <c r="F12" s="346"/>
      <c r="G12" s="351"/>
    </row>
    <row r="13" spans="1:7" ht="19.5">
      <c r="A13" s="320" t="s">
        <v>68</v>
      </c>
      <c r="B13" s="341">
        <f>零件!L13</f>
        <v>676542</v>
      </c>
      <c r="C13" s="342">
        <v>569045</v>
      </c>
      <c r="D13" s="499">
        <f>(B13-C13)/C13</f>
        <v>0.18890773137449587</v>
      </c>
      <c r="E13" s="341">
        <f>零件!M13</f>
        <v>40397049</v>
      </c>
      <c r="F13" s="342">
        <v>39823711</v>
      </c>
      <c r="G13" s="499">
        <f>(E13-F13)/F13</f>
        <v>1.4396900379274047E-2</v>
      </c>
    </row>
    <row r="14" spans="1:7" ht="19.5">
      <c r="A14" s="320" t="s">
        <v>69</v>
      </c>
      <c r="B14" s="348"/>
      <c r="C14" s="472"/>
      <c r="D14" s="341"/>
      <c r="E14" s="345"/>
      <c r="F14" s="342"/>
      <c r="G14" s="345"/>
    </row>
    <row r="15" spans="1:7" ht="19.5">
      <c r="A15" s="323">
        <v>87149200108</v>
      </c>
      <c r="B15" s="346"/>
      <c r="C15" s="349"/>
      <c r="D15" s="350"/>
      <c r="E15" s="351"/>
      <c r="F15" s="352"/>
      <c r="G15" s="351"/>
    </row>
    <row r="16" spans="1:7" ht="19.5">
      <c r="A16" s="320" t="s">
        <v>70</v>
      </c>
      <c r="B16" s="341">
        <f>零件!L16</f>
        <v>117148</v>
      </c>
      <c r="C16" s="342">
        <v>87889</v>
      </c>
      <c r="D16" s="499">
        <f>(B16-C16)/C16</f>
        <v>0.33290855510928558</v>
      </c>
      <c r="E16" s="341">
        <f>零件!M16</f>
        <v>10759141</v>
      </c>
      <c r="F16" s="342">
        <v>9328912</v>
      </c>
      <c r="G16" s="499">
        <f>(E16-F16)/F16</f>
        <v>0.15331144725129789</v>
      </c>
    </row>
    <row r="17" spans="1:7" ht="19.5">
      <c r="A17" s="320"/>
      <c r="B17" s="341"/>
      <c r="C17" s="343"/>
      <c r="D17" s="341"/>
      <c r="E17" s="345"/>
      <c r="F17" s="342"/>
      <c r="G17" s="345"/>
    </row>
    <row r="18" spans="1:7" ht="19.5">
      <c r="A18" s="323">
        <v>87149200206</v>
      </c>
      <c r="B18" s="346"/>
      <c r="C18" s="349"/>
      <c r="D18" s="350"/>
      <c r="E18" s="351"/>
      <c r="F18" s="352"/>
      <c r="G18" s="351"/>
    </row>
    <row r="19" spans="1:7" ht="19.5">
      <c r="A19" s="320" t="s">
        <v>55</v>
      </c>
      <c r="B19" s="341">
        <f>零件!L19</f>
        <v>29746</v>
      </c>
      <c r="C19" s="342">
        <v>18884</v>
      </c>
      <c r="D19" s="499">
        <f>(B19-C19)/C19</f>
        <v>0.57519593306502859</v>
      </c>
      <c r="E19" s="341">
        <f>零件!M19</f>
        <v>1863355</v>
      </c>
      <c r="F19" s="342">
        <v>2122082</v>
      </c>
      <c r="G19" s="500">
        <f>(E19-F19)/F19</f>
        <v>-0.1219213018158582</v>
      </c>
    </row>
    <row r="20" spans="1:7" ht="19.5">
      <c r="A20" s="320"/>
      <c r="B20" s="341"/>
      <c r="C20" s="343"/>
      <c r="D20" s="341"/>
      <c r="E20" s="345"/>
      <c r="F20" s="342"/>
      <c r="G20" s="345"/>
    </row>
    <row r="21" spans="1:7" ht="19.5">
      <c r="A21" s="323">
        <v>87149200304</v>
      </c>
      <c r="B21" s="346"/>
      <c r="C21" s="349"/>
      <c r="D21" s="350"/>
      <c r="E21" s="351"/>
      <c r="F21" s="352"/>
      <c r="G21" s="351"/>
    </row>
    <row r="22" spans="1:7" ht="19.5">
      <c r="A22" s="320" t="s">
        <v>56</v>
      </c>
      <c r="B22" s="341">
        <f>零件!L22</f>
        <v>19982</v>
      </c>
      <c r="C22" s="342">
        <v>11533</v>
      </c>
      <c r="D22" s="500">
        <f>(B22-C22)/C22</f>
        <v>0.73259342755570966</v>
      </c>
      <c r="E22" s="341">
        <f>零件!M22</f>
        <v>1318977</v>
      </c>
      <c r="F22" s="342">
        <v>1534406</v>
      </c>
      <c r="G22" s="499">
        <f>(E22-F22)/F22</f>
        <v>-0.14039895568708674</v>
      </c>
    </row>
    <row r="23" spans="1:7" ht="19.5">
      <c r="A23" s="323">
        <v>87149310007</v>
      </c>
      <c r="B23" s="346"/>
      <c r="C23" s="349"/>
      <c r="D23" s="350"/>
      <c r="E23" s="351"/>
      <c r="F23" s="352"/>
      <c r="G23" s="351"/>
    </row>
    <row r="24" spans="1:7" ht="19.5">
      <c r="A24" s="320" t="s">
        <v>71</v>
      </c>
      <c r="B24" s="341">
        <f>零件!L24</f>
        <v>91116</v>
      </c>
      <c r="C24" s="342">
        <v>87288</v>
      </c>
      <c r="D24" s="500">
        <f>(B24-C24)/C24</f>
        <v>4.3854825405554028E-2</v>
      </c>
      <c r="E24" s="341">
        <f>零件!M24</f>
        <v>4063017</v>
      </c>
      <c r="F24" s="342">
        <v>3987890</v>
      </c>
      <c r="G24" s="500">
        <f>(E24-F24)/F24</f>
        <v>1.8838784419831039E-2</v>
      </c>
    </row>
    <row r="25" spans="1:7" ht="19.5">
      <c r="A25" s="320" t="s">
        <v>97</v>
      </c>
      <c r="B25" s="341"/>
      <c r="C25" s="343"/>
      <c r="D25" s="341"/>
      <c r="E25" s="345"/>
      <c r="F25" s="342"/>
      <c r="G25" s="345"/>
    </row>
    <row r="26" spans="1:7" ht="19.5">
      <c r="A26" s="323">
        <v>87149320103</v>
      </c>
      <c r="B26" s="346"/>
      <c r="C26" s="349"/>
      <c r="D26" s="350"/>
      <c r="E26" s="351"/>
      <c r="F26" s="352"/>
      <c r="G26" s="351"/>
    </row>
    <row r="27" spans="1:7" ht="19.5">
      <c r="A27" s="320" t="s">
        <v>404</v>
      </c>
      <c r="B27" s="341">
        <f>零件!L28</f>
        <v>698</v>
      </c>
      <c r="C27" s="342">
        <v>206</v>
      </c>
      <c r="D27" s="500">
        <f>(B27-C27)/C27</f>
        <v>2.3883495145631066</v>
      </c>
      <c r="E27" s="341">
        <f>零件!M28</f>
        <v>37058</v>
      </c>
      <c r="F27" s="342">
        <v>7692</v>
      </c>
      <c r="G27" s="500">
        <f>(E27-F27)/F27</f>
        <v>3.8177327093083724</v>
      </c>
    </row>
    <row r="28" spans="1:7" ht="19.5">
      <c r="A28" s="323">
        <v>87149410006</v>
      </c>
      <c r="B28" s="346"/>
      <c r="C28" s="349"/>
      <c r="D28" s="350"/>
      <c r="E28" s="351"/>
      <c r="F28" s="352"/>
      <c r="G28" s="351"/>
    </row>
    <row r="29" spans="1:7" ht="19.5">
      <c r="A29" s="320" t="s">
        <v>74</v>
      </c>
      <c r="B29" s="341">
        <f>零件!L30</f>
        <v>7402</v>
      </c>
      <c r="C29" s="342">
        <v>3197</v>
      </c>
      <c r="D29" s="499">
        <f>(B29-C29)/C29</f>
        <v>1.3152955896152643</v>
      </c>
      <c r="E29" s="341">
        <f>零件!M30</f>
        <v>578980</v>
      </c>
      <c r="F29" s="342">
        <v>324352</v>
      </c>
      <c r="G29" s="499">
        <f>(E29-F29)/F29</f>
        <v>0.78503601026045777</v>
      </c>
    </row>
    <row r="30" spans="1:7" ht="19.5">
      <c r="A30" s="320" t="s">
        <v>75</v>
      </c>
      <c r="B30" s="341"/>
      <c r="C30" s="343"/>
      <c r="D30" s="341"/>
      <c r="E30" s="345"/>
      <c r="F30" s="342"/>
      <c r="G30" s="345"/>
    </row>
    <row r="31" spans="1:7" ht="19.5">
      <c r="A31" s="323">
        <v>87149490009</v>
      </c>
      <c r="B31" s="346"/>
      <c r="C31" s="349"/>
      <c r="D31" s="350"/>
      <c r="E31" s="351"/>
      <c r="F31" s="352"/>
      <c r="G31" s="351"/>
    </row>
    <row r="32" spans="1:7" ht="19.5">
      <c r="A32" s="320" t="s">
        <v>76</v>
      </c>
      <c r="B32" s="341">
        <f>零件!L33</f>
        <v>363623</v>
      </c>
      <c r="C32" s="342">
        <v>219834</v>
      </c>
      <c r="D32" s="499">
        <f>(B32-C32)/C32</f>
        <v>0.65407989664928989</v>
      </c>
      <c r="E32" s="341">
        <f>零件!M33</f>
        <v>11164731</v>
      </c>
      <c r="F32" s="342">
        <v>12443558</v>
      </c>
      <c r="G32" s="499">
        <f>(E32-F32)/F32</f>
        <v>-0.10277020447045773</v>
      </c>
    </row>
    <row r="33" spans="1:7" ht="19.5">
      <c r="A33" s="320" t="s">
        <v>77</v>
      </c>
      <c r="B33" s="341"/>
      <c r="C33" s="343"/>
      <c r="D33" s="341"/>
      <c r="E33" s="345"/>
      <c r="F33" s="342"/>
      <c r="G33" s="345"/>
    </row>
    <row r="34" spans="1:7" ht="19.5">
      <c r="A34" s="323">
        <v>87149500007</v>
      </c>
      <c r="B34" s="350"/>
      <c r="C34" s="349"/>
      <c r="D34" s="350"/>
      <c r="E34" s="351"/>
      <c r="F34" s="352"/>
      <c r="G34" s="351"/>
    </row>
    <row r="35" spans="1:7" ht="19.5">
      <c r="A35" s="320" t="s">
        <v>78</v>
      </c>
      <c r="B35" s="341">
        <f>零件!L36</f>
        <v>106713</v>
      </c>
      <c r="C35" s="342">
        <v>90761</v>
      </c>
      <c r="D35" s="499">
        <f>(B35-C35)/C35</f>
        <v>0.17575831028745828</v>
      </c>
      <c r="E35" s="341">
        <f>零件!M36</f>
        <v>1944285</v>
      </c>
      <c r="F35" s="342">
        <v>1318425</v>
      </c>
      <c r="G35" s="499">
        <f>(E35-F35)/F35</f>
        <v>0.47470277035098696</v>
      </c>
    </row>
    <row r="36" spans="1:7" ht="19.5">
      <c r="A36" s="323">
        <v>87149610004</v>
      </c>
      <c r="B36" s="350"/>
      <c r="C36" s="349"/>
      <c r="D36" s="350"/>
      <c r="E36" s="351"/>
      <c r="F36" s="352"/>
      <c r="G36" s="351"/>
    </row>
    <row r="37" spans="1:7" ht="19.5">
      <c r="A37" s="320" t="s">
        <v>79</v>
      </c>
      <c r="B37" s="341">
        <f>零件!L38</f>
        <v>56111</v>
      </c>
      <c r="C37" s="342">
        <v>14611</v>
      </c>
      <c r="D37" s="500">
        <f>(B37-C37)/C37</f>
        <v>2.84032578194511</v>
      </c>
      <c r="E37" s="341">
        <f>零件!M38</f>
        <v>437610</v>
      </c>
      <c r="F37" s="342">
        <v>375783</v>
      </c>
      <c r="G37" s="500">
        <f>(E37-F37)/F37</f>
        <v>0.16452846456598622</v>
      </c>
    </row>
    <row r="38" spans="1:7" ht="19.5">
      <c r="A38" s="323">
        <v>87149620002</v>
      </c>
      <c r="B38" s="346"/>
      <c r="C38" s="349"/>
      <c r="D38" s="350"/>
      <c r="E38" s="351"/>
      <c r="F38" s="352"/>
      <c r="G38" s="351"/>
    </row>
    <row r="39" spans="1:7" ht="19.5">
      <c r="A39" s="320" t="s">
        <v>80</v>
      </c>
      <c r="B39" s="341">
        <f>零件!L40</f>
        <v>184702</v>
      </c>
      <c r="C39" s="342">
        <v>186781</v>
      </c>
      <c r="D39" s="500">
        <f>(B39-C39)/C39</f>
        <v>-1.113068245699509E-2</v>
      </c>
      <c r="E39" s="341">
        <f>零件!M40</f>
        <v>4247628</v>
      </c>
      <c r="F39" s="342">
        <v>4775602</v>
      </c>
      <c r="G39" s="500">
        <f>(E39-F39)/F39</f>
        <v>-0.11055653297741311</v>
      </c>
    </row>
    <row r="40" spans="1:7" ht="19.5">
      <c r="A40" s="320" t="s">
        <v>75</v>
      </c>
      <c r="B40" s="341"/>
      <c r="C40" s="341"/>
      <c r="D40" s="341"/>
      <c r="E40" s="345"/>
      <c r="F40" s="342"/>
      <c r="G40" s="345"/>
    </row>
    <row r="41" spans="1:7" ht="19.5">
      <c r="A41" s="323">
        <v>73151100209</v>
      </c>
      <c r="B41" s="346"/>
      <c r="C41" s="346"/>
      <c r="D41" s="350"/>
      <c r="E41" s="351"/>
      <c r="F41" s="351"/>
      <c r="G41" s="351"/>
    </row>
    <row r="42" spans="1:7" ht="19.5">
      <c r="A42" s="320" t="s">
        <v>81</v>
      </c>
      <c r="B42" s="341">
        <f>零件!L43</f>
        <v>160308</v>
      </c>
      <c r="C42" s="342">
        <v>178480</v>
      </c>
      <c r="D42" s="500">
        <f>(B42-C42)/C42</f>
        <v>-0.10181532944867772</v>
      </c>
      <c r="E42" s="341">
        <f>零件!M43</f>
        <v>1751994</v>
      </c>
      <c r="F42" s="342">
        <v>2023931</v>
      </c>
      <c r="G42" s="500">
        <f>(E42-F42)/F42</f>
        <v>-0.13436080577845785</v>
      </c>
    </row>
    <row r="43" spans="1:7" ht="19.5">
      <c r="A43" s="320" t="s">
        <v>82</v>
      </c>
      <c r="B43" s="341"/>
      <c r="C43" s="343"/>
      <c r="D43" s="341"/>
      <c r="E43" s="345"/>
      <c r="F43" s="342"/>
      <c r="G43" s="345"/>
    </row>
    <row r="44" spans="1:7" ht="19.5">
      <c r="A44" s="323">
        <v>87149990111</v>
      </c>
      <c r="B44" s="346"/>
      <c r="C44" s="349"/>
      <c r="D44" s="350"/>
      <c r="E44" s="351"/>
      <c r="F44" s="352"/>
      <c r="G44" s="351"/>
    </row>
    <row r="45" spans="1:7" ht="19.5">
      <c r="A45" s="324" t="s">
        <v>83</v>
      </c>
      <c r="B45" s="341">
        <f>零件!L46</f>
        <v>77060</v>
      </c>
      <c r="C45" s="342">
        <v>38589</v>
      </c>
      <c r="D45" s="499">
        <f>(B45-C45)/C45</f>
        <v>0.99694213376869056</v>
      </c>
      <c r="E45" s="341">
        <f>零件!M46</f>
        <v>5168320</v>
      </c>
      <c r="F45" s="342">
        <v>3629157</v>
      </c>
      <c r="G45" s="499">
        <f>(E45-F45)/F45</f>
        <v>0.42411033746955562</v>
      </c>
    </row>
    <row r="46" spans="1:7" ht="19.5">
      <c r="A46" s="320" t="s">
        <v>84</v>
      </c>
      <c r="B46" s="341"/>
      <c r="C46" s="343"/>
      <c r="D46" s="341"/>
      <c r="E46" s="345"/>
      <c r="F46" s="342"/>
      <c r="G46" s="345"/>
    </row>
    <row r="47" spans="1:7" ht="19.5">
      <c r="A47" s="323">
        <v>87149320906</v>
      </c>
      <c r="B47" s="346"/>
      <c r="C47" s="349"/>
      <c r="D47" s="350"/>
      <c r="E47" s="351"/>
      <c r="F47" s="352"/>
      <c r="G47" s="351"/>
    </row>
    <row r="48" spans="1:7" ht="19.5">
      <c r="A48" s="320" t="s">
        <v>406</v>
      </c>
      <c r="B48" s="341">
        <f>零件!L49</f>
        <v>47305</v>
      </c>
      <c r="C48" s="342">
        <v>48318</v>
      </c>
      <c r="D48" s="499">
        <f>(B48-C48)/C48</f>
        <v>-2.0965271741380024E-2</v>
      </c>
      <c r="E48" s="341">
        <f>零件!M49</f>
        <v>2011026</v>
      </c>
      <c r="F48" s="342">
        <v>1990760</v>
      </c>
      <c r="G48" s="499">
        <f>(E48-F48)/F48</f>
        <v>1.0180031746669614E-2</v>
      </c>
    </row>
    <row r="49" spans="1:7" ht="19.5">
      <c r="A49" s="323">
        <v>87149990139</v>
      </c>
      <c r="B49" s="346"/>
      <c r="C49" s="349"/>
      <c r="D49" s="350"/>
      <c r="E49" s="351"/>
      <c r="F49" s="352"/>
      <c r="G49" s="351"/>
    </row>
    <row r="50" spans="1:7" ht="19.5">
      <c r="A50" s="320" t="s">
        <v>85</v>
      </c>
      <c r="B50" s="341">
        <f>零件!L51</f>
        <v>14975</v>
      </c>
      <c r="C50" s="342">
        <v>2839</v>
      </c>
      <c r="D50" s="500">
        <f>(B50-C50)/C50</f>
        <v>4.2747446283902786</v>
      </c>
      <c r="E50" s="341">
        <f>零件!M51</f>
        <v>193355</v>
      </c>
      <c r="F50" s="342">
        <v>76112</v>
      </c>
      <c r="G50" s="500">
        <f>(E50-F50)/F50</f>
        <v>1.5404009880176581</v>
      </c>
    </row>
    <row r="51" spans="1:7" ht="19.5">
      <c r="A51" s="323">
        <v>87149990148</v>
      </c>
      <c r="B51" s="346"/>
      <c r="C51" s="349"/>
      <c r="D51" s="350"/>
      <c r="E51" s="351"/>
      <c r="F51" s="352"/>
      <c r="G51" s="351"/>
    </row>
    <row r="52" spans="1:7" ht="19.5">
      <c r="A52" s="325" t="s">
        <v>86</v>
      </c>
      <c r="B52" s="341">
        <f>零件!L53</f>
        <v>19680</v>
      </c>
      <c r="C52" s="342">
        <v>22622</v>
      </c>
      <c r="D52" s="499">
        <f>(B52-C52)/C52</f>
        <v>-0.13005039342233224</v>
      </c>
      <c r="E52" s="341">
        <f>零件!M53</f>
        <v>454916</v>
      </c>
      <c r="F52" s="342">
        <v>820274</v>
      </c>
      <c r="G52" s="499">
        <f>(E52-F52)/F52</f>
        <v>-0.44540970456213413</v>
      </c>
    </row>
    <row r="53" spans="1:7" ht="19.5">
      <c r="A53" s="320" t="s">
        <v>87</v>
      </c>
      <c r="B53" s="341"/>
      <c r="C53" s="343"/>
      <c r="D53" s="341"/>
      <c r="E53" s="345"/>
      <c r="F53" s="342"/>
      <c r="G53" s="345"/>
    </row>
    <row r="54" spans="1:7" ht="19.5">
      <c r="A54" s="323">
        <v>87149990157</v>
      </c>
      <c r="B54" s="346"/>
      <c r="C54" s="349"/>
      <c r="D54" s="350"/>
      <c r="E54" s="351"/>
      <c r="F54" s="352"/>
      <c r="G54" s="351"/>
    </row>
    <row r="55" spans="1:7" ht="19.5">
      <c r="A55" s="320" t="s">
        <v>88</v>
      </c>
      <c r="B55" s="341">
        <f>零件!L56</f>
        <v>65309</v>
      </c>
      <c r="C55" s="342">
        <v>44645</v>
      </c>
      <c r="D55" s="500">
        <f>(B55-C55)/C55</f>
        <v>0.46285138313360957</v>
      </c>
      <c r="E55" s="341">
        <f>零件!M56</f>
        <v>2068609</v>
      </c>
      <c r="F55" s="342">
        <v>1611769</v>
      </c>
      <c r="G55" s="500">
        <f>(E55-F55)/F55</f>
        <v>0.28344012076172204</v>
      </c>
    </row>
    <row r="56" spans="1:7" ht="19.5">
      <c r="A56" s="320" t="s">
        <v>89</v>
      </c>
      <c r="B56" s="341"/>
      <c r="C56" s="343"/>
      <c r="D56" s="341"/>
      <c r="E56" s="345"/>
      <c r="F56" s="342"/>
      <c r="G56" s="345"/>
    </row>
    <row r="57" spans="1:7" ht="19.5">
      <c r="A57" s="323">
        <v>87149990166</v>
      </c>
      <c r="B57" s="346"/>
      <c r="C57" s="349"/>
      <c r="D57" s="350"/>
      <c r="E57" s="351"/>
      <c r="F57" s="352"/>
      <c r="G57" s="351"/>
    </row>
    <row r="58" spans="1:7" ht="19.5">
      <c r="A58" s="320" t="s">
        <v>86</v>
      </c>
      <c r="B58" s="341">
        <f>零件!L59</f>
        <v>60574</v>
      </c>
      <c r="C58" s="342">
        <v>47576</v>
      </c>
      <c r="D58" s="499">
        <f>(B58-C58)/C58</f>
        <v>0.27320497729947874</v>
      </c>
      <c r="E58" s="341">
        <f>零件!M59</f>
        <v>4664194</v>
      </c>
      <c r="F58" s="342">
        <v>3003838</v>
      </c>
      <c r="G58" s="499">
        <f>(E58-F58)/F58</f>
        <v>0.55274485508206506</v>
      </c>
    </row>
    <row r="59" spans="1:7" ht="19.5">
      <c r="A59" s="323">
        <v>40115000008</v>
      </c>
      <c r="B59" s="350"/>
      <c r="C59" s="350"/>
      <c r="D59" s="353"/>
      <c r="E59" s="351"/>
      <c r="F59" s="351"/>
      <c r="G59" s="351"/>
    </row>
    <row r="60" spans="1:7" ht="19.5">
      <c r="A60" s="320" t="s">
        <v>90</v>
      </c>
      <c r="B60" s="341">
        <f>零件!L61</f>
        <v>273080</v>
      </c>
      <c r="C60" s="342">
        <v>253008</v>
      </c>
      <c r="D60" s="540">
        <f>(B60-C60)/C60</f>
        <v>7.9333459811547463E-2</v>
      </c>
      <c r="E60" s="341">
        <f>零件!M61</f>
        <v>3003512</v>
      </c>
      <c r="F60" s="342">
        <v>2604774</v>
      </c>
      <c r="G60" s="499">
        <f>(E60-F60)/F60</f>
        <v>0.15307969136669822</v>
      </c>
    </row>
    <row r="61" spans="1:7" ht="19.5">
      <c r="A61" s="320" t="s">
        <v>91</v>
      </c>
      <c r="B61" s="341"/>
      <c r="C61" s="342"/>
      <c r="D61" s="344"/>
      <c r="E61" s="345"/>
      <c r="F61" s="342"/>
      <c r="G61" s="502"/>
    </row>
    <row r="62" spans="1:7" ht="19.5">
      <c r="A62" s="323">
        <v>40132000003</v>
      </c>
      <c r="B62" s="350"/>
      <c r="C62" s="350"/>
      <c r="D62" s="350"/>
      <c r="E62" s="351"/>
      <c r="F62" s="351"/>
      <c r="G62" s="351"/>
    </row>
    <row r="63" spans="1:7" ht="19.5">
      <c r="A63" s="320" t="s">
        <v>92</v>
      </c>
      <c r="B63" s="341">
        <f>零件!L64</f>
        <v>84694</v>
      </c>
      <c r="C63" s="342">
        <v>48463</v>
      </c>
      <c r="D63" s="541">
        <f>(B63-C63)/C63</f>
        <v>0.74760126281905781</v>
      </c>
      <c r="E63" s="341">
        <f>零件!M64</f>
        <v>609917</v>
      </c>
      <c r="F63" s="342">
        <v>368779</v>
      </c>
      <c r="G63" s="499">
        <f>(E63-F63)/F63</f>
        <v>0.65388213537104878</v>
      </c>
    </row>
    <row r="64" spans="1:7" ht="19.5">
      <c r="A64" s="320" t="s">
        <v>93</v>
      </c>
      <c r="B64" s="341"/>
      <c r="C64" s="472"/>
      <c r="D64" s="344"/>
      <c r="E64" s="542"/>
      <c r="F64" s="342"/>
      <c r="G64" s="345"/>
    </row>
    <row r="65" spans="1:7" ht="19.5">
      <c r="A65" s="354" t="s">
        <v>94</v>
      </c>
      <c r="B65" s="355">
        <f>SUM(B6:B64)-B64-B61-B20-B17-B11-B8</f>
        <v>2469658</v>
      </c>
      <c r="C65" s="355">
        <v>1985234</v>
      </c>
      <c r="D65" s="543">
        <f>(B65-C65)/C65</f>
        <v>0.24401355205482075</v>
      </c>
      <c r="E65" s="544">
        <f>SUM(E7:E64)</f>
        <v>97541514</v>
      </c>
      <c r="F65" s="544">
        <v>92833362</v>
      </c>
      <c r="G65" s="498">
        <f>(E65-F65)/F65</f>
        <v>5.0716163872207926E-2</v>
      </c>
    </row>
    <row r="66" spans="1:7">
      <c r="E66" s="5"/>
      <c r="G66" s="313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13" customWidth="1"/>
    <col min="2" max="2" width="10" style="13"/>
    <col min="3" max="3" width="17.75" style="313" customWidth="1"/>
    <col min="4" max="4" width="12.875" style="13" bestFit="1" customWidth="1"/>
    <col min="5" max="5" width="17.875" style="313" customWidth="1"/>
    <col min="6" max="6" width="2.125" style="13" customWidth="1"/>
    <col min="7" max="7" width="11.25" style="13" customWidth="1"/>
    <col min="8" max="8" width="16.5" style="313" customWidth="1"/>
    <col min="9" max="9" width="12.875" style="13" bestFit="1" customWidth="1"/>
    <col min="10" max="10" width="17.875" style="313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58" t="s">
        <v>520</v>
      </c>
      <c r="C1" s="359"/>
      <c r="D1" s="360"/>
      <c r="E1" s="359"/>
      <c r="F1" s="360"/>
      <c r="G1" s="360"/>
      <c r="H1" s="359"/>
      <c r="I1" s="360"/>
      <c r="J1" s="359"/>
    </row>
    <row r="2" spans="1:10">
      <c r="B2" s="360"/>
      <c r="C2" s="359"/>
      <c r="D2" s="360"/>
      <c r="E2" s="359"/>
      <c r="F2" s="360"/>
      <c r="G2" s="360"/>
      <c r="H2" s="359"/>
      <c r="I2" s="360"/>
      <c r="J2" s="359"/>
    </row>
    <row r="3" spans="1:10">
      <c r="B3" s="530" t="s">
        <v>458</v>
      </c>
      <c r="G3" s="473" t="s">
        <v>419</v>
      </c>
    </row>
    <row r="4" spans="1:10">
      <c r="B4" s="30" t="s">
        <v>98</v>
      </c>
      <c r="C4" s="361" t="s">
        <v>99</v>
      </c>
      <c r="D4" s="30" t="s">
        <v>100</v>
      </c>
      <c r="E4" s="361" t="s">
        <v>101</v>
      </c>
      <c r="F4" s="362"/>
      <c r="G4" s="30" t="s">
        <v>98</v>
      </c>
      <c r="H4" s="361" t="s">
        <v>99</v>
      </c>
      <c r="I4" s="30" t="s">
        <v>100</v>
      </c>
      <c r="J4" s="361" t="s">
        <v>101</v>
      </c>
    </row>
    <row r="5" spans="1:10">
      <c r="A5" s="13">
        <v>1</v>
      </c>
      <c r="B5" s="363" t="s">
        <v>446</v>
      </c>
      <c r="C5" s="364">
        <v>762751</v>
      </c>
      <c r="D5" s="366" t="s">
        <v>163</v>
      </c>
      <c r="E5" s="365">
        <v>192284</v>
      </c>
      <c r="G5" s="363" t="s">
        <v>244</v>
      </c>
      <c r="H5" s="365">
        <v>246215</v>
      </c>
      <c r="I5" s="366" t="s">
        <v>163</v>
      </c>
      <c r="J5" s="365">
        <v>82402</v>
      </c>
    </row>
    <row r="6" spans="1:10">
      <c r="A6" s="13">
        <v>2</v>
      </c>
      <c r="B6" s="363" t="s">
        <v>447</v>
      </c>
      <c r="C6" s="364">
        <v>95122</v>
      </c>
      <c r="D6" s="366" t="s">
        <v>444</v>
      </c>
      <c r="E6" s="365">
        <v>17865</v>
      </c>
      <c r="G6" s="363" t="s">
        <v>446</v>
      </c>
      <c r="H6" s="365">
        <v>115205</v>
      </c>
      <c r="I6" s="366" t="s">
        <v>159</v>
      </c>
      <c r="J6" s="365">
        <v>42572</v>
      </c>
    </row>
    <row r="7" spans="1:10">
      <c r="A7" s="13">
        <v>3</v>
      </c>
      <c r="B7" s="363" t="s">
        <v>245</v>
      </c>
      <c r="C7" s="364">
        <v>91416</v>
      </c>
      <c r="D7" s="366" t="s">
        <v>164</v>
      </c>
      <c r="E7" s="365">
        <v>1615</v>
      </c>
      <c r="G7" s="363" t="s">
        <v>448</v>
      </c>
      <c r="H7" s="365">
        <v>63573</v>
      </c>
      <c r="I7" s="366" t="s">
        <v>164</v>
      </c>
      <c r="J7" s="365">
        <v>9598</v>
      </c>
    </row>
    <row r="8" spans="1:10">
      <c r="A8" s="13">
        <v>4</v>
      </c>
      <c r="B8" s="363" t="s">
        <v>11</v>
      </c>
      <c r="C8" s="364">
        <v>64175</v>
      </c>
      <c r="D8" s="366"/>
      <c r="E8" s="365"/>
      <c r="G8" s="363" t="s">
        <v>447</v>
      </c>
      <c r="H8" s="365">
        <v>41336</v>
      </c>
      <c r="I8" s="366"/>
      <c r="J8" s="365"/>
    </row>
    <row r="9" spans="1:10">
      <c r="A9" s="13">
        <v>5</v>
      </c>
      <c r="B9" s="363" t="s">
        <v>244</v>
      </c>
      <c r="C9" s="364">
        <v>60817</v>
      </c>
      <c r="D9" s="366"/>
      <c r="E9" s="365"/>
      <c r="G9" s="363" t="s">
        <v>10</v>
      </c>
      <c r="H9" s="365">
        <v>28635</v>
      </c>
      <c r="I9" s="363"/>
      <c r="J9" s="365"/>
    </row>
    <row r="10" spans="1:10">
      <c r="A10" s="13">
        <v>6</v>
      </c>
      <c r="B10" s="363" t="s">
        <v>243</v>
      </c>
      <c r="C10" s="364">
        <v>34462</v>
      </c>
      <c r="D10" s="529"/>
      <c r="E10" s="365"/>
      <c r="G10" s="363" t="s">
        <v>23</v>
      </c>
      <c r="H10" s="365">
        <v>12037</v>
      </c>
      <c r="I10" s="363"/>
      <c r="J10" s="365"/>
    </row>
    <row r="11" spans="1:10">
      <c r="A11" s="13">
        <v>7</v>
      </c>
      <c r="B11" s="363" t="s">
        <v>449</v>
      </c>
      <c r="C11" s="364">
        <v>28350</v>
      </c>
      <c r="D11" s="363"/>
      <c r="E11" s="365"/>
      <c r="G11" s="363" t="s">
        <v>243</v>
      </c>
      <c r="H11" s="365">
        <v>12005</v>
      </c>
      <c r="I11" s="363"/>
      <c r="J11" s="365"/>
    </row>
    <row r="12" spans="1:10">
      <c r="A12" s="13">
        <v>8</v>
      </c>
      <c r="B12" s="363" t="s">
        <v>286</v>
      </c>
      <c r="C12" s="364">
        <v>21096</v>
      </c>
      <c r="D12" s="363"/>
      <c r="E12" s="365"/>
      <c r="G12" s="363" t="s">
        <v>11</v>
      </c>
      <c r="H12" s="365">
        <v>10991</v>
      </c>
      <c r="I12" s="363"/>
      <c r="J12" s="365"/>
    </row>
    <row r="13" spans="1:10">
      <c r="A13" s="13">
        <v>9</v>
      </c>
      <c r="B13" s="363" t="s">
        <v>10</v>
      </c>
      <c r="C13" s="364">
        <v>17358</v>
      </c>
      <c r="D13" s="363"/>
      <c r="E13" s="365"/>
      <c r="G13" s="363" t="s">
        <v>457</v>
      </c>
      <c r="H13" s="365">
        <v>7254</v>
      </c>
      <c r="I13" s="363"/>
      <c r="J13" s="365"/>
    </row>
    <row r="14" spans="1:10">
      <c r="A14" s="13">
        <v>10</v>
      </c>
      <c r="B14" s="363" t="s">
        <v>247</v>
      </c>
      <c r="C14" s="364">
        <v>15299</v>
      </c>
      <c r="D14" s="363"/>
      <c r="E14" s="365"/>
      <c r="G14" s="363" t="s">
        <v>450</v>
      </c>
      <c r="H14" s="365">
        <v>2344</v>
      </c>
      <c r="I14" s="363"/>
      <c r="J14" s="365"/>
    </row>
    <row r="15" spans="1:10">
      <c r="B15" s="363" t="s">
        <v>102</v>
      </c>
      <c r="C15" s="365">
        <f>C16-SUM(C5:C14)</f>
        <v>47195</v>
      </c>
      <c r="D15" s="363" t="s">
        <v>102</v>
      </c>
      <c r="E15" s="365">
        <f>E16-SUM(E5:E14)</f>
        <v>0</v>
      </c>
      <c r="G15" s="474" t="s">
        <v>420</v>
      </c>
      <c r="H15" s="365">
        <f>H16-SUM(H5:H14)</f>
        <v>5417</v>
      </c>
      <c r="I15" s="363" t="s">
        <v>102</v>
      </c>
      <c r="J15" s="365">
        <f>J16-SUM(J5:J14)</f>
        <v>0</v>
      </c>
    </row>
    <row r="16" spans="1:10">
      <c r="B16" s="363" t="s">
        <v>103</v>
      </c>
      <c r="C16" s="365">
        <v>1238041</v>
      </c>
      <c r="D16" s="363" t="s">
        <v>103</v>
      </c>
      <c r="E16" s="365">
        <v>211764</v>
      </c>
      <c r="G16" s="363" t="s">
        <v>103</v>
      </c>
      <c r="H16" s="365">
        <v>545012</v>
      </c>
      <c r="I16" s="363" t="s">
        <v>103</v>
      </c>
      <c r="J16" s="365">
        <v>134572</v>
      </c>
    </row>
    <row r="18" spans="1:10">
      <c r="B18" s="473" t="s">
        <v>421</v>
      </c>
      <c r="G18" s="55" t="s">
        <v>468</v>
      </c>
    </row>
    <row r="19" spans="1:10">
      <c r="B19" s="30" t="s">
        <v>98</v>
      </c>
      <c r="C19" s="361" t="s">
        <v>99</v>
      </c>
      <c r="D19" s="30" t="s">
        <v>100</v>
      </c>
      <c r="E19" s="361" t="s">
        <v>101</v>
      </c>
      <c r="G19" s="30" t="s">
        <v>98</v>
      </c>
      <c r="H19" s="361" t="s">
        <v>99</v>
      </c>
      <c r="I19" s="30" t="s">
        <v>100</v>
      </c>
      <c r="J19" s="361" t="s">
        <v>101</v>
      </c>
    </row>
    <row r="20" spans="1:10">
      <c r="A20" s="13">
        <v>1</v>
      </c>
      <c r="B20" s="475" t="s">
        <v>244</v>
      </c>
      <c r="C20" s="365">
        <v>8038104</v>
      </c>
      <c r="D20" s="363" t="s">
        <v>237</v>
      </c>
      <c r="E20" s="365">
        <v>13286191</v>
      </c>
      <c r="G20" s="363" t="s">
        <v>254</v>
      </c>
      <c r="H20" s="365">
        <v>644535</v>
      </c>
      <c r="I20" s="363" t="s">
        <v>237</v>
      </c>
      <c r="J20" s="365">
        <v>5283329</v>
      </c>
    </row>
    <row r="21" spans="1:10">
      <c r="A21" s="13">
        <v>2</v>
      </c>
      <c r="B21" s="475" t="s">
        <v>243</v>
      </c>
      <c r="C21" s="365">
        <v>3500223</v>
      </c>
      <c r="D21" s="363" t="s">
        <v>450</v>
      </c>
      <c r="E21" s="365">
        <v>3461643</v>
      </c>
      <c r="G21" s="363" t="s">
        <v>243</v>
      </c>
      <c r="H21" s="365">
        <v>529522</v>
      </c>
      <c r="I21" s="363" t="s">
        <v>254</v>
      </c>
      <c r="J21" s="365">
        <v>122901</v>
      </c>
    </row>
    <row r="22" spans="1:10">
      <c r="A22" s="13">
        <v>3</v>
      </c>
      <c r="B22" s="475" t="s">
        <v>446</v>
      </c>
      <c r="C22" s="365">
        <v>3183970</v>
      </c>
      <c r="D22" s="363" t="s">
        <v>445</v>
      </c>
      <c r="E22" s="365">
        <v>667817</v>
      </c>
      <c r="G22" s="363" t="s">
        <v>446</v>
      </c>
      <c r="H22" s="365">
        <v>414128</v>
      </c>
      <c r="I22" s="363" t="s">
        <v>450</v>
      </c>
      <c r="J22" s="365">
        <v>50840</v>
      </c>
    </row>
    <row r="23" spans="1:10">
      <c r="A23" s="13">
        <v>4</v>
      </c>
      <c r="B23" s="475" t="s">
        <v>237</v>
      </c>
      <c r="C23" s="365">
        <v>2265031</v>
      </c>
      <c r="D23" s="363" t="s">
        <v>453</v>
      </c>
      <c r="E23" s="365">
        <v>318182</v>
      </c>
      <c r="G23" s="363" t="s">
        <v>244</v>
      </c>
      <c r="H23" s="365">
        <v>382579</v>
      </c>
      <c r="I23" s="363" t="s">
        <v>446</v>
      </c>
      <c r="J23" s="365">
        <v>15110</v>
      </c>
    </row>
    <row r="24" spans="1:10">
      <c r="A24" s="13">
        <v>5</v>
      </c>
      <c r="B24" s="475" t="s">
        <v>10</v>
      </c>
      <c r="C24" s="365">
        <v>1992335</v>
      </c>
      <c r="D24" s="363" t="s">
        <v>449</v>
      </c>
      <c r="E24" s="365">
        <v>244188</v>
      </c>
      <c r="G24" s="363" t="s">
        <v>237</v>
      </c>
      <c r="H24" s="365">
        <v>164778</v>
      </c>
      <c r="I24" s="363" t="s">
        <v>451</v>
      </c>
      <c r="J24" s="365">
        <v>6461</v>
      </c>
    </row>
    <row r="25" spans="1:10">
      <c r="A25" s="13">
        <v>6</v>
      </c>
      <c r="B25" s="475" t="s">
        <v>9</v>
      </c>
      <c r="C25" s="365">
        <v>1728223</v>
      </c>
      <c r="D25" s="363" t="s">
        <v>10</v>
      </c>
      <c r="E25" s="365">
        <v>212955</v>
      </c>
      <c r="G25" s="363" t="s">
        <v>454</v>
      </c>
      <c r="H25" s="365">
        <v>126766</v>
      </c>
      <c r="I25" s="363" t="s">
        <v>453</v>
      </c>
      <c r="J25" s="365">
        <v>5860</v>
      </c>
    </row>
    <row r="26" spans="1:10">
      <c r="A26" s="13">
        <v>7</v>
      </c>
      <c r="B26" s="475" t="s">
        <v>15</v>
      </c>
      <c r="C26" s="365">
        <v>1356573</v>
      </c>
      <c r="D26" s="363" t="s">
        <v>451</v>
      </c>
      <c r="E26" s="365">
        <v>138993</v>
      </c>
      <c r="G26" s="363" t="s">
        <v>449</v>
      </c>
      <c r="H26" s="365">
        <v>117041</v>
      </c>
      <c r="I26" s="363" t="s">
        <v>382</v>
      </c>
      <c r="J26" s="365">
        <v>1076</v>
      </c>
    </row>
    <row r="27" spans="1:10">
      <c r="A27" s="13">
        <v>8</v>
      </c>
      <c r="B27" s="475" t="s">
        <v>454</v>
      </c>
      <c r="C27" s="365">
        <v>1001234</v>
      </c>
      <c r="D27" s="363" t="s">
        <v>6</v>
      </c>
      <c r="E27" s="365">
        <v>21539</v>
      </c>
      <c r="G27" s="363" t="s">
        <v>9</v>
      </c>
      <c r="H27" s="365">
        <v>84765</v>
      </c>
      <c r="I27" s="363"/>
      <c r="J27" s="365"/>
    </row>
    <row r="28" spans="1:10">
      <c r="A28" s="13">
        <v>9</v>
      </c>
      <c r="B28" s="475" t="s">
        <v>12</v>
      </c>
      <c r="C28" s="365">
        <v>900633</v>
      </c>
      <c r="D28" s="363" t="s">
        <v>245</v>
      </c>
      <c r="E28" s="365">
        <v>15204</v>
      </c>
      <c r="G28" s="363" t="s">
        <v>10</v>
      </c>
      <c r="H28" s="365">
        <v>74027</v>
      </c>
      <c r="I28" s="363"/>
      <c r="J28" s="365"/>
    </row>
    <row r="29" spans="1:10">
      <c r="A29" s="13">
        <v>10</v>
      </c>
      <c r="B29" s="475" t="s">
        <v>447</v>
      </c>
      <c r="C29" s="365">
        <v>873741</v>
      </c>
      <c r="D29" s="363" t="s">
        <v>11</v>
      </c>
      <c r="E29" s="365">
        <v>10770</v>
      </c>
      <c r="G29" s="363" t="s">
        <v>450</v>
      </c>
      <c r="H29" s="365">
        <v>51123</v>
      </c>
      <c r="I29" s="366"/>
      <c r="J29" s="365"/>
    </row>
    <row r="30" spans="1:10">
      <c r="B30" s="363" t="s">
        <v>102</v>
      </c>
      <c r="C30" s="365">
        <f>C31-SUM(C20:C29)</f>
        <v>8414941</v>
      </c>
      <c r="D30" s="363" t="s">
        <v>422</v>
      </c>
      <c r="E30" s="365">
        <f>E31-SUM(E20:E29)</f>
        <v>30406</v>
      </c>
      <c r="G30" s="363" t="s">
        <v>420</v>
      </c>
      <c r="H30" s="365">
        <f>H31-SUM(H20:H29)</f>
        <v>428661</v>
      </c>
      <c r="I30" s="363" t="s">
        <v>102</v>
      </c>
      <c r="J30" s="365">
        <f>J31-SUM(J20:J29)</f>
        <v>0</v>
      </c>
    </row>
    <row r="31" spans="1:10">
      <c r="B31" s="363" t="s">
        <v>103</v>
      </c>
      <c r="C31" s="365">
        <v>33255008</v>
      </c>
      <c r="D31" s="363" t="s">
        <v>103</v>
      </c>
      <c r="E31" s="365">
        <v>18407888</v>
      </c>
      <c r="G31" s="363" t="s">
        <v>103</v>
      </c>
      <c r="H31" s="365">
        <v>3017925</v>
      </c>
      <c r="I31" s="363" t="s">
        <v>103</v>
      </c>
      <c r="J31" s="365">
        <v>5485577</v>
      </c>
    </row>
    <row r="32" spans="1:10">
      <c r="B32" s="368"/>
      <c r="D32" s="368"/>
      <c r="G32" s="368"/>
      <c r="I32" s="368"/>
    </row>
    <row r="33" spans="1:10">
      <c r="B33" s="55" t="s">
        <v>423</v>
      </c>
      <c r="D33" s="368"/>
      <c r="G33" s="55" t="s">
        <v>469</v>
      </c>
      <c r="I33" s="368"/>
    </row>
    <row r="34" spans="1:10">
      <c r="B34" s="363" t="s">
        <v>98</v>
      </c>
      <c r="C34" s="365" t="s">
        <v>99</v>
      </c>
      <c r="D34" s="363" t="s">
        <v>100</v>
      </c>
      <c r="E34" s="361" t="s">
        <v>101</v>
      </c>
      <c r="G34" s="363" t="s">
        <v>98</v>
      </c>
      <c r="H34" s="365" t="s">
        <v>99</v>
      </c>
      <c r="I34" s="363" t="s">
        <v>100</v>
      </c>
      <c r="J34" s="361" t="s">
        <v>101</v>
      </c>
    </row>
    <row r="35" spans="1:10">
      <c r="A35" s="13">
        <v>1</v>
      </c>
      <c r="B35" s="363" t="s">
        <v>244</v>
      </c>
      <c r="C35" s="365">
        <v>391164</v>
      </c>
      <c r="D35" s="366" t="s">
        <v>163</v>
      </c>
      <c r="E35" s="365">
        <v>305098</v>
      </c>
      <c r="G35" s="363" t="s">
        <v>244</v>
      </c>
      <c r="H35" s="365">
        <v>2263764</v>
      </c>
      <c r="I35" s="363" t="s">
        <v>237</v>
      </c>
      <c r="J35" s="365">
        <v>292240</v>
      </c>
    </row>
    <row r="36" spans="1:10">
      <c r="A36" s="13">
        <v>2</v>
      </c>
      <c r="B36" s="363" t="s">
        <v>449</v>
      </c>
      <c r="C36" s="365">
        <v>235033</v>
      </c>
      <c r="D36" s="363" t="s">
        <v>178</v>
      </c>
      <c r="E36" s="365">
        <v>217927</v>
      </c>
      <c r="G36" s="363" t="s">
        <v>243</v>
      </c>
      <c r="H36" s="365">
        <v>1629269</v>
      </c>
      <c r="I36" s="363" t="s">
        <v>244</v>
      </c>
      <c r="J36" s="365">
        <v>66709</v>
      </c>
    </row>
    <row r="37" spans="1:10">
      <c r="A37" s="13">
        <v>3</v>
      </c>
      <c r="B37" s="363" t="s">
        <v>295</v>
      </c>
      <c r="C37" s="365">
        <v>103991</v>
      </c>
      <c r="D37" s="366" t="s">
        <v>183</v>
      </c>
      <c r="E37" s="365">
        <v>184289</v>
      </c>
      <c r="G37" s="363" t="s">
        <v>446</v>
      </c>
      <c r="H37" s="365">
        <v>1411342</v>
      </c>
      <c r="I37" s="363" t="s">
        <v>448</v>
      </c>
      <c r="J37" s="365">
        <v>34717</v>
      </c>
    </row>
    <row r="38" spans="1:10">
      <c r="A38" s="13">
        <v>4</v>
      </c>
      <c r="B38" s="363" t="s">
        <v>237</v>
      </c>
      <c r="C38" s="365">
        <v>98763</v>
      </c>
      <c r="D38" s="363" t="s">
        <v>157</v>
      </c>
      <c r="E38" s="365">
        <v>1109</v>
      </c>
      <c r="G38" s="363" t="s">
        <v>449</v>
      </c>
      <c r="H38" s="365">
        <v>1110549</v>
      </c>
      <c r="I38" s="363" t="s">
        <v>10</v>
      </c>
      <c r="J38" s="365">
        <v>10517</v>
      </c>
    </row>
    <row r="39" spans="1:10">
      <c r="A39" s="13">
        <v>5</v>
      </c>
      <c r="B39" s="363" t="s">
        <v>267</v>
      </c>
      <c r="C39" s="365">
        <v>50650</v>
      </c>
      <c r="D39" s="363"/>
      <c r="E39" s="365"/>
      <c r="G39" s="363" t="s">
        <v>447</v>
      </c>
      <c r="H39" s="365">
        <v>353403</v>
      </c>
      <c r="I39" s="363" t="s">
        <v>446</v>
      </c>
      <c r="J39" s="365">
        <v>5892</v>
      </c>
    </row>
    <row r="40" spans="1:10">
      <c r="A40" s="13">
        <v>6</v>
      </c>
      <c r="B40" s="363" t="s">
        <v>446</v>
      </c>
      <c r="C40" s="365">
        <v>32911</v>
      </c>
      <c r="D40" s="363"/>
      <c r="E40" s="365"/>
      <c r="G40" s="363" t="s">
        <v>10</v>
      </c>
      <c r="H40" s="365">
        <v>327715</v>
      </c>
      <c r="I40" s="363" t="s">
        <v>9</v>
      </c>
      <c r="J40" s="365">
        <v>2281</v>
      </c>
    </row>
    <row r="41" spans="1:10">
      <c r="A41" s="13">
        <v>7</v>
      </c>
      <c r="B41" s="363" t="s">
        <v>261</v>
      </c>
      <c r="C41" s="365">
        <v>23788</v>
      </c>
      <c r="D41" s="363"/>
      <c r="E41" s="365"/>
      <c r="G41" s="363" t="s">
        <v>6</v>
      </c>
      <c r="H41" s="365">
        <v>285651</v>
      </c>
      <c r="I41" s="363" t="s">
        <v>445</v>
      </c>
      <c r="J41" s="365">
        <v>443</v>
      </c>
    </row>
    <row r="42" spans="1:10">
      <c r="A42" s="13">
        <v>8</v>
      </c>
      <c r="B42" s="363" t="s">
        <v>6</v>
      </c>
      <c r="C42" s="365">
        <v>19956</v>
      </c>
      <c r="D42" s="363"/>
      <c r="E42" s="365"/>
      <c r="G42" s="363" t="s">
        <v>237</v>
      </c>
      <c r="H42" s="365">
        <v>257206</v>
      </c>
      <c r="I42" s="363"/>
      <c r="J42" s="365"/>
    </row>
    <row r="43" spans="1:10">
      <c r="A43" s="13">
        <v>9</v>
      </c>
      <c r="B43" s="363" t="s">
        <v>450</v>
      </c>
      <c r="C43" s="365">
        <v>12956</v>
      </c>
      <c r="D43" s="363"/>
      <c r="E43" s="365"/>
      <c r="G43" s="363" t="s">
        <v>382</v>
      </c>
      <c r="H43" s="365">
        <v>204911</v>
      </c>
      <c r="I43" s="366"/>
      <c r="J43" s="365"/>
    </row>
    <row r="44" spans="1:10">
      <c r="A44" s="13">
        <v>10</v>
      </c>
      <c r="B44" s="363" t="s">
        <v>243</v>
      </c>
      <c r="C44" s="365">
        <v>12607</v>
      </c>
      <c r="D44" s="363"/>
      <c r="E44" s="365"/>
      <c r="G44" s="363" t="s">
        <v>254</v>
      </c>
      <c r="H44" s="365">
        <v>125372</v>
      </c>
      <c r="I44" s="363"/>
      <c r="J44" s="365"/>
    </row>
    <row r="45" spans="1:10">
      <c r="B45" s="363" t="s">
        <v>102</v>
      </c>
      <c r="C45" s="365">
        <f>C46-SUM(C34:C44)</f>
        <v>66835</v>
      </c>
      <c r="D45" s="363" t="s">
        <v>424</v>
      </c>
      <c r="E45" s="365">
        <f>E46-SUM(E34:E44)</f>
        <v>0</v>
      </c>
      <c r="G45" s="363" t="s">
        <v>425</v>
      </c>
      <c r="H45" s="365">
        <f>H46-SUM(H34:H44)</f>
        <v>790214</v>
      </c>
      <c r="I45" s="363" t="s">
        <v>426</v>
      </c>
      <c r="J45" s="365">
        <f>J46-SUM(J34:J44)</f>
        <v>0</v>
      </c>
    </row>
    <row r="46" spans="1:10">
      <c r="B46" s="363" t="s">
        <v>103</v>
      </c>
      <c r="C46" s="365">
        <v>1048654</v>
      </c>
      <c r="D46" s="363" t="s">
        <v>103</v>
      </c>
      <c r="E46" s="365">
        <v>708423</v>
      </c>
      <c r="G46" s="363" t="s">
        <v>103</v>
      </c>
      <c r="H46" s="365">
        <v>8759396</v>
      </c>
      <c r="I46" s="363" t="s">
        <v>103</v>
      </c>
      <c r="J46" s="365">
        <v>412799</v>
      </c>
    </row>
    <row r="47" spans="1:10">
      <c r="B47" s="368"/>
      <c r="D47" s="368"/>
      <c r="G47" s="368"/>
      <c r="I47" s="368"/>
    </row>
    <row r="48" spans="1:10">
      <c r="B48" s="55" t="s">
        <v>427</v>
      </c>
      <c r="G48" s="262" t="s">
        <v>428</v>
      </c>
    </row>
    <row r="49" spans="1:10">
      <c r="B49" s="30" t="s">
        <v>98</v>
      </c>
      <c r="C49" s="361" t="s">
        <v>99</v>
      </c>
      <c r="D49" s="30" t="s">
        <v>100</v>
      </c>
      <c r="E49" s="361" t="s">
        <v>101</v>
      </c>
      <c r="G49" s="30" t="s">
        <v>98</v>
      </c>
      <c r="H49" s="361" t="s">
        <v>99</v>
      </c>
      <c r="I49" s="30" t="s">
        <v>100</v>
      </c>
      <c r="J49" s="361" t="s">
        <v>101</v>
      </c>
    </row>
    <row r="50" spans="1:10">
      <c r="A50" s="13">
        <v>1</v>
      </c>
      <c r="B50" s="363" t="s">
        <v>254</v>
      </c>
      <c r="C50" s="365">
        <v>965061</v>
      </c>
      <c r="D50" s="363" t="s">
        <v>237</v>
      </c>
      <c r="E50" s="365">
        <v>1101582</v>
      </c>
      <c r="G50" s="366" t="s">
        <v>165</v>
      </c>
      <c r="H50" s="365">
        <v>10390</v>
      </c>
      <c r="I50" s="366" t="s">
        <v>163</v>
      </c>
      <c r="J50" s="365">
        <v>6082</v>
      </c>
    </row>
    <row r="51" spans="1:10">
      <c r="A51" s="13">
        <v>2</v>
      </c>
      <c r="B51" s="363" t="s">
        <v>244</v>
      </c>
      <c r="C51" s="365">
        <v>635983</v>
      </c>
      <c r="D51" s="363" t="s">
        <v>448</v>
      </c>
      <c r="E51" s="365">
        <v>196230</v>
      </c>
      <c r="G51" s="366" t="s">
        <v>158</v>
      </c>
      <c r="H51" s="365">
        <v>2597</v>
      </c>
      <c r="I51" s="366" t="s">
        <v>444</v>
      </c>
      <c r="J51" s="365">
        <v>5575</v>
      </c>
    </row>
    <row r="52" spans="1:10">
      <c r="A52" s="13">
        <v>3</v>
      </c>
      <c r="B52" s="363" t="s">
        <v>237</v>
      </c>
      <c r="C52" s="365">
        <v>600412</v>
      </c>
      <c r="D52" s="363" t="s">
        <v>12</v>
      </c>
      <c r="E52" s="365">
        <v>129869</v>
      </c>
      <c r="G52" s="366" t="s">
        <v>156</v>
      </c>
      <c r="H52" s="365">
        <v>2407</v>
      </c>
      <c r="I52" s="366" t="s">
        <v>175</v>
      </c>
      <c r="J52" s="365">
        <v>1330</v>
      </c>
    </row>
    <row r="53" spans="1:10">
      <c r="A53" s="13">
        <v>4</v>
      </c>
      <c r="B53" s="363" t="s">
        <v>446</v>
      </c>
      <c r="C53" s="365">
        <v>484352</v>
      </c>
      <c r="D53" s="363" t="s">
        <v>451</v>
      </c>
      <c r="E53" s="365">
        <v>117705</v>
      </c>
      <c r="G53" s="366" t="s">
        <v>170</v>
      </c>
      <c r="H53" s="365">
        <v>412</v>
      </c>
      <c r="I53" s="366"/>
      <c r="J53" s="365"/>
    </row>
    <row r="54" spans="1:10">
      <c r="A54" s="13">
        <v>5</v>
      </c>
      <c r="B54" s="363" t="s">
        <v>243</v>
      </c>
      <c r="C54" s="365">
        <v>327750</v>
      </c>
      <c r="D54" s="363" t="s">
        <v>382</v>
      </c>
      <c r="E54" s="365">
        <v>37536</v>
      </c>
      <c r="G54" s="366" t="s">
        <v>276</v>
      </c>
      <c r="H54" s="365">
        <v>63</v>
      </c>
      <c r="I54" s="366"/>
      <c r="J54" s="365"/>
    </row>
    <row r="55" spans="1:10">
      <c r="A55" s="13">
        <v>6</v>
      </c>
      <c r="B55" s="363" t="s">
        <v>449</v>
      </c>
      <c r="C55" s="365">
        <v>132880</v>
      </c>
      <c r="D55" s="363" t="s">
        <v>454</v>
      </c>
      <c r="E55" s="365">
        <v>29522</v>
      </c>
      <c r="G55" s="366"/>
      <c r="H55" s="365"/>
      <c r="I55" s="366"/>
      <c r="J55" s="365"/>
    </row>
    <row r="56" spans="1:10">
      <c r="A56" s="13">
        <v>7</v>
      </c>
      <c r="B56" s="363" t="s">
        <v>245</v>
      </c>
      <c r="C56" s="365">
        <v>93443</v>
      </c>
      <c r="D56" s="363" t="s">
        <v>446</v>
      </c>
      <c r="E56" s="365">
        <v>27209</v>
      </c>
      <c r="G56" s="366"/>
      <c r="H56" s="365"/>
      <c r="I56" s="366"/>
      <c r="J56" s="365"/>
    </row>
    <row r="57" spans="1:10">
      <c r="A57" s="13">
        <v>8</v>
      </c>
      <c r="B57" s="363" t="s">
        <v>256</v>
      </c>
      <c r="C57" s="365">
        <v>78429</v>
      </c>
      <c r="D57" s="363" t="s">
        <v>445</v>
      </c>
      <c r="E57" s="365">
        <v>1710</v>
      </c>
      <c r="G57" s="366"/>
      <c r="H57" s="365"/>
      <c r="I57" s="366"/>
      <c r="J57" s="365"/>
    </row>
    <row r="58" spans="1:10">
      <c r="A58" s="13">
        <v>9</v>
      </c>
      <c r="B58" s="363" t="s">
        <v>255</v>
      </c>
      <c r="C58" s="365">
        <v>69781</v>
      </c>
      <c r="D58" s="363" t="s">
        <v>10</v>
      </c>
      <c r="E58" s="365">
        <v>538</v>
      </c>
      <c r="G58" s="366"/>
      <c r="H58" s="365"/>
      <c r="I58" s="366"/>
      <c r="J58" s="365"/>
    </row>
    <row r="59" spans="1:10">
      <c r="A59" s="13">
        <v>10</v>
      </c>
      <c r="B59" s="363" t="s">
        <v>11</v>
      </c>
      <c r="C59" s="365">
        <v>66266</v>
      </c>
      <c r="D59" s="366" t="s">
        <v>450</v>
      </c>
      <c r="E59" s="365">
        <v>507</v>
      </c>
      <c r="G59" s="366"/>
      <c r="H59" s="365"/>
      <c r="I59" s="366"/>
      <c r="J59" s="365"/>
    </row>
    <row r="60" spans="1:10">
      <c r="B60" s="363" t="s">
        <v>429</v>
      </c>
      <c r="C60" s="365">
        <f>C61-SUM(C49:C59)</f>
        <v>424199</v>
      </c>
      <c r="D60" s="363" t="s">
        <v>102</v>
      </c>
      <c r="E60" s="365">
        <f>E61-SUM(E49:E59)</f>
        <v>95</v>
      </c>
      <c r="G60" s="366" t="s">
        <v>430</v>
      </c>
      <c r="H60" s="365">
        <f>H61-SUM(H49:H59)</f>
        <v>0</v>
      </c>
      <c r="I60" s="363" t="s">
        <v>102</v>
      </c>
      <c r="J60" s="365">
        <f>J61-SUM(J49:J59)</f>
        <v>0</v>
      </c>
    </row>
    <row r="61" spans="1:10">
      <c r="B61" s="363" t="s">
        <v>103</v>
      </c>
      <c r="C61" s="365">
        <v>3878556</v>
      </c>
      <c r="D61" s="363" t="s">
        <v>103</v>
      </c>
      <c r="E61" s="365">
        <v>1642503</v>
      </c>
      <c r="G61" s="363" t="s">
        <v>103</v>
      </c>
      <c r="H61" s="365">
        <v>15869</v>
      </c>
      <c r="I61" s="363" t="s">
        <v>103</v>
      </c>
      <c r="J61" s="365">
        <v>12987</v>
      </c>
    </row>
    <row r="63" spans="1:10">
      <c r="B63" s="473" t="s">
        <v>400</v>
      </c>
      <c r="G63" s="473" t="s">
        <v>431</v>
      </c>
    </row>
    <row r="64" spans="1:10">
      <c r="B64" s="30" t="s">
        <v>98</v>
      </c>
      <c r="C64" s="361" t="s">
        <v>99</v>
      </c>
      <c r="D64" s="30" t="s">
        <v>100</v>
      </c>
      <c r="E64" s="361" t="s">
        <v>101</v>
      </c>
      <c r="G64" s="30" t="s">
        <v>98</v>
      </c>
      <c r="H64" s="361" t="s">
        <v>99</v>
      </c>
      <c r="I64" s="30" t="s">
        <v>100</v>
      </c>
      <c r="J64" s="361" t="s">
        <v>101</v>
      </c>
    </row>
    <row r="65" spans="1:10">
      <c r="A65" s="13">
        <v>1</v>
      </c>
      <c r="B65" s="363" t="s">
        <v>455</v>
      </c>
      <c r="C65" s="365">
        <v>67216</v>
      </c>
      <c r="D65" s="366" t="s">
        <v>382</v>
      </c>
      <c r="E65" s="365">
        <v>283022</v>
      </c>
      <c r="G65" s="363" t="s">
        <v>244</v>
      </c>
      <c r="H65" s="365">
        <v>3899083</v>
      </c>
      <c r="I65" s="363" t="s">
        <v>382</v>
      </c>
      <c r="J65" s="365">
        <v>2036064</v>
      </c>
    </row>
    <row r="66" spans="1:10">
      <c r="A66" s="13">
        <v>2</v>
      </c>
      <c r="B66" s="363" t="s">
        <v>382</v>
      </c>
      <c r="C66" s="365">
        <v>38898</v>
      </c>
      <c r="D66" s="366" t="s">
        <v>237</v>
      </c>
      <c r="E66" s="365">
        <v>11245</v>
      </c>
      <c r="G66" s="363" t="s">
        <v>237</v>
      </c>
      <c r="H66" s="365">
        <v>1605101</v>
      </c>
      <c r="I66" s="363" t="s">
        <v>237</v>
      </c>
      <c r="J66" s="365">
        <v>1274888</v>
      </c>
    </row>
    <row r="67" spans="1:10">
      <c r="A67" s="13">
        <v>3</v>
      </c>
      <c r="B67" s="363" t="s">
        <v>446</v>
      </c>
      <c r="C67" s="365">
        <v>33387</v>
      </c>
      <c r="D67" s="363" t="s">
        <v>450</v>
      </c>
      <c r="E67" s="365">
        <v>760</v>
      </c>
      <c r="G67" s="363" t="s">
        <v>243</v>
      </c>
      <c r="H67" s="365">
        <v>1177988</v>
      </c>
      <c r="I67" s="363" t="s">
        <v>450</v>
      </c>
      <c r="J67" s="365">
        <v>233482</v>
      </c>
    </row>
    <row r="68" spans="1:10">
      <c r="A68" s="13">
        <v>4</v>
      </c>
      <c r="B68" s="363" t="s">
        <v>244</v>
      </c>
      <c r="C68" s="365">
        <v>24042</v>
      </c>
      <c r="D68" s="363" t="s">
        <v>230</v>
      </c>
      <c r="E68" s="365">
        <v>253</v>
      </c>
      <c r="G68" s="363" t="s">
        <v>12</v>
      </c>
      <c r="H68" s="365">
        <v>825435</v>
      </c>
      <c r="I68" s="363" t="s">
        <v>244</v>
      </c>
      <c r="J68" s="365">
        <v>213335</v>
      </c>
    </row>
    <row r="69" spans="1:10">
      <c r="A69" s="13">
        <v>5</v>
      </c>
      <c r="B69" s="363" t="s">
        <v>22</v>
      </c>
      <c r="C69" s="365">
        <v>4498</v>
      </c>
      <c r="D69" s="363" t="s">
        <v>244</v>
      </c>
      <c r="E69" s="365">
        <v>19</v>
      </c>
      <c r="G69" s="363" t="s">
        <v>446</v>
      </c>
      <c r="H69" s="365">
        <v>682483</v>
      </c>
      <c r="I69" s="363" t="s">
        <v>451</v>
      </c>
      <c r="J69" s="365">
        <v>131001</v>
      </c>
    </row>
    <row r="70" spans="1:10">
      <c r="A70" s="13">
        <v>6</v>
      </c>
      <c r="B70" s="363" t="s">
        <v>237</v>
      </c>
      <c r="C70" s="365">
        <v>4435</v>
      </c>
      <c r="D70" s="363" t="s">
        <v>451</v>
      </c>
      <c r="E70" s="365">
        <v>16</v>
      </c>
      <c r="G70" s="363" t="s">
        <v>449</v>
      </c>
      <c r="H70" s="365">
        <v>616059</v>
      </c>
      <c r="I70" s="363" t="s">
        <v>245</v>
      </c>
      <c r="J70" s="365">
        <v>90466</v>
      </c>
    </row>
    <row r="71" spans="1:10">
      <c r="A71" s="13">
        <v>7</v>
      </c>
      <c r="B71" s="363"/>
      <c r="C71" s="365"/>
      <c r="D71" s="363"/>
      <c r="E71" s="365"/>
      <c r="G71" s="363" t="s">
        <v>10</v>
      </c>
      <c r="H71" s="365">
        <v>520620</v>
      </c>
      <c r="I71" s="363" t="s">
        <v>454</v>
      </c>
      <c r="J71" s="365">
        <v>41147</v>
      </c>
    </row>
    <row r="72" spans="1:10">
      <c r="A72" s="13">
        <v>8</v>
      </c>
      <c r="B72" s="363"/>
      <c r="C72" s="365"/>
      <c r="D72" s="363"/>
      <c r="E72" s="365"/>
      <c r="G72" s="363" t="s">
        <v>447</v>
      </c>
      <c r="H72" s="365">
        <v>465220</v>
      </c>
      <c r="I72" s="363" t="s">
        <v>445</v>
      </c>
      <c r="J72" s="365">
        <v>28730</v>
      </c>
    </row>
    <row r="73" spans="1:10">
      <c r="A73" s="13">
        <v>9</v>
      </c>
      <c r="B73" s="363"/>
      <c r="C73" s="365"/>
      <c r="D73" s="363"/>
      <c r="E73" s="365"/>
      <c r="G73" s="363" t="s">
        <v>9</v>
      </c>
      <c r="H73" s="365">
        <v>410138</v>
      </c>
      <c r="I73" s="363" t="s">
        <v>9</v>
      </c>
      <c r="J73" s="365">
        <v>11118</v>
      </c>
    </row>
    <row r="74" spans="1:10">
      <c r="A74" s="13">
        <v>10</v>
      </c>
      <c r="B74" s="363"/>
      <c r="C74" s="365"/>
      <c r="D74" s="528"/>
      <c r="E74" s="365"/>
      <c r="G74" s="363" t="s">
        <v>267</v>
      </c>
      <c r="H74" s="365">
        <v>402566</v>
      </c>
      <c r="I74" s="363" t="s">
        <v>243</v>
      </c>
      <c r="J74" s="365">
        <v>7539</v>
      </c>
    </row>
    <row r="75" spans="1:10">
      <c r="B75" s="363" t="s">
        <v>102</v>
      </c>
      <c r="C75" s="365">
        <f>C76-SUM(C64:C74)</f>
        <v>0</v>
      </c>
      <c r="D75" s="363" t="s">
        <v>102</v>
      </c>
      <c r="E75" s="365">
        <f>E76-SUM(E64:E74)</f>
        <v>0</v>
      </c>
      <c r="G75" s="363" t="s">
        <v>102</v>
      </c>
      <c r="H75" s="365">
        <f>H76-SUM(H64:H74)</f>
        <v>2938899</v>
      </c>
      <c r="I75" s="363" t="s">
        <v>432</v>
      </c>
      <c r="J75" s="365">
        <f>J76-SUM(J64:J74)</f>
        <v>3073</v>
      </c>
    </row>
    <row r="76" spans="1:10">
      <c r="B76" s="363" t="s">
        <v>103</v>
      </c>
      <c r="C76" s="365">
        <v>172476</v>
      </c>
      <c r="D76" s="363" t="s">
        <v>103</v>
      </c>
      <c r="E76" s="365">
        <v>295315</v>
      </c>
      <c r="G76" s="363" t="s">
        <v>103</v>
      </c>
      <c r="H76" s="365">
        <v>13543592</v>
      </c>
      <c r="I76" s="363" t="s">
        <v>103</v>
      </c>
      <c r="J76" s="365">
        <v>4070843</v>
      </c>
    </row>
    <row r="78" spans="1:10">
      <c r="B78" s="55" t="s">
        <v>470</v>
      </c>
      <c r="G78" s="473" t="s">
        <v>433</v>
      </c>
    </row>
    <row r="79" spans="1:10">
      <c r="B79" s="30" t="s">
        <v>98</v>
      </c>
      <c r="C79" s="361" t="s">
        <v>99</v>
      </c>
      <c r="D79" s="30" t="s">
        <v>100</v>
      </c>
      <c r="E79" s="361" t="s">
        <v>101</v>
      </c>
      <c r="G79" s="30" t="s">
        <v>98</v>
      </c>
      <c r="H79" s="361" t="s">
        <v>99</v>
      </c>
      <c r="I79" s="30" t="s">
        <v>100</v>
      </c>
      <c r="J79" s="361" t="s">
        <v>101</v>
      </c>
    </row>
    <row r="80" spans="1:10">
      <c r="A80" s="13">
        <v>1</v>
      </c>
      <c r="B80" s="363" t="s">
        <v>244</v>
      </c>
      <c r="C80" s="365">
        <v>873613</v>
      </c>
      <c r="D80" s="363" t="s">
        <v>237</v>
      </c>
      <c r="E80" s="365">
        <v>437529</v>
      </c>
      <c r="G80" s="363" t="s">
        <v>244</v>
      </c>
      <c r="H80" s="365">
        <v>1343937</v>
      </c>
      <c r="I80" s="363" t="s">
        <v>237</v>
      </c>
      <c r="J80" s="365">
        <v>113824</v>
      </c>
    </row>
    <row r="81" spans="1:10">
      <c r="A81" s="13">
        <v>2</v>
      </c>
      <c r="B81" s="363" t="s">
        <v>446</v>
      </c>
      <c r="C81" s="365">
        <v>419197</v>
      </c>
      <c r="D81" s="363" t="s">
        <v>10</v>
      </c>
      <c r="E81" s="365">
        <v>326227</v>
      </c>
      <c r="G81" s="363" t="s">
        <v>6</v>
      </c>
      <c r="H81" s="365">
        <v>350143</v>
      </c>
      <c r="I81" s="363" t="s">
        <v>451</v>
      </c>
      <c r="J81" s="365">
        <v>15141</v>
      </c>
    </row>
    <row r="82" spans="1:10">
      <c r="A82" s="13">
        <v>3</v>
      </c>
      <c r="B82" s="363" t="s">
        <v>15</v>
      </c>
      <c r="C82" s="365">
        <v>235223</v>
      </c>
      <c r="D82" s="363" t="s">
        <v>445</v>
      </c>
      <c r="E82" s="365">
        <v>34843</v>
      </c>
      <c r="G82" s="363" t="s">
        <v>446</v>
      </c>
      <c r="H82" s="365">
        <v>246057</v>
      </c>
      <c r="I82" s="363" t="s">
        <v>450</v>
      </c>
      <c r="J82" s="365">
        <v>13335</v>
      </c>
    </row>
    <row r="83" spans="1:10">
      <c r="A83" s="13">
        <v>4</v>
      </c>
      <c r="B83" s="363" t="s">
        <v>243</v>
      </c>
      <c r="C83" s="365">
        <v>187805</v>
      </c>
      <c r="D83" s="363" t="s">
        <v>259</v>
      </c>
      <c r="E83" s="365">
        <v>21698</v>
      </c>
      <c r="G83" s="363" t="s">
        <v>245</v>
      </c>
      <c r="H83" s="365">
        <v>199683</v>
      </c>
      <c r="I83" s="363" t="s">
        <v>245</v>
      </c>
      <c r="J83" s="365">
        <v>8964</v>
      </c>
    </row>
    <row r="84" spans="1:10">
      <c r="A84" s="13">
        <v>5</v>
      </c>
      <c r="B84" s="363" t="s">
        <v>10</v>
      </c>
      <c r="C84" s="365">
        <v>185968</v>
      </c>
      <c r="D84" s="363" t="s">
        <v>450</v>
      </c>
      <c r="E84" s="365">
        <v>19116</v>
      </c>
      <c r="G84" s="363" t="s">
        <v>243</v>
      </c>
      <c r="H84" s="365">
        <v>190371</v>
      </c>
      <c r="I84" s="363" t="s">
        <v>382</v>
      </c>
      <c r="J84" s="365">
        <v>1616</v>
      </c>
    </row>
    <row r="85" spans="1:10">
      <c r="A85" s="13">
        <v>6</v>
      </c>
      <c r="B85" s="363" t="s">
        <v>447</v>
      </c>
      <c r="C85" s="365">
        <v>183245</v>
      </c>
      <c r="D85" s="363" t="s">
        <v>12</v>
      </c>
      <c r="E85" s="365">
        <v>15838</v>
      </c>
      <c r="G85" s="363" t="s">
        <v>447</v>
      </c>
      <c r="H85" s="365">
        <v>169559</v>
      </c>
      <c r="I85" s="363" t="s">
        <v>10</v>
      </c>
      <c r="J85" s="365">
        <v>317</v>
      </c>
    </row>
    <row r="86" spans="1:10">
      <c r="A86" s="13">
        <v>7</v>
      </c>
      <c r="B86" s="363" t="s">
        <v>6</v>
      </c>
      <c r="C86" s="365">
        <v>149446</v>
      </c>
      <c r="D86" s="363" t="s">
        <v>446</v>
      </c>
      <c r="E86" s="365">
        <v>8109</v>
      </c>
      <c r="G86" s="363" t="s">
        <v>10</v>
      </c>
      <c r="H86" s="365">
        <v>167816</v>
      </c>
      <c r="I86" s="363" t="s">
        <v>12</v>
      </c>
      <c r="J86" s="365">
        <v>222</v>
      </c>
    </row>
    <row r="87" spans="1:10">
      <c r="A87" s="13">
        <v>8</v>
      </c>
      <c r="B87" s="363" t="s">
        <v>449</v>
      </c>
      <c r="C87" s="365">
        <v>115141</v>
      </c>
      <c r="D87" s="363"/>
      <c r="E87" s="365"/>
      <c r="G87" s="363" t="s">
        <v>9</v>
      </c>
      <c r="H87" s="365">
        <v>147387</v>
      </c>
      <c r="I87" s="363" t="s">
        <v>230</v>
      </c>
      <c r="J87" s="365">
        <v>95</v>
      </c>
    </row>
    <row r="88" spans="1:10">
      <c r="A88" s="13">
        <v>9</v>
      </c>
      <c r="B88" s="363" t="s">
        <v>254</v>
      </c>
      <c r="C88" s="365">
        <v>56382</v>
      </c>
      <c r="D88" s="363"/>
      <c r="E88" s="365"/>
      <c r="G88" s="363" t="s">
        <v>255</v>
      </c>
      <c r="H88" s="365">
        <v>134242</v>
      </c>
      <c r="I88" s="363"/>
      <c r="J88" s="365"/>
    </row>
    <row r="89" spans="1:10">
      <c r="A89" s="13">
        <v>10</v>
      </c>
      <c r="B89" s="363" t="s">
        <v>255</v>
      </c>
      <c r="C89" s="365">
        <v>40798</v>
      </c>
      <c r="D89" s="363"/>
      <c r="E89" s="365"/>
      <c r="G89" s="363" t="s">
        <v>382</v>
      </c>
      <c r="H89" s="365">
        <v>123314</v>
      </c>
      <c r="I89" s="363"/>
      <c r="J89" s="365"/>
    </row>
    <row r="90" spans="1:10">
      <c r="B90" s="363" t="s">
        <v>102</v>
      </c>
      <c r="C90" s="365">
        <f>C91-SUM(C80:C89)</f>
        <v>392435</v>
      </c>
      <c r="D90" s="363" t="s">
        <v>102</v>
      </c>
      <c r="E90" s="365">
        <f>E91-SUM(E79:E89)</f>
        <v>0</v>
      </c>
      <c r="G90" s="363" t="s">
        <v>434</v>
      </c>
      <c r="H90" s="365">
        <f>H91-SUM(H79:H89)</f>
        <v>652048</v>
      </c>
      <c r="I90" s="363" t="s">
        <v>102</v>
      </c>
      <c r="J90" s="365">
        <f>J91-SUM(J79:J89)</f>
        <v>0</v>
      </c>
    </row>
    <row r="91" spans="1:10">
      <c r="B91" s="363" t="s">
        <v>103</v>
      </c>
      <c r="C91" s="365">
        <v>2839253</v>
      </c>
      <c r="D91" s="363" t="s">
        <v>103</v>
      </c>
      <c r="E91" s="365">
        <v>863360</v>
      </c>
      <c r="G91" s="363" t="s">
        <v>103</v>
      </c>
      <c r="H91" s="365">
        <v>3724557</v>
      </c>
      <c r="I91" s="363" t="s">
        <v>103</v>
      </c>
      <c r="J91" s="365">
        <v>153514</v>
      </c>
    </row>
    <row r="93" spans="1:10">
      <c r="B93" s="473" t="s">
        <v>471</v>
      </c>
      <c r="G93" s="55" t="s">
        <v>401</v>
      </c>
    </row>
    <row r="94" spans="1:10">
      <c r="B94" s="30" t="s">
        <v>98</v>
      </c>
      <c r="C94" s="361" t="s">
        <v>99</v>
      </c>
      <c r="D94" s="30" t="s">
        <v>100</v>
      </c>
      <c r="E94" s="361" t="s">
        <v>101</v>
      </c>
      <c r="G94" s="30" t="s">
        <v>98</v>
      </c>
      <c r="H94" s="361" t="s">
        <v>99</v>
      </c>
      <c r="I94" s="30" t="s">
        <v>100</v>
      </c>
      <c r="J94" s="361" t="s">
        <v>101</v>
      </c>
    </row>
    <row r="95" spans="1:10">
      <c r="A95" s="13">
        <v>1</v>
      </c>
      <c r="B95" s="545" t="s">
        <v>244</v>
      </c>
      <c r="C95" s="365">
        <v>2716980</v>
      </c>
      <c r="D95" s="366" t="s">
        <v>237</v>
      </c>
      <c r="E95" s="365">
        <v>742667</v>
      </c>
      <c r="G95" s="363" t="s">
        <v>243</v>
      </c>
      <c r="H95" s="365">
        <v>430346</v>
      </c>
      <c r="I95" s="363" t="s">
        <v>186</v>
      </c>
      <c r="J95" s="365">
        <v>777415</v>
      </c>
    </row>
    <row r="96" spans="1:10">
      <c r="A96" s="13">
        <v>2</v>
      </c>
      <c r="B96" s="545" t="s">
        <v>449</v>
      </c>
      <c r="C96" s="365">
        <v>981722</v>
      </c>
      <c r="D96" s="366" t="s">
        <v>382</v>
      </c>
      <c r="E96" s="365">
        <v>676781</v>
      </c>
      <c r="G96" s="363" t="s">
        <v>449</v>
      </c>
      <c r="H96" s="365">
        <v>89515</v>
      </c>
      <c r="I96" s="366" t="s">
        <v>163</v>
      </c>
      <c r="J96" s="365">
        <v>68666</v>
      </c>
    </row>
    <row r="97" spans="1:15">
      <c r="A97" s="13">
        <v>3</v>
      </c>
      <c r="B97" s="545" t="s">
        <v>446</v>
      </c>
      <c r="C97" s="365">
        <v>918057</v>
      </c>
      <c r="D97" s="366" t="s">
        <v>451</v>
      </c>
      <c r="E97" s="365">
        <v>127922</v>
      </c>
      <c r="G97" s="363" t="s">
        <v>237</v>
      </c>
      <c r="H97" s="365">
        <v>80455</v>
      </c>
      <c r="I97" s="363" t="s">
        <v>444</v>
      </c>
      <c r="J97" s="365">
        <v>57830</v>
      </c>
    </row>
    <row r="98" spans="1:15">
      <c r="A98" s="13">
        <v>4</v>
      </c>
      <c r="B98" s="545" t="s">
        <v>243</v>
      </c>
      <c r="C98" s="365">
        <v>337852</v>
      </c>
      <c r="D98" s="366" t="s">
        <v>247</v>
      </c>
      <c r="E98" s="365">
        <v>61546</v>
      </c>
      <c r="G98" s="363" t="s">
        <v>450</v>
      </c>
      <c r="H98" s="365">
        <v>74439</v>
      </c>
      <c r="I98" s="363"/>
      <c r="J98" s="365"/>
    </row>
    <row r="99" spans="1:15">
      <c r="A99" s="13">
        <v>5</v>
      </c>
      <c r="B99" s="545" t="s">
        <v>11</v>
      </c>
      <c r="C99" s="365">
        <v>307444</v>
      </c>
      <c r="D99" s="366" t="s">
        <v>10</v>
      </c>
      <c r="E99" s="365">
        <v>21540</v>
      </c>
      <c r="G99" s="363" t="s">
        <v>255</v>
      </c>
      <c r="H99" s="365">
        <v>71777</v>
      </c>
      <c r="I99" s="366"/>
      <c r="J99" s="365"/>
    </row>
    <row r="100" spans="1:15">
      <c r="A100" s="13">
        <v>6</v>
      </c>
      <c r="B100" s="545" t="s">
        <v>237</v>
      </c>
      <c r="C100" s="365">
        <v>302217</v>
      </c>
      <c r="D100" s="366" t="s">
        <v>245</v>
      </c>
      <c r="E100" s="365">
        <v>14064</v>
      </c>
      <c r="G100" s="363" t="s">
        <v>384</v>
      </c>
      <c r="H100" s="365">
        <v>65187</v>
      </c>
      <c r="I100" s="363"/>
      <c r="J100" s="365"/>
    </row>
    <row r="101" spans="1:15">
      <c r="A101" s="13">
        <v>7</v>
      </c>
      <c r="B101" s="545" t="s">
        <v>10</v>
      </c>
      <c r="C101" s="365">
        <v>294773</v>
      </c>
      <c r="D101" s="366" t="s">
        <v>445</v>
      </c>
      <c r="E101" s="365">
        <v>11530</v>
      </c>
      <c r="G101" s="363" t="s">
        <v>245</v>
      </c>
      <c r="H101" s="365">
        <v>59550</v>
      </c>
      <c r="I101" s="363"/>
      <c r="J101" s="365"/>
    </row>
    <row r="102" spans="1:15">
      <c r="A102" s="13">
        <v>8</v>
      </c>
      <c r="B102" s="545" t="s">
        <v>447</v>
      </c>
      <c r="C102" s="365">
        <v>264778</v>
      </c>
      <c r="D102" s="366" t="s">
        <v>456</v>
      </c>
      <c r="E102" s="365">
        <v>8543</v>
      </c>
      <c r="G102" s="363" t="s">
        <v>447</v>
      </c>
      <c r="H102" s="365">
        <v>52074</v>
      </c>
      <c r="I102" s="367"/>
      <c r="J102" s="365"/>
    </row>
    <row r="103" spans="1:15">
      <c r="A103" s="13">
        <v>9</v>
      </c>
      <c r="B103" s="545" t="s">
        <v>12</v>
      </c>
      <c r="C103" s="365">
        <v>253500</v>
      </c>
      <c r="D103" s="366" t="s">
        <v>244</v>
      </c>
      <c r="E103" s="365">
        <v>6145</v>
      </c>
      <c r="G103" s="363" t="s">
        <v>446</v>
      </c>
      <c r="H103" s="365">
        <v>50649</v>
      </c>
      <c r="I103" s="363"/>
      <c r="J103" s="365"/>
    </row>
    <row r="104" spans="1:15">
      <c r="A104" s="13">
        <v>10</v>
      </c>
      <c r="B104" s="545" t="s">
        <v>450</v>
      </c>
      <c r="C104" s="365">
        <v>222268</v>
      </c>
      <c r="D104" s="366" t="s">
        <v>450</v>
      </c>
      <c r="E104" s="365">
        <v>190</v>
      </c>
      <c r="G104" s="363" t="s">
        <v>247</v>
      </c>
      <c r="H104" s="365">
        <v>49256</v>
      </c>
      <c r="I104" s="363"/>
      <c r="J104" s="365"/>
    </row>
    <row r="105" spans="1:15">
      <c r="B105" s="363" t="s">
        <v>102</v>
      </c>
      <c r="C105" s="365">
        <f>C106-SUM(C94:C104)</f>
        <v>1151187</v>
      </c>
      <c r="D105" s="363" t="s">
        <v>102</v>
      </c>
      <c r="E105" s="365">
        <f>E106-SUM(E94:E104)</f>
        <v>95</v>
      </c>
      <c r="G105" s="366" t="s">
        <v>430</v>
      </c>
      <c r="H105" s="365">
        <f>H106-SUM(H94:H104)</f>
        <v>336175</v>
      </c>
      <c r="I105" s="363" t="s">
        <v>102</v>
      </c>
      <c r="J105" s="365">
        <f>J106-SUM(J94:J104)</f>
        <v>0</v>
      </c>
    </row>
    <row r="106" spans="1:15">
      <c r="B106" s="363" t="s">
        <v>103</v>
      </c>
      <c r="C106" s="365">
        <v>7750778</v>
      </c>
      <c r="D106" s="363" t="s">
        <v>103</v>
      </c>
      <c r="E106" s="365">
        <v>1671023</v>
      </c>
      <c r="G106" s="363" t="s">
        <v>103</v>
      </c>
      <c r="H106" s="365">
        <v>1359423</v>
      </c>
      <c r="I106" s="363" t="s">
        <v>103</v>
      </c>
      <c r="J106" s="365">
        <v>903911</v>
      </c>
    </row>
    <row r="108" spans="1:15">
      <c r="B108" s="473" t="s">
        <v>435</v>
      </c>
      <c r="G108" s="262" t="s">
        <v>436</v>
      </c>
      <c r="L108" s="5"/>
      <c r="M108" s="5"/>
      <c r="N108" s="5"/>
      <c r="O108" s="5"/>
    </row>
    <row r="109" spans="1:15">
      <c r="B109" s="30" t="s">
        <v>98</v>
      </c>
      <c r="C109" s="361" t="s">
        <v>99</v>
      </c>
      <c r="D109" s="30" t="s">
        <v>100</v>
      </c>
      <c r="E109" s="361" t="s">
        <v>101</v>
      </c>
      <c r="G109" s="30" t="s">
        <v>98</v>
      </c>
      <c r="H109" s="361" t="s">
        <v>99</v>
      </c>
      <c r="I109" s="30" t="s">
        <v>100</v>
      </c>
      <c r="J109" s="361" t="s">
        <v>101</v>
      </c>
      <c r="L109" s="5"/>
      <c r="M109" s="5"/>
      <c r="N109" s="5"/>
      <c r="O109" s="5"/>
    </row>
    <row r="110" spans="1:15">
      <c r="A110" s="13">
        <v>1</v>
      </c>
      <c r="B110" s="474" t="s">
        <v>244</v>
      </c>
      <c r="C110" s="365">
        <v>2170574</v>
      </c>
      <c r="D110" s="363" t="s">
        <v>382</v>
      </c>
      <c r="E110" s="365">
        <v>983814</v>
      </c>
      <c r="G110" s="363" t="s">
        <v>244</v>
      </c>
      <c r="H110" s="365">
        <v>1575735</v>
      </c>
      <c r="I110" s="366" t="s">
        <v>382</v>
      </c>
      <c r="J110" s="365">
        <v>247935</v>
      </c>
      <c r="L110" s="5"/>
      <c r="M110" s="5"/>
      <c r="N110" s="5"/>
      <c r="O110" s="5"/>
    </row>
    <row r="111" spans="1:15">
      <c r="A111" s="13">
        <v>2</v>
      </c>
      <c r="B111" s="474" t="s">
        <v>237</v>
      </c>
      <c r="C111" s="365">
        <v>710358</v>
      </c>
      <c r="D111" s="366" t="s">
        <v>163</v>
      </c>
      <c r="E111" s="365">
        <v>855907</v>
      </c>
      <c r="G111" s="363" t="s">
        <v>446</v>
      </c>
      <c r="H111" s="365">
        <v>746472</v>
      </c>
      <c r="I111" s="366" t="s">
        <v>237</v>
      </c>
      <c r="J111" s="365">
        <v>158061</v>
      </c>
      <c r="L111" s="5"/>
      <c r="M111" s="5"/>
      <c r="N111" s="5"/>
      <c r="O111" s="5"/>
    </row>
    <row r="112" spans="1:15">
      <c r="A112" s="13">
        <v>3</v>
      </c>
      <c r="B112" s="474" t="s">
        <v>446</v>
      </c>
      <c r="C112" s="365">
        <v>628888</v>
      </c>
      <c r="D112" s="363" t="s">
        <v>175</v>
      </c>
      <c r="E112" s="365">
        <v>189831</v>
      </c>
      <c r="G112" s="363" t="s">
        <v>237</v>
      </c>
      <c r="H112" s="365">
        <v>717169</v>
      </c>
      <c r="I112" s="366" t="s">
        <v>454</v>
      </c>
      <c r="J112" s="365">
        <v>85397</v>
      </c>
      <c r="L112" s="5"/>
      <c r="M112" s="5"/>
      <c r="N112" s="5"/>
      <c r="O112" s="5"/>
    </row>
    <row r="113" spans="1:15">
      <c r="A113" s="13">
        <v>4</v>
      </c>
      <c r="B113" s="474" t="s">
        <v>449</v>
      </c>
      <c r="C113" s="365">
        <v>456160</v>
      </c>
      <c r="D113" s="363"/>
      <c r="E113" s="365"/>
      <c r="G113" s="363" t="s">
        <v>449</v>
      </c>
      <c r="H113" s="365">
        <v>361577</v>
      </c>
      <c r="I113" s="366" t="s">
        <v>244</v>
      </c>
      <c r="J113" s="365">
        <v>55084</v>
      </c>
      <c r="L113" s="5"/>
      <c r="M113" s="5"/>
      <c r="N113" s="5"/>
      <c r="O113" s="5"/>
    </row>
    <row r="114" spans="1:15">
      <c r="A114" s="13">
        <v>5</v>
      </c>
      <c r="B114" s="474" t="s">
        <v>9</v>
      </c>
      <c r="C114" s="365">
        <v>443142</v>
      </c>
      <c r="D114" s="363"/>
      <c r="E114" s="365"/>
      <c r="G114" s="363" t="s">
        <v>12</v>
      </c>
      <c r="H114" s="365">
        <v>352673</v>
      </c>
      <c r="I114" s="366" t="s">
        <v>448</v>
      </c>
      <c r="J114" s="365">
        <v>45898</v>
      </c>
      <c r="L114" s="5"/>
      <c r="M114" s="5"/>
      <c r="N114" s="5"/>
      <c r="O114" s="5"/>
    </row>
    <row r="115" spans="1:15">
      <c r="A115" s="13">
        <v>6</v>
      </c>
      <c r="B115" s="474" t="s">
        <v>450</v>
      </c>
      <c r="C115" s="365">
        <v>329396</v>
      </c>
      <c r="D115" s="363"/>
      <c r="E115" s="365"/>
      <c r="G115" s="363" t="s">
        <v>243</v>
      </c>
      <c r="H115" s="365">
        <v>344155</v>
      </c>
      <c r="I115" s="366" t="s">
        <v>445</v>
      </c>
      <c r="J115" s="365">
        <v>17454</v>
      </c>
      <c r="L115" s="5"/>
      <c r="M115" s="5"/>
      <c r="N115" s="5"/>
      <c r="O115" s="5"/>
    </row>
    <row r="116" spans="1:15">
      <c r="A116" s="13">
        <v>7</v>
      </c>
      <c r="B116" s="474" t="s">
        <v>11</v>
      </c>
      <c r="C116" s="365">
        <v>286380</v>
      </c>
      <c r="D116" s="363"/>
      <c r="E116" s="365"/>
      <c r="G116" s="363" t="s">
        <v>10</v>
      </c>
      <c r="H116" s="365">
        <v>287170</v>
      </c>
      <c r="I116" s="366" t="s">
        <v>254</v>
      </c>
      <c r="J116" s="365">
        <v>3928</v>
      </c>
      <c r="L116" s="5"/>
      <c r="M116" s="5"/>
      <c r="N116" s="5"/>
      <c r="O116" s="5"/>
    </row>
    <row r="117" spans="1:15">
      <c r="A117" s="13">
        <v>8</v>
      </c>
      <c r="B117" s="474" t="s">
        <v>243</v>
      </c>
      <c r="C117" s="365">
        <v>281312</v>
      </c>
      <c r="D117" s="363"/>
      <c r="E117" s="365"/>
      <c r="G117" s="363" t="s">
        <v>9</v>
      </c>
      <c r="H117" s="365">
        <v>278144</v>
      </c>
      <c r="I117" s="366" t="s">
        <v>243</v>
      </c>
      <c r="J117" s="365">
        <v>3738</v>
      </c>
      <c r="L117" s="5"/>
      <c r="M117" s="5"/>
      <c r="N117" s="5"/>
      <c r="O117" s="5"/>
    </row>
    <row r="118" spans="1:15">
      <c r="A118" s="13">
        <v>9</v>
      </c>
      <c r="B118" s="474" t="s">
        <v>12</v>
      </c>
      <c r="C118" s="365">
        <v>193285</v>
      </c>
      <c r="D118" s="363"/>
      <c r="E118" s="365"/>
      <c r="G118" s="363" t="s">
        <v>447</v>
      </c>
      <c r="H118" s="365">
        <v>196831</v>
      </c>
      <c r="I118" s="366" t="s">
        <v>446</v>
      </c>
      <c r="J118" s="365">
        <v>3231</v>
      </c>
      <c r="L118" s="5"/>
      <c r="M118" s="5"/>
      <c r="N118" s="5"/>
      <c r="O118" s="5"/>
    </row>
    <row r="119" spans="1:15">
      <c r="A119" s="13">
        <v>10</v>
      </c>
      <c r="B119" s="474" t="s">
        <v>447</v>
      </c>
      <c r="C119" s="365">
        <v>184353</v>
      </c>
      <c r="D119" s="363"/>
      <c r="E119" s="365"/>
      <c r="G119" s="363" t="s">
        <v>245</v>
      </c>
      <c r="H119" s="365">
        <v>175991</v>
      </c>
      <c r="I119" s="366" t="s">
        <v>9</v>
      </c>
      <c r="J119" s="365">
        <v>2534</v>
      </c>
      <c r="L119" s="5"/>
      <c r="M119" s="5"/>
      <c r="N119" s="5"/>
      <c r="O119" s="5"/>
    </row>
    <row r="120" spans="1:15">
      <c r="B120" s="363" t="s">
        <v>102</v>
      </c>
      <c r="C120" s="365">
        <f>C121-SUM(C109:C119)</f>
        <v>1122234</v>
      </c>
      <c r="D120" s="363" t="s">
        <v>102</v>
      </c>
      <c r="E120" s="365">
        <f>E121-SUM(E109:E119)</f>
        <v>0</v>
      </c>
      <c r="G120" s="363" t="s">
        <v>430</v>
      </c>
      <c r="H120" s="365">
        <f>H121-SUM(H109:H119)</f>
        <v>1340921</v>
      </c>
      <c r="I120" s="369" t="s">
        <v>102</v>
      </c>
      <c r="J120" s="365">
        <f>J121-SUM(J109:J119)</f>
        <v>1140</v>
      </c>
      <c r="L120" s="5"/>
      <c r="M120" s="5"/>
      <c r="N120" s="5"/>
      <c r="O120" s="5"/>
    </row>
    <row r="121" spans="1:15">
      <c r="B121" s="363" t="s">
        <v>103</v>
      </c>
      <c r="C121" s="365">
        <v>6806082</v>
      </c>
      <c r="D121" s="363" t="s">
        <v>103</v>
      </c>
      <c r="E121" s="365">
        <v>2029552</v>
      </c>
      <c r="G121" s="363" t="s">
        <v>103</v>
      </c>
      <c r="H121" s="365">
        <v>6376838</v>
      </c>
      <c r="I121" s="363" t="s">
        <v>103</v>
      </c>
      <c r="J121" s="365">
        <v>624400</v>
      </c>
    </row>
    <row r="122" spans="1:15">
      <c r="G122" s="5"/>
      <c r="H122" s="97"/>
      <c r="I122" s="5"/>
      <c r="J122" s="97"/>
    </row>
    <row r="123" spans="1:15">
      <c r="B123" s="473" t="s">
        <v>437</v>
      </c>
      <c r="G123" s="55" t="s">
        <v>472</v>
      </c>
    </row>
    <row r="124" spans="1:15">
      <c r="B124" s="30" t="s">
        <v>98</v>
      </c>
      <c r="C124" s="361" t="s">
        <v>99</v>
      </c>
      <c r="D124" s="30" t="s">
        <v>100</v>
      </c>
      <c r="E124" s="361" t="s">
        <v>101</v>
      </c>
      <c r="G124" s="30" t="s">
        <v>98</v>
      </c>
      <c r="H124" s="361" t="s">
        <v>99</v>
      </c>
      <c r="I124" s="30" t="s">
        <v>100</v>
      </c>
      <c r="J124" s="361" t="s">
        <v>101</v>
      </c>
    </row>
    <row r="125" spans="1:15">
      <c r="A125" s="13">
        <v>1</v>
      </c>
      <c r="B125" s="363" t="s">
        <v>382</v>
      </c>
      <c r="C125" s="365">
        <v>126893</v>
      </c>
      <c r="D125" s="366" t="s">
        <v>163</v>
      </c>
      <c r="E125" s="365">
        <v>49445</v>
      </c>
      <c r="G125" s="363" t="s">
        <v>244</v>
      </c>
      <c r="H125" s="365">
        <v>716156</v>
      </c>
      <c r="I125" s="363" t="s">
        <v>163</v>
      </c>
      <c r="J125" s="365">
        <v>183151</v>
      </c>
    </row>
    <row r="126" spans="1:15">
      <c r="A126" s="13">
        <v>2</v>
      </c>
      <c r="B126" s="363" t="s">
        <v>244</v>
      </c>
      <c r="C126" s="365">
        <v>56637</v>
      </c>
      <c r="D126" s="366" t="s">
        <v>444</v>
      </c>
      <c r="E126" s="365">
        <v>37757</v>
      </c>
      <c r="G126" s="363" t="s">
        <v>237</v>
      </c>
      <c r="H126" s="365">
        <v>168165</v>
      </c>
      <c r="I126" s="363" t="s">
        <v>176</v>
      </c>
      <c r="J126" s="365">
        <v>55908</v>
      </c>
    </row>
    <row r="127" spans="1:15">
      <c r="A127" s="13">
        <v>3</v>
      </c>
      <c r="B127" s="363" t="s">
        <v>446</v>
      </c>
      <c r="C127" s="365">
        <v>15870</v>
      </c>
      <c r="D127" s="363"/>
      <c r="E127" s="365"/>
      <c r="G127" s="363" t="s">
        <v>446</v>
      </c>
      <c r="H127" s="365">
        <v>158348</v>
      </c>
      <c r="I127" s="366"/>
      <c r="J127" s="365"/>
    </row>
    <row r="128" spans="1:15">
      <c r="A128" s="13">
        <v>4</v>
      </c>
      <c r="B128" s="363" t="s">
        <v>9</v>
      </c>
      <c r="C128" s="365">
        <v>15869</v>
      </c>
      <c r="D128" s="363"/>
      <c r="E128" s="365"/>
      <c r="G128" s="363" t="s">
        <v>256</v>
      </c>
      <c r="H128" s="365">
        <v>151980</v>
      </c>
      <c r="I128" s="366"/>
      <c r="J128" s="365"/>
    </row>
    <row r="129" spans="1:15">
      <c r="A129" s="13">
        <v>5</v>
      </c>
      <c r="B129" s="363" t="s">
        <v>237</v>
      </c>
      <c r="C129" s="365">
        <v>14317</v>
      </c>
      <c r="D129" s="363"/>
      <c r="E129" s="365"/>
      <c r="G129" s="363" t="s">
        <v>449</v>
      </c>
      <c r="H129" s="365">
        <v>132404</v>
      </c>
      <c r="I129" s="363"/>
      <c r="J129" s="365"/>
    </row>
    <row r="130" spans="1:15">
      <c r="A130" s="13">
        <v>6</v>
      </c>
      <c r="B130" s="363" t="s">
        <v>10</v>
      </c>
      <c r="C130" s="365">
        <v>10516</v>
      </c>
      <c r="D130" s="363"/>
      <c r="E130" s="365"/>
      <c r="G130" s="363" t="s">
        <v>447</v>
      </c>
      <c r="H130" s="365">
        <v>109661</v>
      </c>
      <c r="I130" s="363"/>
      <c r="J130" s="365"/>
    </row>
    <row r="131" spans="1:15">
      <c r="A131" s="13">
        <v>7</v>
      </c>
      <c r="B131" s="363" t="s">
        <v>447</v>
      </c>
      <c r="C131" s="365">
        <v>9376</v>
      </c>
      <c r="D131" s="363"/>
      <c r="E131" s="365"/>
      <c r="G131" s="363" t="s">
        <v>267</v>
      </c>
      <c r="H131" s="365">
        <v>67533</v>
      </c>
      <c r="I131" s="363"/>
      <c r="J131" s="365"/>
    </row>
    <row r="132" spans="1:15">
      <c r="A132" s="13">
        <v>8</v>
      </c>
      <c r="B132" s="363" t="s">
        <v>254</v>
      </c>
      <c r="C132" s="365">
        <v>6905</v>
      </c>
      <c r="D132" s="363"/>
      <c r="E132" s="365"/>
      <c r="G132" s="363" t="s">
        <v>6</v>
      </c>
      <c r="H132" s="365">
        <v>50364</v>
      </c>
      <c r="I132" s="363"/>
      <c r="J132" s="365"/>
    </row>
    <row r="133" spans="1:15">
      <c r="A133" s="13">
        <v>9</v>
      </c>
      <c r="B133" s="363" t="s">
        <v>12</v>
      </c>
      <c r="C133" s="365">
        <v>5100</v>
      </c>
      <c r="D133" s="363"/>
      <c r="E133" s="365"/>
      <c r="G133" s="363" t="s">
        <v>254</v>
      </c>
      <c r="H133" s="365">
        <v>38485</v>
      </c>
      <c r="I133" s="363"/>
      <c r="J133" s="365"/>
    </row>
    <row r="134" spans="1:15">
      <c r="A134" s="13">
        <v>10</v>
      </c>
      <c r="B134" s="363" t="s">
        <v>450</v>
      </c>
      <c r="C134" s="365">
        <v>4751</v>
      </c>
      <c r="D134" s="94"/>
      <c r="E134" s="27"/>
      <c r="G134" s="363" t="s">
        <v>12</v>
      </c>
      <c r="H134" s="365">
        <v>38044</v>
      </c>
      <c r="I134" s="363"/>
      <c r="J134" s="365"/>
    </row>
    <row r="135" spans="1:15">
      <c r="B135" s="366" t="s">
        <v>430</v>
      </c>
      <c r="C135" s="365">
        <f>C136-SUM(C125:C134)</f>
        <v>3707</v>
      </c>
      <c r="D135" s="363" t="s">
        <v>102</v>
      </c>
      <c r="E135" s="365">
        <f>E136-SUM(E125:E134)</f>
        <v>0</v>
      </c>
      <c r="G135" s="363" t="s">
        <v>102</v>
      </c>
      <c r="H135" s="365">
        <f>H136-SUM(H125:H134)</f>
        <v>325083</v>
      </c>
      <c r="I135" s="363" t="s">
        <v>102</v>
      </c>
      <c r="J135" s="365">
        <f>J136-SUM(J125:J134)</f>
        <v>0</v>
      </c>
    </row>
    <row r="136" spans="1:15">
      <c r="B136" s="363" t="s">
        <v>103</v>
      </c>
      <c r="C136" s="365">
        <v>269941</v>
      </c>
      <c r="D136" s="363" t="s">
        <v>103</v>
      </c>
      <c r="E136" s="365">
        <v>87202</v>
      </c>
      <c r="G136" s="363" t="s">
        <v>103</v>
      </c>
      <c r="H136" s="365">
        <v>1956223</v>
      </c>
      <c r="I136" s="363" t="s">
        <v>103</v>
      </c>
      <c r="J136" s="365">
        <v>239059</v>
      </c>
    </row>
    <row r="138" spans="1:15">
      <c r="B138" s="55" t="s">
        <v>438</v>
      </c>
      <c r="G138" s="473" t="s">
        <v>473</v>
      </c>
      <c r="L138" s="5"/>
      <c r="M138" s="5"/>
      <c r="N138" s="5"/>
      <c r="O138" s="5"/>
    </row>
    <row r="139" spans="1:15">
      <c r="B139" s="30" t="s">
        <v>98</v>
      </c>
      <c r="C139" s="361" t="s">
        <v>99</v>
      </c>
      <c r="D139" s="30" t="s">
        <v>100</v>
      </c>
      <c r="E139" s="361" t="s">
        <v>101</v>
      </c>
      <c r="G139" s="30" t="s">
        <v>98</v>
      </c>
      <c r="H139" s="361" t="s">
        <v>99</v>
      </c>
      <c r="I139" s="30" t="s">
        <v>100</v>
      </c>
      <c r="J139" s="361" t="s">
        <v>101</v>
      </c>
      <c r="L139" s="5"/>
      <c r="M139" s="5"/>
      <c r="N139" s="5"/>
      <c r="O139" s="5"/>
    </row>
    <row r="140" spans="1:15">
      <c r="A140" s="13">
        <v>1</v>
      </c>
      <c r="B140" s="366" t="s">
        <v>243</v>
      </c>
      <c r="C140" s="365">
        <v>1227779</v>
      </c>
      <c r="D140" s="363" t="s">
        <v>237</v>
      </c>
      <c r="E140" s="365">
        <v>638329</v>
      </c>
      <c r="G140" s="363" t="s">
        <v>243</v>
      </c>
      <c r="H140" s="365">
        <v>557301</v>
      </c>
      <c r="I140" s="363" t="s">
        <v>237</v>
      </c>
      <c r="J140" s="365">
        <v>1835368</v>
      </c>
      <c r="L140" s="5"/>
      <c r="M140" s="5"/>
      <c r="N140" s="5"/>
      <c r="O140" s="5"/>
    </row>
    <row r="141" spans="1:15">
      <c r="A141" s="13">
        <v>2</v>
      </c>
      <c r="B141" s="366" t="s">
        <v>244</v>
      </c>
      <c r="C141" s="365">
        <v>1075613</v>
      </c>
      <c r="D141" s="363" t="s">
        <v>450</v>
      </c>
      <c r="E141" s="365">
        <v>89547</v>
      </c>
      <c r="G141" s="363" t="s">
        <v>244</v>
      </c>
      <c r="H141" s="365">
        <v>472980</v>
      </c>
      <c r="I141" s="363" t="s">
        <v>450</v>
      </c>
      <c r="J141" s="365">
        <v>533069</v>
      </c>
      <c r="L141" s="5"/>
      <c r="M141" s="5"/>
      <c r="N141" s="5"/>
      <c r="O141" s="5"/>
    </row>
    <row r="142" spans="1:15">
      <c r="A142" s="13">
        <v>3</v>
      </c>
      <c r="B142" s="366" t="s">
        <v>446</v>
      </c>
      <c r="C142" s="365">
        <v>337536</v>
      </c>
      <c r="D142" s="363" t="s">
        <v>230</v>
      </c>
      <c r="E142" s="365">
        <v>2597</v>
      </c>
      <c r="G142" s="363" t="s">
        <v>446</v>
      </c>
      <c r="H142" s="365">
        <v>446755</v>
      </c>
      <c r="I142" s="363" t="s">
        <v>230</v>
      </c>
      <c r="J142" s="365">
        <v>4181</v>
      </c>
      <c r="L142" s="5"/>
      <c r="M142" s="5"/>
      <c r="N142" s="5"/>
      <c r="O142" s="5"/>
    </row>
    <row r="143" spans="1:15">
      <c r="A143" s="13">
        <v>4</v>
      </c>
      <c r="B143" s="366" t="s">
        <v>15</v>
      </c>
      <c r="C143" s="365">
        <v>296358</v>
      </c>
      <c r="D143" s="366" t="s">
        <v>6</v>
      </c>
      <c r="E143" s="365">
        <v>2312</v>
      </c>
      <c r="G143" s="363" t="s">
        <v>237</v>
      </c>
      <c r="H143" s="365">
        <v>253025</v>
      </c>
      <c r="I143" s="363" t="s">
        <v>445</v>
      </c>
      <c r="J143" s="365">
        <v>2819</v>
      </c>
      <c r="L143" s="5"/>
      <c r="M143" s="5"/>
      <c r="N143" s="5"/>
      <c r="O143" s="5"/>
    </row>
    <row r="144" spans="1:15">
      <c r="A144" s="13">
        <v>5</v>
      </c>
      <c r="B144" s="366" t="s">
        <v>449</v>
      </c>
      <c r="C144" s="365">
        <v>191288</v>
      </c>
      <c r="D144" s="363" t="s">
        <v>454</v>
      </c>
      <c r="E144" s="365">
        <v>1710</v>
      </c>
      <c r="G144" s="363" t="s">
        <v>447</v>
      </c>
      <c r="H144" s="365">
        <v>220685</v>
      </c>
      <c r="I144" s="363" t="s">
        <v>452</v>
      </c>
      <c r="J144" s="365">
        <v>2249</v>
      </c>
      <c r="L144" s="5"/>
      <c r="M144" s="5"/>
      <c r="N144" s="5"/>
      <c r="O144" s="5"/>
    </row>
    <row r="145" spans="1:15">
      <c r="A145" s="13">
        <v>6</v>
      </c>
      <c r="B145" s="366" t="s">
        <v>265</v>
      </c>
      <c r="C145" s="365">
        <v>185937</v>
      </c>
      <c r="D145" s="363" t="s">
        <v>452</v>
      </c>
      <c r="E145" s="365">
        <v>760</v>
      </c>
      <c r="G145" s="363" t="s">
        <v>245</v>
      </c>
      <c r="H145" s="365">
        <v>209376</v>
      </c>
      <c r="I145" s="363"/>
      <c r="J145" s="365"/>
      <c r="L145" s="5"/>
      <c r="M145" s="5"/>
      <c r="N145" s="5"/>
      <c r="O145" s="5"/>
    </row>
    <row r="146" spans="1:15">
      <c r="A146" s="13">
        <v>7</v>
      </c>
      <c r="B146" s="366" t="s">
        <v>9</v>
      </c>
      <c r="C146" s="365">
        <v>167091</v>
      </c>
      <c r="D146" s="363" t="s">
        <v>445</v>
      </c>
      <c r="E146" s="365">
        <v>156</v>
      </c>
      <c r="G146" s="363" t="s">
        <v>10</v>
      </c>
      <c r="H146" s="365">
        <v>191163</v>
      </c>
      <c r="I146" s="363"/>
      <c r="J146" s="365"/>
      <c r="L146" s="5"/>
      <c r="M146" s="5"/>
      <c r="N146" s="5"/>
      <c r="O146" s="5"/>
    </row>
    <row r="147" spans="1:15">
      <c r="A147" s="13">
        <v>8</v>
      </c>
      <c r="B147" s="366" t="s">
        <v>6</v>
      </c>
      <c r="C147" s="365">
        <v>147449</v>
      </c>
      <c r="D147" s="363"/>
      <c r="E147" s="365"/>
      <c r="G147" s="363" t="s">
        <v>449</v>
      </c>
      <c r="H147" s="365">
        <v>177733</v>
      </c>
      <c r="I147" s="363"/>
      <c r="J147" s="365"/>
      <c r="L147" s="5"/>
      <c r="M147" s="5"/>
      <c r="N147" s="5"/>
      <c r="O147" s="5"/>
    </row>
    <row r="148" spans="1:15">
      <c r="A148" s="13">
        <v>9</v>
      </c>
      <c r="B148" s="366" t="s">
        <v>256</v>
      </c>
      <c r="C148" s="365">
        <v>120304</v>
      </c>
      <c r="D148" s="363"/>
      <c r="E148" s="365"/>
      <c r="G148" s="363" t="s">
        <v>254</v>
      </c>
      <c r="H148" s="365">
        <v>128223</v>
      </c>
      <c r="I148" s="363"/>
      <c r="J148" s="365"/>
      <c r="L148" s="5"/>
      <c r="M148" s="5"/>
      <c r="N148" s="5"/>
      <c r="O148" s="5"/>
    </row>
    <row r="149" spans="1:15">
      <c r="A149" s="13">
        <v>10</v>
      </c>
      <c r="B149" s="366" t="s">
        <v>12</v>
      </c>
      <c r="C149" s="365">
        <v>115679</v>
      </c>
      <c r="D149" s="363"/>
      <c r="E149" s="365"/>
      <c r="G149" s="363" t="s">
        <v>9</v>
      </c>
      <c r="H149" s="365">
        <v>125847</v>
      </c>
      <c r="I149" s="363"/>
      <c r="J149" s="365"/>
      <c r="L149" s="5"/>
      <c r="M149" s="5"/>
      <c r="N149" s="5"/>
      <c r="O149" s="5"/>
    </row>
    <row r="150" spans="1:15">
      <c r="B150" s="363" t="s">
        <v>420</v>
      </c>
      <c r="C150" s="365">
        <f>C151-SUM(C139:C149)</f>
        <v>819100</v>
      </c>
      <c r="D150" s="363" t="s">
        <v>102</v>
      </c>
      <c r="E150" s="365">
        <f>E151-SUM(E140:E149)</f>
        <v>0</v>
      </c>
      <c r="G150" s="363" t="s">
        <v>420</v>
      </c>
      <c r="H150" s="365">
        <f>H151-SUM(H140:H149)</f>
        <v>893125</v>
      </c>
      <c r="I150" s="363" t="s">
        <v>102</v>
      </c>
      <c r="J150" s="365">
        <f>J151-SUM(J140:J149)</f>
        <v>0</v>
      </c>
      <c r="L150" s="5"/>
      <c r="M150" s="5"/>
      <c r="N150" s="5"/>
      <c r="O150" s="5"/>
    </row>
    <row r="151" spans="1:15">
      <c r="B151" s="363" t="s">
        <v>103</v>
      </c>
      <c r="C151" s="365">
        <v>4684134</v>
      </c>
      <c r="D151" s="363" t="s">
        <v>103</v>
      </c>
      <c r="E151" s="365">
        <v>735411</v>
      </c>
      <c r="G151" s="363" t="s">
        <v>103</v>
      </c>
      <c r="H151" s="365">
        <v>3676213</v>
      </c>
      <c r="I151" s="363" t="s">
        <v>103</v>
      </c>
      <c r="J151" s="365">
        <v>2377686</v>
      </c>
      <c r="L151" s="5"/>
      <c r="M151" s="5"/>
      <c r="N151" s="5"/>
      <c r="O151" s="5"/>
    </row>
    <row r="153" spans="1:15">
      <c r="B153" s="473" t="s">
        <v>439</v>
      </c>
      <c r="G153" s="473" t="s">
        <v>440</v>
      </c>
    </row>
    <row r="154" spans="1:15">
      <c r="B154" s="30" t="s">
        <v>98</v>
      </c>
      <c r="C154" s="361" t="s">
        <v>99</v>
      </c>
      <c r="D154" s="30" t="s">
        <v>100</v>
      </c>
      <c r="E154" s="361" t="s">
        <v>101</v>
      </c>
      <c r="G154" s="30" t="s">
        <v>98</v>
      </c>
      <c r="H154" s="361" t="s">
        <v>99</v>
      </c>
      <c r="I154" s="30" t="s">
        <v>100</v>
      </c>
      <c r="J154" s="361" t="s">
        <v>101</v>
      </c>
    </row>
    <row r="155" spans="1:15">
      <c r="A155" s="13">
        <v>1</v>
      </c>
      <c r="B155" s="363" t="s">
        <v>446</v>
      </c>
      <c r="C155" s="365">
        <v>1325782</v>
      </c>
      <c r="D155" s="363" t="s">
        <v>450</v>
      </c>
      <c r="E155" s="365">
        <v>376719</v>
      </c>
      <c r="G155" s="363" t="s">
        <v>446</v>
      </c>
      <c r="H155" s="365">
        <v>159076</v>
      </c>
      <c r="I155" s="366" t="s">
        <v>450</v>
      </c>
      <c r="J155" s="365">
        <v>157807</v>
      </c>
    </row>
    <row r="156" spans="1:15">
      <c r="A156" s="13">
        <v>2</v>
      </c>
      <c r="B156" s="363" t="s">
        <v>9</v>
      </c>
      <c r="C156" s="365">
        <v>589484</v>
      </c>
      <c r="D156" s="363" t="s">
        <v>237</v>
      </c>
      <c r="E156" s="365">
        <v>339342</v>
      </c>
      <c r="G156" s="363" t="s">
        <v>384</v>
      </c>
      <c r="H156" s="365">
        <v>24770</v>
      </c>
      <c r="I156" s="366" t="s">
        <v>237</v>
      </c>
      <c r="J156" s="365">
        <v>147166</v>
      </c>
    </row>
    <row r="157" spans="1:15">
      <c r="A157" s="13">
        <v>3</v>
      </c>
      <c r="B157" s="363" t="s">
        <v>244</v>
      </c>
      <c r="C157" s="365">
        <v>487553</v>
      </c>
      <c r="D157" s="363" t="s">
        <v>453</v>
      </c>
      <c r="E157" s="365">
        <v>269274</v>
      </c>
      <c r="G157" s="363" t="s">
        <v>275</v>
      </c>
      <c r="H157" s="365">
        <v>18118</v>
      </c>
      <c r="I157" s="363" t="s">
        <v>230</v>
      </c>
      <c r="J157" s="365">
        <v>7697</v>
      </c>
    </row>
    <row r="158" spans="1:15">
      <c r="A158" s="13">
        <v>4</v>
      </c>
      <c r="B158" s="363" t="s">
        <v>243</v>
      </c>
      <c r="C158" s="365">
        <v>477257</v>
      </c>
      <c r="D158" s="363" t="s">
        <v>244</v>
      </c>
      <c r="E158" s="365">
        <v>90561</v>
      </c>
      <c r="G158" s="363" t="s">
        <v>382</v>
      </c>
      <c r="H158" s="365">
        <v>12576</v>
      </c>
      <c r="I158" s="363" t="s">
        <v>244</v>
      </c>
      <c r="J158" s="365">
        <v>5892</v>
      </c>
    </row>
    <row r="159" spans="1:15">
      <c r="A159" s="13">
        <v>5</v>
      </c>
      <c r="B159" s="363" t="s">
        <v>255</v>
      </c>
      <c r="C159" s="365">
        <v>277541</v>
      </c>
      <c r="D159" s="363" t="s">
        <v>10</v>
      </c>
      <c r="E159" s="365">
        <v>44758</v>
      </c>
      <c r="G159" s="363" t="s">
        <v>243</v>
      </c>
      <c r="H159" s="365">
        <v>12258</v>
      </c>
      <c r="I159" s="363" t="s">
        <v>453</v>
      </c>
      <c r="J159" s="365">
        <v>3231</v>
      </c>
    </row>
    <row r="160" spans="1:15">
      <c r="A160" s="13">
        <v>6</v>
      </c>
      <c r="B160" s="363" t="s">
        <v>384</v>
      </c>
      <c r="C160" s="365">
        <v>270889</v>
      </c>
      <c r="D160" s="363" t="s">
        <v>255</v>
      </c>
      <c r="E160" s="365">
        <v>7539</v>
      </c>
      <c r="G160" s="363" t="s">
        <v>245</v>
      </c>
      <c r="H160" s="365">
        <v>11181</v>
      </c>
      <c r="I160" s="363"/>
      <c r="J160" s="365"/>
    </row>
    <row r="161" spans="1:10">
      <c r="A161" s="13">
        <v>7</v>
      </c>
      <c r="B161" s="363" t="s">
        <v>275</v>
      </c>
      <c r="C161" s="365">
        <v>209185</v>
      </c>
      <c r="D161" s="363" t="s">
        <v>454</v>
      </c>
      <c r="E161" s="365">
        <v>5796</v>
      </c>
      <c r="G161" s="363" t="s">
        <v>295</v>
      </c>
      <c r="H161" s="365">
        <v>8046</v>
      </c>
      <c r="I161" s="363"/>
      <c r="J161" s="365"/>
    </row>
    <row r="162" spans="1:10">
      <c r="A162" s="13">
        <v>8</v>
      </c>
      <c r="B162" s="363" t="s">
        <v>237</v>
      </c>
      <c r="C162" s="365">
        <v>199430</v>
      </c>
      <c r="D162" s="363" t="s">
        <v>256</v>
      </c>
      <c r="E162" s="365">
        <v>2502</v>
      </c>
      <c r="G162" s="363" t="s">
        <v>6</v>
      </c>
      <c r="H162" s="365">
        <v>7380</v>
      </c>
      <c r="I162" s="363"/>
      <c r="J162" s="365"/>
    </row>
    <row r="163" spans="1:10">
      <c r="A163" s="13">
        <v>9</v>
      </c>
      <c r="B163" s="363" t="s">
        <v>334</v>
      </c>
      <c r="C163" s="365">
        <v>192905</v>
      </c>
      <c r="D163" s="363" t="s">
        <v>445</v>
      </c>
      <c r="E163" s="365">
        <v>475</v>
      </c>
      <c r="G163" s="363" t="s">
        <v>237</v>
      </c>
      <c r="H163" s="365">
        <v>4117</v>
      </c>
      <c r="I163" s="363"/>
      <c r="J163" s="365"/>
    </row>
    <row r="164" spans="1:10">
      <c r="A164" s="13">
        <v>10</v>
      </c>
      <c r="B164" s="363" t="s">
        <v>295</v>
      </c>
      <c r="C164" s="365">
        <v>187045</v>
      </c>
      <c r="D164" s="363"/>
      <c r="E164" s="365"/>
      <c r="G164" s="363" t="s">
        <v>255</v>
      </c>
      <c r="H164" s="365">
        <v>2977</v>
      </c>
      <c r="I164" s="363"/>
      <c r="J164" s="365"/>
    </row>
    <row r="165" spans="1:10">
      <c r="B165" s="363" t="s">
        <v>441</v>
      </c>
      <c r="C165" s="365">
        <f>C166-SUM(C155:C164)</f>
        <v>1552425</v>
      </c>
      <c r="D165" s="363" t="s">
        <v>420</v>
      </c>
      <c r="E165" s="365">
        <f>E166-SUM(E155:E164)</f>
        <v>0</v>
      </c>
      <c r="G165" s="363" t="s">
        <v>102</v>
      </c>
      <c r="H165" s="365">
        <f>H166-SUM(H155:H164)</f>
        <v>10771</v>
      </c>
      <c r="I165" s="363" t="s">
        <v>102</v>
      </c>
      <c r="J165" s="365">
        <f>J166-SUM(J155:J164)</f>
        <v>0</v>
      </c>
    </row>
    <row r="166" spans="1:10">
      <c r="B166" s="363" t="s">
        <v>103</v>
      </c>
      <c r="C166" s="365">
        <v>5769496</v>
      </c>
      <c r="D166" s="363" t="s">
        <v>103</v>
      </c>
      <c r="E166" s="365">
        <v>1136966</v>
      </c>
      <c r="G166" s="363" t="s">
        <v>103</v>
      </c>
      <c r="H166" s="365">
        <v>271270</v>
      </c>
      <c r="I166" s="363" t="s">
        <v>103</v>
      </c>
      <c r="J166" s="365">
        <v>321793</v>
      </c>
    </row>
    <row r="167" spans="1:10" ht="12" customHeight="1">
      <c r="B167" s="368"/>
    </row>
    <row r="168" spans="1:10">
      <c r="B168" s="54" t="s">
        <v>442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2.625" style="59" customWidth="1"/>
    <col min="7" max="7" width="12.25" style="60" customWidth="1"/>
    <col min="8" max="9" width="12.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3.25">
      <c r="A1" s="1" t="s">
        <v>494</v>
      </c>
      <c r="B1" s="1"/>
      <c r="C1" s="57"/>
      <c r="D1" s="58"/>
      <c r="E1" s="1"/>
      <c r="F1" s="57"/>
      <c r="G1" s="58"/>
    </row>
    <row r="2" spans="1:10" ht="10.5" customHeight="1">
      <c r="G2" s="61"/>
    </row>
    <row r="3" spans="1:10">
      <c r="A3" s="62" t="s">
        <v>104</v>
      </c>
      <c r="B3" s="63"/>
      <c r="C3" s="64"/>
      <c r="D3" s="65"/>
      <c r="E3" s="63"/>
      <c r="F3" s="64"/>
      <c r="G3" s="67"/>
      <c r="H3" s="68"/>
      <c r="I3" s="68"/>
      <c r="J3" s="69"/>
    </row>
    <row r="4" spans="1:10">
      <c r="A4" s="70" t="s">
        <v>493</v>
      </c>
      <c r="B4" s="8" t="s">
        <v>478</v>
      </c>
      <c r="C4" s="71" t="s">
        <v>479</v>
      </c>
      <c r="D4" s="72" t="s">
        <v>153</v>
      </c>
      <c r="E4" s="8" t="s">
        <v>478</v>
      </c>
      <c r="F4" s="71" t="s">
        <v>479</v>
      </c>
      <c r="G4" s="74" t="s">
        <v>154</v>
      </c>
      <c r="H4" s="8" t="s">
        <v>478</v>
      </c>
      <c r="I4" s="71" t="s">
        <v>479</v>
      </c>
      <c r="J4" s="75" t="s">
        <v>154</v>
      </c>
    </row>
    <row r="5" spans="1:10">
      <c r="A5" s="14"/>
      <c r="B5" s="8" t="s">
        <v>32</v>
      </c>
      <c r="C5" s="76" t="s">
        <v>32</v>
      </c>
      <c r="D5" s="441" t="s">
        <v>1</v>
      </c>
      <c r="E5" s="77" t="s">
        <v>33</v>
      </c>
      <c r="F5" s="76" t="s">
        <v>33</v>
      </c>
      <c r="G5" s="441" t="s">
        <v>1</v>
      </c>
      <c r="H5" s="78" t="s">
        <v>105</v>
      </c>
      <c r="I5" s="79" t="s">
        <v>106</v>
      </c>
      <c r="J5" s="441" t="s">
        <v>1</v>
      </c>
    </row>
    <row r="6" spans="1:10">
      <c r="A6" s="80" t="s">
        <v>4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5</v>
      </c>
      <c r="B7" s="22">
        <f>SUM(B8:B10)</f>
        <v>46911</v>
      </c>
      <c r="C7" s="85">
        <v>47354</v>
      </c>
      <c r="D7" s="498">
        <f>IF(C7,(B7-C7)/C7,0)</f>
        <v>-9.355070321408962E-3</v>
      </c>
      <c r="E7" s="22">
        <f>SUM(E8:E10)</f>
        <v>34723047</v>
      </c>
      <c r="F7" s="85">
        <v>36429971</v>
      </c>
      <c r="G7" s="498">
        <f>IF(F7,(E7-F7)/F7,0)</f>
        <v>-4.685493710659281E-2</v>
      </c>
      <c r="H7" s="87">
        <f>IF(B7,E7/B7,0)</f>
        <v>740.18987017970198</v>
      </c>
      <c r="I7" s="546">
        <v>769.31137813067539</v>
      </c>
      <c r="J7" s="498">
        <f>IF(I7,(H7-I7)/I7,0)</f>
        <v>-3.7853993556854461E-2</v>
      </c>
    </row>
    <row r="8" spans="1:10">
      <c r="A8" s="444" t="s">
        <v>195</v>
      </c>
      <c r="B8" s="28">
        <f>整車!E8</f>
        <v>42698</v>
      </c>
      <c r="C8" s="89">
        <v>43828</v>
      </c>
      <c r="D8" s="498">
        <f t="shared" ref="D8:D67" si="0">IF(C8,(B8-C8)/C8,0)</f>
        <v>-2.5782604727571417E-2</v>
      </c>
      <c r="E8" s="27">
        <f>整車!G8</f>
        <v>28603496</v>
      </c>
      <c r="F8" s="89">
        <v>31995482</v>
      </c>
      <c r="G8" s="498">
        <f t="shared" ref="G8:G67" si="1">IF(F8,(E8-F8)/F8,0)</f>
        <v>-0.1060145304265146</v>
      </c>
      <c r="H8" s="87">
        <f t="shared" ref="H8:H10" si="2">IF(B8,E8/B8,0)</f>
        <v>669.90247786781583</v>
      </c>
      <c r="I8" s="547">
        <v>730.02377475586388</v>
      </c>
      <c r="J8" s="498">
        <f t="shared" ref="J8:J67" si="3">IF(I8,(H8-I8)/I8,0)</f>
        <v>-8.2355258783392282E-2</v>
      </c>
    </row>
    <row r="9" spans="1:10">
      <c r="A9" s="445" t="s">
        <v>6</v>
      </c>
      <c r="B9" s="28">
        <f>整車!E9</f>
        <v>4040</v>
      </c>
      <c r="C9" s="89">
        <v>2730</v>
      </c>
      <c r="D9" s="498">
        <f t="shared" si="0"/>
        <v>0.47985347985347987</v>
      </c>
      <c r="E9" s="27">
        <f>整車!G9</f>
        <v>5747268</v>
      </c>
      <c r="F9" s="89">
        <v>3540341</v>
      </c>
      <c r="G9" s="498">
        <f t="shared" si="1"/>
        <v>0.62336565884472706</v>
      </c>
      <c r="H9" s="87">
        <f t="shared" si="2"/>
        <v>1422.5910891089109</v>
      </c>
      <c r="I9" s="547">
        <v>1296.8282051282051</v>
      </c>
      <c r="J9" s="498">
        <f t="shared" si="3"/>
        <v>9.6977289268837849E-2</v>
      </c>
    </row>
    <row r="10" spans="1:10">
      <c r="A10" s="445" t="s">
        <v>7</v>
      </c>
      <c r="B10" s="28">
        <f>整車!E10</f>
        <v>173</v>
      </c>
      <c r="C10" s="89">
        <v>796</v>
      </c>
      <c r="D10" s="498">
        <f t="shared" si="0"/>
        <v>-0.78266331658291455</v>
      </c>
      <c r="E10" s="27">
        <f>整車!G10</f>
        <v>372283</v>
      </c>
      <c r="F10" s="89">
        <v>894148</v>
      </c>
      <c r="G10" s="498">
        <f t="shared" si="1"/>
        <v>-0.58364498942009602</v>
      </c>
      <c r="H10" s="87">
        <f t="shared" si="2"/>
        <v>2151.9248554913293</v>
      </c>
      <c r="I10" s="547">
        <v>1123.3015075376884</v>
      </c>
      <c r="J10" s="498">
        <f t="shared" si="3"/>
        <v>0.91571438393990501</v>
      </c>
    </row>
    <row r="11" spans="1:10">
      <c r="A11" s="30"/>
      <c r="B11" s="28"/>
      <c r="C11" s="90"/>
      <c r="D11" s="498"/>
      <c r="E11" s="27"/>
      <c r="F11" s="90"/>
      <c r="G11" s="498"/>
      <c r="H11" s="87"/>
      <c r="I11" s="548"/>
      <c r="J11" s="498"/>
    </row>
    <row r="12" spans="1:10">
      <c r="A12" s="32" t="s">
        <v>8</v>
      </c>
      <c r="B12" s="33">
        <f>SUM(B13:B39)</f>
        <v>35354</v>
      </c>
      <c r="C12" s="91">
        <v>38007</v>
      </c>
      <c r="D12" s="498">
        <f t="shared" si="0"/>
        <v>-6.9802931039019134E-2</v>
      </c>
      <c r="E12" s="33">
        <f>SUM(E13:E39)</f>
        <v>40213819</v>
      </c>
      <c r="F12" s="91">
        <v>41832788</v>
      </c>
      <c r="G12" s="498">
        <f t="shared" si="1"/>
        <v>-3.8700958683413597E-2</v>
      </c>
      <c r="H12" s="87">
        <f t="shared" ref="H12:H66" si="4">IF(B12,E12/B12,0)</f>
        <v>1137.4616450755218</v>
      </c>
      <c r="I12" s="549">
        <v>1100.6600889309864</v>
      </c>
      <c r="J12" s="498">
        <f t="shared" si="3"/>
        <v>3.3435895890691243E-2</v>
      </c>
    </row>
    <row r="13" spans="1:10">
      <c r="A13" s="444" t="s">
        <v>196</v>
      </c>
      <c r="B13" s="27">
        <f>整車!E13</f>
        <v>12372</v>
      </c>
      <c r="C13" s="89">
        <v>15199</v>
      </c>
      <c r="D13" s="498">
        <f t="shared" si="0"/>
        <v>-0.18599907888676886</v>
      </c>
      <c r="E13" s="27">
        <f>整車!G13</f>
        <v>21793008</v>
      </c>
      <c r="F13" s="89">
        <v>23076961</v>
      </c>
      <c r="G13" s="498">
        <f t="shared" si="1"/>
        <v>-5.5637871901763843E-2</v>
      </c>
      <c r="H13" s="87">
        <f t="shared" si="4"/>
        <v>1761.478176527643</v>
      </c>
      <c r="I13" s="547">
        <v>1518.3210079610501</v>
      </c>
      <c r="J13" s="498">
        <f t="shared" si="3"/>
        <v>0.16014872170749195</v>
      </c>
    </row>
    <row r="14" spans="1:10">
      <c r="A14" s="444" t="s">
        <v>197</v>
      </c>
      <c r="B14" s="27">
        <f>整車!E14</f>
        <v>7679</v>
      </c>
      <c r="C14" s="89">
        <v>6801</v>
      </c>
      <c r="D14" s="498">
        <f t="shared" si="0"/>
        <v>0.12909866196147626</v>
      </c>
      <c r="E14" s="27">
        <f>整車!G14</f>
        <v>6501027</v>
      </c>
      <c r="F14" s="89">
        <v>4281334</v>
      </c>
      <c r="G14" s="498">
        <f t="shared" si="1"/>
        <v>0.5184582655779717</v>
      </c>
      <c r="H14" s="87">
        <f t="shared" si="4"/>
        <v>846.5981247558276</v>
      </c>
      <c r="I14" s="547">
        <v>629.51536538744301</v>
      </c>
      <c r="J14" s="498">
        <f t="shared" si="3"/>
        <v>0.34484108141630238</v>
      </c>
    </row>
    <row r="15" spans="1:10">
      <c r="A15" s="445" t="s">
        <v>9</v>
      </c>
      <c r="B15" s="27">
        <f>整車!E15</f>
        <v>1180</v>
      </c>
      <c r="C15" s="89">
        <v>2039</v>
      </c>
      <c r="D15" s="498">
        <f t="shared" si="0"/>
        <v>-0.42128494359980384</v>
      </c>
      <c r="E15" s="27">
        <f>整車!G15</f>
        <v>1674120</v>
      </c>
      <c r="F15" s="89">
        <v>3401313</v>
      </c>
      <c r="G15" s="498">
        <f t="shared" si="1"/>
        <v>-0.50780184005412032</v>
      </c>
      <c r="H15" s="87">
        <f t="shared" si="4"/>
        <v>1418.7457627118645</v>
      </c>
      <c r="I15" s="547">
        <v>1668.1280039234919</v>
      </c>
      <c r="J15" s="498">
        <f t="shared" si="3"/>
        <v>-0.14949826429690777</v>
      </c>
    </row>
    <row r="16" spans="1:10">
      <c r="A16" s="444" t="s">
        <v>198</v>
      </c>
      <c r="B16" s="27">
        <f>整車!E16</f>
        <v>2149</v>
      </c>
      <c r="C16" s="89">
        <v>1545</v>
      </c>
      <c r="D16" s="498">
        <f t="shared" si="0"/>
        <v>0.39093851132686086</v>
      </c>
      <c r="E16" s="27">
        <f>整車!G16</f>
        <v>3765910</v>
      </c>
      <c r="F16" s="89">
        <v>2447174</v>
      </c>
      <c r="G16" s="498">
        <f t="shared" si="1"/>
        <v>0.5388811747754757</v>
      </c>
      <c r="H16" s="87">
        <f t="shared" si="4"/>
        <v>1752.4011167985109</v>
      </c>
      <c r="I16" s="547">
        <v>1583.9313915857606</v>
      </c>
      <c r="J16" s="498">
        <f t="shared" si="3"/>
        <v>0.10636175664407156</v>
      </c>
    </row>
    <row r="17" spans="1:10">
      <c r="A17" s="445" t="s">
        <v>10</v>
      </c>
      <c r="B17" s="27">
        <f>整車!E17</f>
        <v>1171</v>
      </c>
      <c r="C17" s="89">
        <v>1523</v>
      </c>
      <c r="D17" s="498">
        <f t="shared" si="0"/>
        <v>-0.23112278397898883</v>
      </c>
      <c r="E17" s="27">
        <f>整車!G17</f>
        <v>1654527</v>
      </c>
      <c r="F17" s="89">
        <v>2041897</v>
      </c>
      <c r="G17" s="498">
        <f t="shared" si="1"/>
        <v>-0.1897108424176146</v>
      </c>
      <c r="H17" s="87">
        <f t="shared" si="4"/>
        <v>1412.9180187873612</v>
      </c>
      <c r="I17" s="547">
        <v>1340.7071569271175</v>
      </c>
      <c r="J17" s="498">
        <f t="shared" si="3"/>
        <v>5.3860279246774577E-2</v>
      </c>
    </row>
    <row r="18" spans="1:10">
      <c r="A18" s="445" t="s">
        <v>11</v>
      </c>
      <c r="B18" s="27">
        <f>整車!E18</f>
        <v>867</v>
      </c>
      <c r="C18" s="89">
        <v>1788</v>
      </c>
      <c r="D18" s="498">
        <f t="shared" si="0"/>
        <v>-0.5151006711409396</v>
      </c>
      <c r="E18" s="27">
        <f>整車!G18</f>
        <v>1557825</v>
      </c>
      <c r="F18" s="89">
        <v>3177566</v>
      </c>
      <c r="G18" s="498">
        <f t="shared" si="1"/>
        <v>-0.50974267725674305</v>
      </c>
      <c r="H18" s="87">
        <f t="shared" si="4"/>
        <v>1796.7993079584776</v>
      </c>
      <c r="I18" s="547">
        <v>1777.1621923937359</v>
      </c>
      <c r="J18" s="498">
        <f t="shared" si="3"/>
        <v>1.1049703650453852E-2</v>
      </c>
    </row>
    <row r="19" spans="1:10">
      <c r="A19" s="444" t="s">
        <v>199</v>
      </c>
      <c r="B19" s="27">
        <f>整車!E19</f>
        <v>4251</v>
      </c>
      <c r="C19" s="89">
        <v>2530</v>
      </c>
      <c r="D19" s="498">
        <f t="shared" si="0"/>
        <v>0.68023715415019759</v>
      </c>
      <c r="E19" s="27">
        <f>整車!G19</f>
        <v>451314</v>
      </c>
      <c r="F19" s="89">
        <v>376158</v>
      </c>
      <c r="G19" s="498">
        <f t="shared" si="1"/>
        <v>0.19979902062431212</v>
      </c>
      <c r="H19" s="87">
        <f t="shared" si="4"/>
        <v>106.166549047283</v>
      </c>
      <c r="I19" s="547">
        <v>148.67905138339921</v>
      </c>
      <c r="J19" s="498">
        <f t="shared" si="3"/>
        <v>-0.28593471602458015</v>
      </c>
    </row>
    <row r="20" spans="1:10">
      <c r="A20" s="445" t="s">
        <v>200</v>
      </c>
      <c r="B20" s="27">
        <f>整車!E20</f>
        <v>0</v>
      </c>
      <c r="C20" s="89">
        <v>0</v>
      </c>
      <c r="D20" s="498">
        <f t="shared" si="0"/>
        <v>0</v>
      </c>
      <c r="E20" s="27">
        <f>整車!G20</f>
        <v>0</v>
      </c>
      <c r="F20" s="89">
        <v>0</v>
      </c>
      <c r="G20" s="498">
        <f t="shared" si="1"/>
        <v>0</v>
      </c>
      <c r="H20" s="87">
        <f t="shared" si="4"/>
        <v>0</v>
      </c>
      <c r="I20" s="547">
        <v>0</v>
      </c>
      <c r="J20" s="498">
        <f t="shared" si="3"/>
        <v>0</v>
      </c>
    </row>
    <row r="21" spans="1:10">
      <c r="A21" s="444" t="s">
        <v>201</v>
      </c>
      <c r="B21" s="27">
        <f>整車!E21</f>
        <v>5</v>
      </c>
      <c r="C21" s="89">
        <v>0</v>
      </c>
      <c r="D21" s="498">
        <f t="shared" si="0"/>
        <v>0</v>
      </c>
      <c r="E21" s="27">
        <f>整車!G21</f>
        <v>7728</v>
      </c>
      <c r="F21" s="89">
        <v>0</v>
      </c>
      <c r="G21" s="498">
        <f t="shared" si="1"/>
        <v>0</v>
      </c>
      <c r="H21" s="87">
        <f t="shared" si="4"/>
        <v>1545.6</v>
      </c>
      <c r="I21" s="547">
        <v>0</v>
      </c>
      <c r="J21" s="498">
        <f t="shared" si="3"/>
        <v>0</v>
      </c>
    </row>
    <row r="22" spans="1:10">
      <c r="A22" s="445" t="s">
        <v>13</v>
      </c>
      <c r="B22" s="27">
        <f>整車!E22</f>
        <v>0</v>
      </c>
      <c r="C22" s="89">
        <v>0</v>
      </c>
      <c r="D22" s="498">
        <f t="shared" si="0"/>
        <v>0</v>
      </c>
      <c r="E22" s="27">
        <f>整車!G22</f>
        <v>0</v>
      </c>
      <c r="F22" s="89">
        <v>0</v>
      </c>
      <c r="G22" s="498">
        <f t="shared" si="1"/>
        <v>0</v>
      </c>
      <c r="H22" s="87">
        <f t="shared" si="4"/>
        <v>0</v>
      </c>
      <c r="I22" s="547">
        <v>0</v>
      </c>
      <c r="J22" s="498">
        <f t="shared" si="3"/>
        <v>0</v>
      </c>
    </row>
    <row r="23" spans="1:10">
      <c r="A23" s="445" t="s">
        <v>14</v>
      </c>
      <c r="B23" s="27">
        <f>整車!E23</f>
        <v>0</v>
      </c>
      <c r="C23" s="89">
        <v>0</v>
      </c>
      <c r="D23" s="498">
        <f t="shared" si="0"/>
        <v>0</v>
      </c>
      <c r="E23" s="27">
        <f>整車!G23</f>
        <v>0</v>
      </c>
      <c r="F23" s="89">
        <v>0</v>
      </c>
      <c r="G23" s="498">
        <f t="shared" si="1"/>
        <v>0</v>
      </c>
      <c r="H23" s="87">
        <f t="shared" si="4"/>
        <v>0</v>
      </c>
      <c r="I23" s="547">
        <v>0</v>
      </c>
      <c r="J23" s="498">
        <f t="shared" si="3"/>
        <v>0</v>
      </c>
    </row>
    <row r="24" spans="1:10">
      <c r="A24" s="445" t="s">
        <v>15</v>
      </c>
      <c r="B24" s="27">
        <f>整車!E24</f>
        <v>0</v>
      </c>
      <c r="C24" s="89">
        <v>0</v>
      </c>
      <c r="D24" s="498">
        <f t="shared" si="0"/>
        <v>0</v>
      </c>
      <c r="E24" s="27">
        <f>整車!G24</f>
        <v>0</v>
      </c>
      <c r="F24" s="89">
        <v>0</v>
      </c>
      <c r="G24" s="498">
        <f t="shared" si="1"/>
        <v>0</v>
      </c>
      <c r="H24" s="87">
        <f t="shared" si="4"/>
        <v>0</v>
      </c>
      <c r="I24" s="547">
        <v>0</v>
      </c>
      <c r="J24" s="498">
        <f t="shared" si="3"/>
        <v>0</v>
      </c>
    </row>
    <row r="25" spans="1:10">
      <c r="A25" s="444" t="s">
        <v>202</v>
      </c>
      <c r="B25" s="27">
        <f>整車!E25</f>
        <v>1392</v>
      </c>
      <c r="C25" s="89">
        <v>437</v>
      </c>
      <c r="D25" s="498">
        <f t="shared" si="0"/>
        <v>2.1853546910755148</v>
      </c>
      <c r="E25" s="27">
        <f>整車!G25</f>
        <v>261806</v>
      </c>
      <c r="F25" s="89">
        <v>178608</v>
      </c>
      <c r="G25" s="498">
        <f t="shared" si="1"/>
        <v>0.46581340141539013</v>
      </c>
      <c r="H25" s="87">
        <f t="shared" si="4"/>
        <v>188.07902298850576</v>
      </c>
      <c r="I25" s="547">
        <v>408.71395881006868</v>
      </c>
      <c r="J25" s="498">
        <f t="shared" si="3"/>
        <v>-0.53982725832002476</v>
      </c>
    </row>
    <row r="26" spans="1:10">
      <c r="A26" s="444" t="s">
        <v>203</v>
      </c>
      <c r="B26" s="27">
        <f>整車!E26</f>
        <v>102</v>
      </c>
      <c r="C26" s="89">
        <v>0</v>
      </c>
      <c r="D26" s="498">
        <f t="shared" si="0"/>
        <v>0</v>
      </c>
      <c r="E26" s="27">
        <f>整車!G26</f>
        <v>72635</v>
      </c>
      <c r="F26" s="89">
        <v>0</v>
      </c>
      <c r="G26" s="498">
        <f t="shared" si="1"/>
        <v>0</v>
      </c>
      <c r="H26" s="87">
        <f t="shared" si="4"/>
        <v>712.10784313725492</v>
      </c>
      <c r="I26" s="547">
        <v>0</v>
      </c>
      <c r="J26" s="498">
        <f t="shared" si="3"/>
        <v>0</v>
      </c>
    </row>
    <row r="27" spans="1:10">
      <c r="A27" s="446" t="s">
        <v>204</v>
      </c>
      <c r="B27" s="27">
        <f>整車!E27</f>
        <v>1269</v>
      </c>
      <c r="C27" s="89">
        <v>2688</v>
      </c>
      <c r="D27" s="498">
        <f t="shared" si="0"/>
        <v>-0.5279017857142857</v>
      </c>
      <c r="E27" s="27">
        <f>整車!G27</f>
        <v>1364727</v>
      </c>
      <c r="F27" s="89">
        <v>1456029</v>
      </c>
      <c r="G27" s="498">
        <f t="shared" si="1"/>
        <v>-6.2706168627135864E-2</v>
      </c>
      <c r="H27" s="87">
        <f t="shared" si="4"/>
        <v>1075.4349881796691</v>
      </c>
      <c r="I27" s="547">
        <v>541.67745535714289</v>
      </c>
      <c r="J27" s="498">
        <f t="shared" si="3"/>
        <v>0.98537889576852544</v>
      </c>
    </row>
    <row r="28" spans="1:10">
      <c r="A28" s="446" t="s">
        <v>205</v>
      </c>
      <c r="B28" s="27">
        <f>整車!E28</f>
        <v>1391</v>
      </c>
      <c r="C28" s="89">
        <v>1566</v>
      </c>
      <c r="D28" s="498">
        <f t="shared" si="0"/>
        <v>-0.11174968071519796</v>
      </c>
      <c r="E28" s="27">
        <f>整車!G28</f>
        <v>390051</v>
      </c>
      <c r="F28" s="89">
        <v>586045</v>
      </c>
      <c r="G28" s="498">
        <f t="shared" si="1"/>
        <v>-0.33443506897934461</v>
      </c>
      <c r="H28" s="87">
        <f t="shared" si="4"/>
        <v>280.41049604601005</v>
      </c>
      <c r="I28" s="547">
        <v>374.23052362707534</v>
      </c>
      <c r="J28" s="498">
        <f t="shared" si="3"/>
        <v>-0.25070116320751518</v>
      </c>
    </row>
    <row r="29" spans="1:10">
      <c r="A29" s="445" t="s">
        <v>206</v>
      </c>
      <c r="B29" s="27">
        <f>整車!E29</f>
        <v>357</v>
      </c>
      <c r="C29" s="89">
        <v>778</v>
      </c>
      <c r="D29" s="498">
        <f t="shared" si="0"/>
        <v>-0.54113110539845755</v>
      </c>
      <c r="E29" s="27">
        <f>整車!G29</f>
        <v>190241</v>
      </c>
      <c r="F29" s="89">
        <v>452638</v>
      </c>
      <c r="G29" s="498">
        <f t="shared" si="1"/>
        <v>-0.57970607858818746</v>
      </c>
      <c r="H29" s="87">
        <f t="shared" si="4"/>
        <v>532.8879551820728</v>
      </c>
      <c r="I29" s="547">
        <v>581.79691516709511</v>
      </c>
      <c r="J29" s="498">
        <f t="shared" si="3"/>
        <v>-8.4065347735601856E-2</v>
      </c>
    </row>
    <row r="30" spans="1:10">
      <c r="A30" s="445" t="s">
        <v>207</v>
      </c>
      <c r="B30" s="27">
        <f>整車!E30</f>
        <v>0</v>
      </c>
      <c r="C30" s="89">
        <v>0</v>
      </c>
      <c r="D30" s="498">
        <f t="shared" si="0"/>
        <v>0</v>
      </c>
      <c r="E30" s="27">
        <f>整車!G30</f>
        <v>0</v>
      </c>
      <c r="F30" s="89">
        <v>0</v>
      </c>
      <c r="G30" s="498">
        <f t="shared" si="1"/>
        <v>0</v>
      </c>
      <c r="H30" s="87">
        <f t="shared" si="4"/>
        <v>0</v>
      </c>
      <c r="I30" s="547">
        <v>0</v>
      </c>
      <c r="J30" s="498">
        <f t="shared" si="3"/>
        <v>0</v>
      </c>
    </row>
    <row r="31" spans="1:10">
      <c r="A31" s="445" t="s">
        <v>16</v>
      </c>
      <c r="B31" s="27">
        <f>整車!E31</f>
        <v>0</v>
      </c>
      <c r="C31" s="89">
        <v>0</v>
      </c>
      <c r="D31" s="498">
        <f t="shared" si="0"/>
        <v>0</v>
      </c>
      <c r="E31" s="380">
        <f>整車!G31</f>
        <v>0</v>
      </c>
      <c r="F31" s="89">
        <v>0</v>
      </c>
      <c r="G31" s="498">
        <f t="shared" si="1"/>
        <v>0</v>
      </c>
      <c r="H31" s="87">
        <f t="shared" si="4"/>
        <v>0</v>
      </c>
      <c r="I31" s="547">
        <v>0</v>
      </c>
      <c r="J31" s="498">
        <f t="shared" si="3"/>
        <v>0</v>
      </c>
    </row>
    <row r="32" spans="1:10">
      <c r="A32" s="445" t="s">
        <v>17</v>
      </c>
      <c r="B32" s="27">
        <f>整車!E32</f>
        <v>0</v>
      </c>
      <c r="C32" s="89">
        <v>245</v>
      </c>
      <c r="D32" s="498">
        <f t="shared" si="0"/>
        <v>-1</v>
      </c>
      <c r="E32" s="27">
        <f>整車!G32</f>
        <v>0</v>
      </c>
      <c r="F32" s="89">
        <v>57583</v>
      </c>
      <c r="G32" s="498">
        <f t="shared" si="1"/>
        <v>-1</v>
      </c>
      <c r="H32" s="87">
        <f t="shared" si="4"/>
        <v>0</v>
      </c>
      <c r="I32" s="547">
        <v>235.03265306122449</v>
      </c>
      <c r="J32" s="498">
        <f t="shared" si="3"/>
        <v>-1</v>
      </c>
    </row>
    <row r="33" spans="1:10">
      <c r="A33" s="445" t="s">
        <v>208</v>
      </c>
      <c r="B33" s="27">
        <f>整車!E33</f>
        <v>677</v>
      </c>
      <c r="C33" s="89">
        <v>277</v>
      </c>
      <c r="D33" s="498">
        <f t="shared" si="0"/>
        <v>1.4440433212996391</v>
      </c>
      <c r="E33" s="27">
        <f>整車!G33</f>
        <v>330325</v>
      </c>
      <c r="F33" s="89">
        <v>91579</v>
      </c>
      <c r="G33" s="498">
        <f t="shared" si="1"/>
        <v>2.6069950534511186</v>
      </c>
      <c r="H33" s="87">
        <f t="shared" si="4"/>
        <v>487.92466765140324</v>
      </c>
      <c r="I33" s="547">
        <v>330.61010830324909</v>
      </c>
      <c r="J33" s="498">
        <f t="shared" si="3"/>
        <v>0.47583106322889202</v>
      </c>
    </row>
    <row r="34" spans="1:10">
      <c r="A34" s="445" t="s">
        <v>209</v>
      </c>
      <c r="B34" s="27">
        <f>整車!E34</f>
        <v>242</v>
      </c>
      <c r="C34" s="89">
        <v>234</v>
      </c>
      <c r="D34" s="498">
        <f t="shared" si="0"/>
        <v>3.4188034188034191E-2</v>
      </c>
      <c r="E34" s="27">
        <f>整車!G34</f>
        <v>128540</v>
      </c>
      <c r="F34" s="89">
        <v>97131</v>
      </c>
      <c r="G34" s="498">
        <f t="shared" si="1"/>
        <v>0.32336741102222771</v>
      </c>
      <c r="H34" s="87">
        <f t="shared" si="4"/>
        <v>531.15702479338847</v>
      </c>
      <c r="I34" s="547">
        <v>415.08974358974359</v>
      </c>
      <c r="J34" s="498">
        <f t="shared" si="3"/>
        <v>0.27961972801322854</v>
      </c>
    </row>
    <row r="35" spans="1:10">
      <c r="A35" s="445" t="s">
        <v>210</v>
      </c>
      <c r="B35" s="27">
        <f>整車!E35</f>
        <v>0</v>
      </c>
      <c r="C35" s="89">
        <v>101</v>
      </c>
      <c r="D35" s="498">
        <f t="shared" si="0"/>
        <v>-1</v>
      </c>
      <c r="E35" s="27">
        <f>整車!G35</f>
        <v>0</v>
      </c>
      <c r="F35" s="89">
        <v>43057</v>
      </c>
      <c r="G35" s="498">
        <f t="shared" si="1"/>
        <v>-1</v>
      </c>
      <c r="H35" s="87">
        <f t="shared" si="4"/>
        <v>0</v>
      </c>
      <c r="I35" s="547">
        <v>426.30693069306932</v>
      </c>
      <c r="J35" s="498">
        <f t="shared" si="3"/>
        <v>-1</v>
      </c>
    </row>
    <row r="36" spans="1:10">
      <c r="A36" s="445" t="s">
        <v>211</v>
      </c>
      <c r="B36" s="27">
        <f>整車!E36</f>
        <v>0</v>
      </c>
      <c r="C36" s="89">
        <v>0</v>
      </c>
      <c r="D36" s="498">
        <f t="shared" si="0"/>
        <v>0</v>
      </c>
      <c r="E36" s="27">
        <f>整車!G36</f>
        <v>0</v>
      </c>
      <c r="F36" s="89">
        <v>0</v>
      </c>
      <c r="G36" s="498">
        <f t="shared" si="1"/>
        <v>0</v>
      </c>
      <c r="H36" s="87">
        <f t="shared" si="4"/>
        <v>0</v>
      </c>
      <c r="I36" s="547">
        <v>0</v>
      </c>
      <c r="J36" s="498">
        <f t="shared" si="3"/>
        <v>0</v>
      </c>
    </row>
    <row r="37" spans="1:10">
      <c r="A37" s="445" t="s">
        <v>212</v>
      </c>
      <c r="B37" s="27">
        <f>整車!E37</f>
        <v>0</v>
      </c>
      <c r="C37" s="89">
        <v>0</v>
      </c>
      <c r="D37" s="498">
        <f t="shared" si="0"/>
        <v>0</v>
      </c>
      <c r="E37" s="27">
        <f>整車!G37</f>
        <v>0</v>
      </c>
      <c r="F37" s="89">
        <v>0</v>
      </c>
      <c r="G37" s="498">
        <f t="shared" si="1"/>
        <v>0</v>
      </c>
      <c r="H37" s="87">
        <f t="shared" si="4"/>
        <v>0</v>
      </c>
      <c r="I37" s="547">
        <v>0</v>
      </c>
      <c r="J37" s="498">
        <f t="shared" si="3"/>
        <v>0</v>
      </c>
    </row>
    <row r="38" spans="1:10">
      <c r="A38" s="445" t="s">
        <v>213</v>
      </c>
      <c r="B38" s="27">
        <f>整車!E38</f>
        <v>0</v>
      </c>
      <c r="C38" s="89">
        <v>0</v>
      </c>
      <c r="D38" s="498">
        <f t="shared" si="0"/>
        <v>0</v>
      </c>
      <c r="E38" s="27">
        <f>整車!G38</f>
        <v>0</v>
      </c>
      <c r="F38" s="89">
        <v>0</v>
      </c>
      <c r="G38" s="498">
        <f t="shared" si="1"/>
        <v>0</v>
      </c>
      <c r="H38" s="87">
        <f t="shared" si="4"/>
        <v>0</v>
      </c>
      <c r="I38" s="547">
        <v>0</v>
      </c>
      <c r="J38" s="498">
        <f t="shared" si="3"/>
        <v>0</v>
      </c>
    </row>
    <row r="39" spans="1:10">
      <c r="A39" s="445" t="s">
        <v>18</v>
      </c>
      <c r="B39" s="27">
        <f>整車!E39</f>
        <v>250</v>
      </c>
      <c r="C39" s="89">
        <v>256</v>
      </c>
      <c r="D39" s="498">
        <f t="shared" si="0"/>
        <v>-2.34375E-2</v>
      </c>
      <c r="E39" s="27">
        <f>整車!G39</f>
        <v>70035</v>
      </c>
      <c r="F39" s="89">
        <v>67715</v>
      </c>
      <c r="G39" s="498">
        <f t="shared" si="1"/>
        <v>3.4261241970021415E-2</v>
      </c>
      <c r="H39" s="87">
        <f t="shared" si="4"/>
        <v>280.14</v>
      </c>
      <c r="I39" s="547">
        <v>264.51171875</v>
      </c>
      <c r="J39" s="498">
        <f t="shared" si="3"/>
        <v>5.9083511777301874E-2</v>
      </c>
    </row>
    <row r="40" spans="1:10">
      <c r="A40" s="30"/>
      <c r="B40" s="27"/>
      <c r="C40" s="90"/>
      <c r="D40" s="498"/>
      <c r="E40" s="27"/>
      <c r="F40" s="90"/>
      <c r="G40" s="498"/>
      <c r="H40" s="87"/>
      <c r="I40" s="548"/>
      <c r="J40" s="498"/>
    </row>
    <row r="41" spans="1:10" ht="16.149999999999999" customHeight="1">
      <c r="A41" s="36" t="s">
        <v>19</v>
      </c>
      <c r="B41" s="33">
        <f>SUM(B42:B45)</f>
        <v>2471</v>
      </c>
      <c r="C41" s="91">
        <v>3338</v>
      </c>
      <c r="D41" s="498">
        <f t="shared" si="0"/>
        <v>-0.2597363690832834</v>
      </c>
      <c r="E41" s="33">
        <f>SUM(E42:E45)</f>
        <v>1911481</v>
      </c>
      <c r="F41" s="91">
        <v>2752946</v>
      </c>
      <c r="G41" s="498">
        <f t="shared" si="1"/>
        <v>-0.30565982769004552</v>
      </c>
      <c r="H41" s="87">
        <f t="shared" si="4"/>
        <v>773.56576284904895</v>
      </c>
      <c r="I41" s="549">
        <v>824.72917914919117</v>
      </c>
      <c r="J41" s="498">
        <f t="shared" si="3"/>
        <v>-6.2036626802659665E-2</v>
      </c>
    </row>
    <row r="42" spans="1:10">
      <c r="A42" s="444" t="s">
        <v>214</v>
      </c>
      <c r="B42" s="27">
        <f>整車!E42</f>
        <v>863</v>
      </c>
      <c r="C42" s="89">
        <v>1775</v>
      </c>
      <c r="D42" s="498">
        <f t="shared" si="0"/>
        <v>-0.5138028169014085</v>
      </c>
      <c r="E42" s="27">
        <f>整車!G42</f>
        <v>798939</v>
      </c>
      <c r="F42" s="89">
        <v>1603844</v>
      </c>
      <c r="G42" s="498">
        <f t="shared" si="1"/>
        <v>-0.50185990657445489</v>
      </c>
      <c r="H42" s="87">
        <f t="shared" si="4"/>
        <v>925.76940903823868</v>
      </c>
      <c r="I42" s="547">
        <v>903.57408450704224</v>
      </c>
      <c r="J42" s="498">
        <f t="shared" si="3"/>
        <v>2.4563923326005318E-2</v>
      </c>
    </row>
    <row r="43" spans="1:10">
      <c r="A43" s="444" t="s">
        <v>215</v>
      </c>
      <c r="B43" s="27">
        <f>整車!E43</f>
        <v>1608</v>
      </c>
      <c r="C43" s="89">
        <v>923</v>
      </c>
      <c r="D43" s="498">
        <f t="shared" si="0"/>
        <v>0.74214517876489705</v>
      </c>
      <c r="E43" s="27">
        <f>整車!G43</f>
        <v>1112542</v>
      </c>
      <c r="F43" s="89">
        <v>1053784</v>
      </c>
      <c r="G43" s="498">
        <f t="shared" si="1"/>
        <v>5.5759054986600672E-2</v>
      </c>
      <c r="H43" s="87">
        <f t="shared" si="4"/>
        <v>691.8793532338309</v>
      </c>
      <c r="I43" s="547">
        <v>1141.6944745395449</v>
      </c>
      <c r="J43" s="498">
        <f t="shared" si="3"/>
        <v>-0.39398904990507927</v>
      </c>
    </row>
    <row r="44" spans="1:10">
      <c r="A44" s="444" t="s">
        <v>216</v>
      </c>
      <c r="B44" s="27">
        <f>整車!E44</f>
        <v>0</v>
      </c>
      <c r="C44" s="89">
        <v>640</v>
      </c>
      <c r="D44" s="498">
        <f t="shared" si="0"/>
        <v>-1</v>
      </c>
      <c r="E44" s="27">
        <f>整車!G44</f>
        <v>0</v>
      </c>
      <c r="F44" s="89">
        <v>95318</v>
      </c>
      <c r="G44" s="498">
        <f t="shared" si="1"/>
        <v>-1</v>
      </c>
      <c r="H44" s="87">
        <f t="shared" si="4"/>
        <v>0</v>
      </c>
      <c r="I44" s="547">
        <v>148.93437499999999</v>
      </c>
      <c r="J44" s="498">
        <f t="shared" si="3"/>
        <v>-1</v>
      </c>
    </row>
    <row r="45" spans="1:10">
      <c r="A45" s="30" t="s">
        <v>20</v>
      </c>
      <c r="B45" s="27">
        <f>整車!E45</f>
        <v>0</v>
      </c>
      <c r="C45" s="89">
        <v>0</v>
      </c>
      <c r="D45" s="498">
        <f t="shared" si="0"/>
        <v>0</v>
      </c>
      <c r="E45" s="27">
        <f>整車!G45</f>
        <v>0</v>
      </c>
      <c r="F45" s="89">
        <v>0</v>
      </c>
      <c r="G45" s="498">
        <f t="shared" si="1"/>
        <v>0</v>
      </c>
      <c r="H45" s="87">
        <f t="shared" si="4"/>
        <v>0</v>
      </c>
      <c r="I45" s="547">
        <v>0</v>
      </c>
      <c r="J45" s="498">
        <f t="shared" si="3"/>
        <v>0</v>
      </c>
    </row>
    <row r="46" spans="1:10" ht="17.45" customHeight="1">
      <c r="A46" s="30"/>
      <c r="B46" s="27"/>
      <c r="C46" s="90"/>
      <c r="D46" s="498"/>
      <c r="E46" s="27"/>
      <c r="F46" s="90"/>
      <c r="G46" s="498"/>
      <c r="H46" s="87"/>
      <c r="I46" s="548"/>
      <c r="J46" s="498"/>
    </row>
    <row r="47" spans="1:10">
      <c r="A47" s="36" t="s">
        <v>21</v>
      </c>
      <c r="B47" s="33">
        <f>SUM(B48:B65)</f>
        <v>24172</v>
      </c>
      <c r="C47" s="91">
        <v>31139</v>
      </c>
      <c r="D47" s="498">
        <f t="shared" si="0"/>
        <v>-0.22373871993320274</v>
      </c>
      <c r="E47" s="33">
        <f>SUM(E48:E65)</f>
        <v>27374890</v>
      </c>
      <c r="F47" s="91">
        <v>38002968</v>
      </c>
      <c r="G47" s="498">
        <f t="shared" si="1"/>
        <v>-0.27966441989478297</v>
      </c>
      <c r="H47" s="87">
        <f t="shared" si="4"/>
        <v>1132.5041370180375</v>
      </c>
      <c r="I47" s="549">
        <v>1220.4299431580976</v>
      </c>
      <c r="J47" s="498">
        <f t="shared" si="3"/>
        <v>-7.2044943368510889E-2</v>
      </c>
    </row>
    <row r="48" spans="1:10">
      <c r="A48" s="476" t="s">
        <v>157</v>
      </c>
      <c r="B48" s="27">
        <f>整車!E48</f>
        <v>7689</v>
      </c>
      <c r="C48" s="89">
        <v>8128</v>
      </c>
      <c r="D48" s="498">
        <f>IF(C48,(B48-C48)/C48,0)</f>
        <v>-5.4010826771653545E-2</v>
      </c>
      <c r="E48" s="27">
        <f>整車!G48</f>
        <v>8952193</v>
      </c>
      <c r="F48" s="89">
        <v>8498428</v>
      </c>
      <c r="G48" s="498">
        <f t="shared" si="1"/>
        <v>5.3393992394828782E-2</v>
      </c>
      <c r="H48" s="87">
        <f t="shared" si="4"/>
        <v>1164.2857328651321</v>
      </c>
      <c r="I48" s="547">
        <v>1045.5743110236222</v>
      </c>
      <c r="J48" s="498">
        <f t="shared" si="3"/>
        <v>0.11353704905516558</v>
      </c>
    </row>
    <row r="49" spans="1:10">
      <c r="A49" s="444" t="s">
        <v>217</v>
      </c>
      <c r="B49" s="27">
        <f>整車!E49</f>
        <v>2559</v>
      </c>
      <c r="C49" s="89">
        <v>2215</v>
      </c>
      <c r="D49" s="498">
        <f>IF(C49,(B49-C49)/C49,0)</f>
        <v>0.15530474040632053</v>
      </c>
      <c r="E49" s="27">
        <f>整車!G49</f>
        <v>2606625</v>
      </c>
      <c r="F49" s="89">
        <v>2118765</v>
      </c>
      <c r="G49" s="498">
        <f t="shared" si="1"/>
        <v>0.23025677694317209</v>
      </c>
      <c r="H49" s="87">
        <f t="shared" si="4"/>
        <v>1018.6107854630715</v>
      </c>
      <c r="I49" s="547">
        <v>956.55304740406325</v>
      </c>
      <c r="J49" s="498">
        <f t="shared" si="3"/>
        <v>6.4876420839830362E-2</v>
      </c>
    </row>
    <row r="50" spans="1:10">
      <c r="A50" s="284" t="s">
        <v>218</v>
      </c>
      <c r="B50" s="27">
        <f>整車!E50</f>
        <v>424</v>
      </c>
      <c r="C50" s="89">
        <v>460</v>
      </c>
      <c r="D50" s="498">
        <f t="shared" si="0"/>
        <v>-7.8260869565217397E-2</v>
      </c>
      <c r="E50" s="27">
        <f>整車!G50</f>
        <v>341467</v>
      </c>
      <c r="F50" s="89">
        <v>329732</v>
      </c>
      <c r="G50" s="498">
        <f t="shared" si="1"/>
        <v>3.558950905583929E-2</v>
      </c>
      <c r="H50" s="87">
        <f t="shared" si="4"/>
        <v>805.34669811320759</v>
      </c>
      <c r="I50" s="547">
        <v>716.80869565217392</v>
      </c>
      <c r="J50" s="498">
        <f t="shared" si="3"/>
        <v>0.12351692020208985</v>
      </c>
    </row>
    <row r="51" spans="1:10">
      <c r="A51" s="444" t="s">
        <v>219</v>
      </c>
      <c r="B51" s="27">
        <f>整車!E51</f>
        <v>154</v>
      </c>
      <c r="C51" s="89">
        <v>206</v>
      </c>
      <c r="D51" s="498">
        <f t="shared" si="0"/>
        <v>-0.25242718446601942</v>
      </c>
      <c r="E51" s="27">
        <f>整車!G51</f>
        <v>303377</v>
      </c>
      <c r="F51" s="89">
        <v>403394</v>
      </c>
      <c r="G51" s="498">
        <f t="shared" si="1"/>
        <v>-0.2479387397928576</v>
      </c>
      <c r="H51" s="87">
        <f t="shared" si="4"/>
        <v>1969.9805194805194</v>
      </c>
      <c r="I51" s="547">
        <v>1958.2233009708739</v>
      </c>
      <c r="J51" s="498">
        <f t="shared" si="3"/>
        <v>6.0040233939696276E-3</v>
      </c>
    </row>
    <row r="52" spans="1:10">
      <c r="A52" s="445" t="s">
        <v>22</v>
      </c>
      <c r="B52" s="27">
        <f>整車!E52</f>
        <v>535</v>
      </c>
      <c r="C52" s="89">
        <v>283</v>
      </c>
      <c r="D52" s="498">
        <f t="shared" si="0"/>
        <v>0.89045936395759717</v>
      </c>
      <c r="E52" s="27">
        <f>整車!G52</f>
        <v>383524</v>
      </c>
      <c r="F52" s="89">
        <v>105768</v>
      </c>
      <c r="G52" s="498">
        <f t="shared" si="1"/>
        <v>2.6260872853793207</v>
      </c>
      <c r="H52" s="87">
        <f t="shared" si="4"/>
        <v>716.86728971962611</v>
      </c>
      <c r="I52" s="547">
        <v>373.73851590106005</v>
      </c>
      <c r="J52" s="498">
        <f t="shared" si="3"/>
        <v>0.9180985079670051</v>
      </c>
    </row>
    <row r="53" spans="1:10">
      <c r="A53" s="444" t="s">
        <v>220</v>
      </c>
      <c r="B53" s="27">
        <f>整車!E53</f>
        <v>369</v>
      </c>
      <c r="C53" s="89">
        <v>207</v>
      </c>
      <c r="D53" s="498">
        <f t="shared" si="0"/>
        <v>0.78260869565217395</v>
      </c>
      <c r="E53" s="27">
        <f>整車!G53</f>
        <v>593038</v>
      </c>
      <c r="F53" s="89">
        <v>316490</v>
      </c>
      <c r="G53" s="498">
        <f t="shared" si="1"/>
        <v>0.87379696040949162</v>
      </c>
      <c r="H53" s="87">
        <f t="shared" si="4"/>
        <v>1607.1490514905149</v>
      </c>
      <c r="I53" s="547">
        <v>1528.9371980676328</v>
      </c>
      <c r="J53" s="498">
        <f t="shared" si="3"/>
        <v>5.1154392424836777E-2</v>
      </c>
    </row>
    <row r="54" spans="1:10">
      <c r="A54" s="445" t="s">
        <v>221</v>
      </c>
      <c r="B54" s="27">
        <f>整車!E54</f>
        <v>7015</v>
      </c>
      <c r="C54" s="89">
        <v>6140</v>
      </c>
      <c r="D54" s="498">
        <f t="shared" si="0"/>
        <v>0.14250814332247558</v>
      </c>
      <c r="E54" s="27">
        <f>整車!G54</f>
        <v>6546361</v>
      </c>
      <c r="F54" s="89">
        <v>5490371</v>
      </c>
      <c r="G54" s="498">
        <f t="shared" si="1"/>
        <v>0.19233490778674156</v>
      </c>
      <c r="H54" s="87">
        <f t="shared" si="4"/>
        <v>933.19472558802568</v>
      </c>
      <c r="I54" s="547">
        <v>894.19723127035832</v>
      </c>
      <c r="J54" s="498">
        <f t="shared" si="3"/>
        <v>4.3611736822607723E-2</v>
      </c>
    </row>
    <row r="55" spans="1:10">
      <c r="A55" s="445" t="s">
        <v>23</v>
      </c>
      <c r="B55" s="27">
        <f>整車!E55</f>
        <v>793</v>
      </c>
      <c r="C55" s="89">
        <v>460</v>
      </c>
      <c r="D55" s="498">
        <f t="shared" si="0"/>
        <v>0.72391304347826091</v>
      </c>
      <c r="E55" s="27">
        <f>整車!G55</f>
        <v>559921</v>
      </c>
      <c r="F55" s="89">
        <v>345790</v>
      </c>
      <c r="G55" s="498">
        <f t="shared" si="1"/>
        <v>0.6192515688712803</v>
      </c>
      <c r="H55" s="87">
        <f t="shared" si="4"/>
        <v>706.07944514501889</v>
      </c>
      <c r="I55" s="547">
        <v>751.71739130434787</v>
      </c>
      <c r="J55" s="498">
        <f t="shared" si="3"/>
        <v>-6.071157417302793E-2</v>
      </c>
    </row>
    <row r="56" spans="1:10">
      <c r="A56" s="445" t="s">
        <v>222</v>
      </c>
      <c r="B56" s="27">
        <f>整車!E56</f>
        <v>575</v>
      </c>
      <c r="C56" s="89">
        <v>8911</v>
      </c>
      <c r="D56" s="498">
        <f t="shared" si="0"/>
        <v>-0.93547301088542256</v>
      </c>
      <c r="E56" s="27">
        <f>整車!G56</f>
        <v>1226309</v>
      </c>
      <c r="F56" s="89">
        <v>13597566</v>
      </c>
      <c r="G56" s="498">
        <f t="shared" si="1"/>
        <v>-0.90981407996107544</v>
      </c>
      <c r="H56" s="87">
        <f t="shared" si="4"/>
        <v>2132.7113043478262</v>
      </c>
      <c r="I56" s="547">
        <v>1525.9304230726068</v>
      </c>
      <c r="J56" s="498">
        <f t="shared" si="3"/>
        <v>0.39764649298583882</v>
      </c>
    </row>
    <row r="57" spans="1:10">
      <c r="A57" s="447" t="s">
        <v>223</v>
      </c>
      <c r="B57" s="27">
        <f>整車!E57</f>
        <v>1177</v>
      </c>
      <c r="C57" s="89">
        <v>1776</v>
      </c>
      <c r="D57" s="498">
        <f t="shared" si="0"/>
        <v>-0.3372747747747748</v>
      </c>
      <c r="E57" s="27">
        <f>整車!G57</f>
        <v>2198522</v>
      </c>
      <c r="F57" s="89">
        <v>3411481</v>
      </c>
      <c r="G57" s="498">
        <f t="shared" si="1"/>
        <v>-0.35555203150772346</v>
      </c>
      <c r="H57" s="87">
        <f t="shared" si="4"/>
        <v>1867.9031435853865</v>
      </c>
      <c r="I57" s="547">
        <v>1920.8789414414414</v>
      </c>
      <c r="J57" s="498">
        <f t="shared" si="3"/>
        <v>-2.7578936242750141E-2</v>
      </c>
    </row>
    <row r="58" spans="1:10">
      <c r="A58" s="445" t="s">
        <v>24</v>
      </c>
      <c r="B58" s="27">
        <f>整車!E58</f>
        <v>1150</v>
      </c>
      <c r="C58" s="89">
        <v>580</v>
      </c>
      <c r="D58" s="498">
        <f t="shared" si="0"/>
        <v>0.98275862068965514</v>
      </c>
      <c r="E58" s="27">
        <f>整車!G58</f>
        <v>1363565</v>
      </c>
      <c r="F58" s="89">
        <v>201374</v>
      </c>
      <c r="G58" s="498">
        <f t="shared" si="1"/>
        <v>5.7713061269081409</v>
      </c>
      <c r="H58" s="87">
        <f t="shared" si="4"/>
        <v>1185.7086956521739</v>
      </c>
      <c r="I58" s="547">
        <v>347.19655172413792</v>
      </c>
      <c r="J58" s="498">
        <f t="shared" si="3"/>
        <v>2.4150935248754104</v>
      </c>
    </row>
    <row r="59" spans="1:10">
      <c r="A59" s="445" t="s">
        <v>25</v>
      </c>
      <c r="B59" s="27">
        <f>整車!E59</f>
        <v>0</v>
      </c>
      <c r="C59" s="89">
        <v>0</v>
      </c>
      <c r="D59" s="498">
        <f t="shared" si="0"/>
        <v>0</v>
      </c>
      <c r="E59" s="27">
        <f>整車!G59</f>
        <v>0</v>
      </c>
      <c r="F59" s="89">
        <v>0</v>
      </c>
      <c r="G59" s="498">
        <f t="shared" si="1"/>
        <v>0</v>
      </c>
      <c r="H59" s="87">
        <f t="shared" si="4"/>
        <v>0</v>
      </c>
      <c r="I59" s="547">
        <v>0</v>
      </c>
      <c r="J59" s="498">
        <f t="shared" si="3"/>
        <v>0</v>
      </c>
    </row>
    <row r="60" spans="1:10">
      <c r="A60" s="445" t="s">
        <v>26</v>
      </c>
      <c r="B60" s="27">
        <f>整車!E60</f>
        <v>990</v>
      </c>
      <c r="C60" s="89">
        <v>611</v>
      </c>
      <c r="D60" s="498">
        <f t="shared" si="0"/>
        <v>0.62029459901800332</v>
      </c>
      <c r="E60" s="27">
        <f>整車!G60</f>
        <v>940113</v>
      </c>
      <c r="F60" s="89">
        <v>879445</v>
      </c>
      <c r="G60" s="498">
        <f t="shared" si="1"/>
        <v>6.8984416308012442E-2</v>
      </c>
      <c r="H60" s="87">
        <f t="shared" si="4"/>
        <v>949.60909090909092</v>
      </c>
      <c r="I60" s="547">
        <v>1439.353518821604</v>
      </c>
      <c r="J60" s="498">
        <f t="shared" si="3"/>
        <v>-0.34025305215737822</v>
      </c>
    </row>
    <row r="61" spans="1:10">
      <c r="A61" s="446" t="s">
        <v>224</v>
      </c>
      <c r="B61" s="27">
        <f>整車!E61</f>
        <v>290</v>
      </c>
      <c r="C61" s="89">
        <v>513</v>
      </c>
      <c r="D61" s="498">
        <f t="shared" si="0"/>
        <v>-0.43469785575048731</v>
      </c>
      <c r="E61" s="27">
        <f>整車!G61</f>
        <v>620149</v>
      </c>
      <c r="F61" s="89">
        <v>1099101</v>
      </c>
      <c r="G61" s="498">
        <f t="shared" si="1"/>
        <v>-0.43576704961600438</v>
      </c>
      <c r="H61" s="87">
        <f t="shared" si="4"/>
        <v>2138.4448275862069</v>
      </c>
      <c r="I61" s="547">
        <v>2142.4970760233919</v>
      </c>
      <c r="J61" s="498">
        <f t="shared" si="3"/>
        <v>-1.8913670793456565E-3</v>
      </c>
    </row>
    <row r="62" spans="1:10">
      <c r="A62" s="445" t="s">
        <v>27</v>
      </c>
      <c r="B62" s="27">
        <f>整車!E62</f>
        <v>250</v>
      </c>
      <c r="C62" s="89">
        <v>545</v>
      </c>
      <c r="D62" s="498">
        <f t="shared" si="0"/>
        <v>-0.54128440366972475</v>
      </c>
      <c r="E62" s="27">
        <f>整車!G62</f>
        <v>390944</v>
      </c>
      <c r="F62" s="89">
        <v>1028592</v>
      </c>
      <c r="G62" s="498">
        <f t="shared" si="1"/>
        <v>-0.61992315709241375</v>
      </c>
      <c r="H62" s="87">
        <f t="shared" si="4"/>
        <v>1563.7760000000001</v>
      </c>
      <c r="I62" s="547">
        <v>1887.3247706422019</v>
      </c>
      <c r="J62" s="498">
        <f t="shared" si="3"/>
        <v>-0.17143248246146187</v>
      </c>
    </row>
    <row r="63" spans="1:10">
      <c r="A63" s="287" t="s">
        <v>225</v>
      </c>
      <c r="B63" s="27">
        <f>整車!E63</f>
        <v>0</v>
      </c>
      <c r="C63" s="89">
        <v>0</v>
      </c>
      <c r="D63" s="498">
        <f t="shared" si="0"/>
        <v>0</v>
      </c>
      <c r="E63" s="27">
        <f>整車!G63</f>
        <v>0</v>
      </c>
      <c r="F63" s="89">
        <v>0</v>
      </c>
      <c r="G63" s="498">
        <f t="shared" si="1"/>
        <v>0</v>
      </c>
      <c r="H63" s="87">
        <f t="shared" si="4"/>
        <v>0</v>
      </c>
      <c r="I63" s="547">
        <v>0</v>
      </c>
      <c r="J63" s="498">
        <f t="shared" si="3"/>
        <v>0</v>
      </c>
    </row>
    <row r="64" spans="1:10">
      <c r="A64" s="445" t="s">
        <v>28</v>
      </c>
      <c r="B64" s="27">
        <f>整車!E64</f>
        <v>64</v>
      </c>
      <c r="C64" s="89">
        <v>22</v>
      </c>
      <c r="D64" s="498">
        <f t="shared" si="0"/>
        <v>1.9090909090909092</v>
      </c>
      <c r="E64" s="27">
        <f>整車!G64</f>
        <v>91586</v>
      </c>
      <c r="F64" s="89">
        <v>57343</v>
      </c>
      <c r="G64" s="498">
        <f t="shared" si="1"/>
        <v>0.59716094379436024</v>
      </c>
      <c r="H64" s="87">
        <f t="shared" si="4"/>
        <v>1431.03125</v>
      </c>
      <c r="I64" s="547">
        <v>2606.5</v>
      </c>
      <c r="J64" s="498">
        <f t="shared" si="3"/>
        <v>-0.45097592557068866</v>
      </c>
    </row>
    <row r="65" spans="1:10">
      <c r="A65" s="287" t="s">
        <v>226</v>
      </c>
      <c r="B65" s="27">
        <f>整車!E65</f>
        <v>138</v>
      </c>
      <c r="C65" s="89">
        <v>82</v>
      </c>
      <c r="D65" s="498">
        <f t="shared" si="0"/>
        <v>0.68292682926829273</v>
      </c>
      <c r="E65" s="27">
        <f>整車!G65</f>
        <v>257196</v>
      </c>
      <c r="F65" s="89">
        <v>119328</v>
      </c>
      <c r="G65" s="498">
        <f t="shared" si="1"/>
        <v>1.1553700724054707</v>
      </c>
      <c r="H65" s="87">
        <f t="shared" si="4"/>
        <v>1863.7391304347825</v>
      </c>
      <c r="I65" s="547">
        <v>1455.219512195122</v>
      </c>
      <c r="J65" s="498">
        <f t="shared" si="3"/>
        <v>0.28072714447281577</v>
      </c>
    </row>
    <row r="66" spans="1:10">
      <c r="A66" s="30" t="s">
        <v>29</v>
      </c>
      <c r="B66" s="27">
        <f>B67-B47-B41-B12-B7</f>
        <v>1537</v>
      </c>
      <c r="C66" s="90">
        <v>2499</v>
      </c>
      <c r="D66" s="498">
        <f t="shared" si="0"/>
        <v>-0.38495398159263705</v>
      </c>
      <c r="E66" s="27">
        <f>E67-E47-E41-E12-E7</f>
        <v>2177849</v>
      </c>
      <c r="F66" s="90">
        <v>3285420</v>
      </c>
      <c r="G66" s="498">
        <f t="shared" si="1"/>
        <v>-0.33711702004614325</v>
      </c>
      <c r="H66" s="87">
        <f t="shared" si="4"/>
        <v>1416.9479505530253</v>
      </c>
      <c r="I66" s="548">
        <v>1314.6938775510205</v>
      </c>
      <c r="J66" s="498">
        <f t="shared" si="3"/>
        <v>7.7777857452627067E-2</v>
      </c>
    </row>
    <row r="67" spans="1:10">
      <c r="A67" s="32" t="s">
        <v>398</v>
      </c>
      <c r="B67" s="33">
        <f>整車!E67</f>
        <v>110445</v>
      </c>
      <c r="C67" s="89">
        <v>122337</v>
      </c>
      <c r="D67" s="498">
        <f t="shared" si="0"/>
        <v>-9.7206895706123245E-2</v>
      </c>
      <c r="E67" s="33">
        <f>整車!G67</f>
        <v>106401086</v>
      </c>
      <c r="F67" s="89">
        <v>122304093</v>
      </c>
      <c r="G67" s="498">
        <f t="shared" si="1"/>
        <v>-0.13002841204995486</v>
      </c>
      <c r="H67" s="87">
        <f t="shared" ref="H67" si="5">E67/B67</f>
        <v>963.38526868577117</v>
      </c>
      <c r="I67" s="547">
        <v>999.73101351185664</v>
      </c>
      <c r="J67" s="498">
        <f t="shared" si="3"/>
        <v>-3.6355523970802994E-2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550"/>
      <c r="J68" s="95"/>
    </row>
    <row r="69" spans="1:10">
      <c r="A69" s="101" t="s">
        <v>148</v>
      </c>
      <c r="B69" s="102"/>
      <c r="C69" s="103"/>
      <c r="D69" s="104"/>
      <c r="E69" s="102"/>
      <c r="F69" s="103"/>
      <c r="G69" s="105"/>
      <c r="H69" s="94"/>
      <c r="I69" s="551"/>
      <c r="J69" s="95"/>
    </row>
    <row r="70" spans="1:10">
      <c r="A70" s="70" t="s">
        <v>495</v>
      </c>
      <c r="B70" s="8" t="s">
        <v>459</v>
      </c>
      <c r="C70" s="71" t="s">
        <v>464</v>
      </c>
      <c r="D70" s="72" t="s">
        <v>153</v>
      </c>
      <c r="E70" s="8" t="s">
        <v>459</v>
      </c>
      <c r="F70" s="71" t="s">
        <v>464</v>
      </c>
      <c r="G70" s="74" t="s">
        <v>154</v>
      </c>
      <c r="H70" s="8" t="s">
        <v>459</v>
      </c>
      <c r="I70" s="552" t="s">
        <v>464</v>
      </c>
      <c r="J70" s="75" t="s">
        <v>36</v>
      </c>
    </row>
    <row r="71" spans="1:10">
      <c r="A71" s="46"/>
      <c r="B71" s="106" t="s">
        <v>32</v>
      </c>
      <c r="C71" s="107" t="s">
        <v>32</v>
      </c>
      <c r="D71" s="441" t="s">
        <v>1</v>
      </c>
      <c r="E71" s="48" t="s">
        <v>33</v>
      </c>
      <c r="F71" s="107" t="s">
        <v>33</v>
      </c>
      <c r="G71" s="442" t="s">
        <v>1</v>
      </c>
      <c r="H71" s="78" t="s">
        <v>34</v>
      </c>
      <c r="I71" s="553" t="s">
        <v>492</v>
      </c>
      <c r="J71" s="441" t="s">
        <v>1</v>
      </c>
    </row>
    <row r="72" spans="1:10">
      <c r="A72" s="32" t="s">
        <v>30</v>
      </c>
      <c r="B72" s="33">
        <f>整車!E72</f>
        <v>4068</v>
      </c>
      <c r="C72" s="89">
        <v>2906</v>
      </c>
      <c r="D72" s="86">
        <f>(B72-C72)/C72</f>
        <v>0.39986235375086027</v>
      </c>
      <c r="E72" s="33">
        <f>整車!G72</f>
        <v>1019842</v>
      </c>
      <c r="F72" s="89">
        <v>1586393</v>
      </c>
      <c r="G72" s="93">
        <f>(E72-F72)/F72</f>
        <v>-0.35713155567378324</v>
      </c>
      <c r="H72" s="87">
        <f>E72/B72</f>
        <v>250.69862340216324</v>
      </c>
      <c r="I72" s="547">
        <v>545.90261527873361</v>
      </c>
      <c r="J72" s="92">
        <f>(H72-I72)/I72</f>
        <v>-0.54076310245526404</v>
      </c>
    </row>
    <row r="73" spans="1:10" ht="7.5" customHeight="1">
      <c r="A73" s="108"/>
      <c r="B73" s="109"/>
      <c r="C73" s="110"/>
      <c r="D73" s="109"/>
      <c r="E73" s="109"/>
      <c r="F73" s="110"/>
      <c r="G73" s="109"/>
      <c r="H73" s="109"/>
      <c r="I73" s="554"/>
      <c r="J73" s="109"/>
    </row>
    <row r="74" spans="1:10" s="109" customFormat="1">
      <c r="A74" s="533" t="s">
        <v>461</v>
      </c>
      <c r="B74" s="13"/>
      <c r="C74" s="59"/>
      <c r="D74" s="60"/>
      <c r="E74" s="13"/>
      <c r="F74" s="59"/>
      <c r="G74" s="60"/>
      <c r="H74" s="5"/>
      <c r="I74" s="5"/>
      <c r="J74" s="5"/>
    </row>
  </sheetData>
  <phoneticPr fontId="3" type="noConversion"/>
  <conditionalFormatting sqref="D1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G1:G4 G72:G1048576">
    <cfRule type="cellIs" dxfId="76" priority="7" operator="greaterThanOrEqual">
      <formula>0</formula>
    </cfRule>
    <cfRule type="cellIs" dxfId="75" priority="8" operator="lessThan">
      <formula>0</formula>
    </cfRule>
  </conditionalFormatting>
  <conditionalFormatting sqref="G6:J6 D6:E70 G7:H70 J7:J70">
    <cfRule type="cellIs" dxfId="74" priority="1" operator="greaterThanOrEqual">
      <formula>0</formula>
    </cfRule>
    <cfRule type="cellIs" dxfId="73" priority="2" operator="lessThan">
      <formula>0</formula>
    </cfRule>
  </conditionalFormatting>
  <conditionalFormatting sqref="J1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1" t="s">
        <v>147</v>
      </c>
      <c r="B1" s="382"/>
      <c r="C1" s="382"/>
      <c r="D1" s="382"/>
      <c r="E1" s="382"/>
      <c r="F1" s="382"/>
      <c r="G1" s="382"/>
      <c r="H1" s="382"/>
      <c r="I1" s="382"/>
      <c r="J1" s="383"/>
      <c r="K1" s="384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</row>
    <row r="2" spans="1:27">
      <c r="A2" s="385" t="s">
        <v>227</v>
      </c>
      <c r="B2" s="382"/>
      <c r="C2" s="382"/>
      <c r="D2" s="382"/>
      <c r="E2" s="382"/>
      <c r="F2" s="382"/>
      <c r="G2" s="382"/>
      <c r="H2" s="382"/>
      <c r="I2" s="382"/>
      <c r="J2" s="383"/>
      <c r="K2" s="384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</row>
    <row r="3" spans="1:27">
      <c r="A3" s="386" t="s">
        <v>116</v>
      </c>
      <c r="B3" s="382"/>
      <c r="C3" s="382"/>
      <c r="D3" s="382"/>
      <c r="E3" s="382"/>
      <c r="F3" s="382"/>
      <c r="G3" s="382"/>
      <c r="H3" s="382"/>
      <c r="I3" s="382"/>
      <c r="J3" s="383"/>
      <c r="K3" s="384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</row>
    <row r="4" spans="1:27">
      <c r="A4" s="386" t="s">
        <v>117</v>
      </c>
      <c r="B4" s="382"/>
      <c r="C4" s="382"/>
      <c r="D4" s="382"/>
      <c r="E4" s="382"/>
      <c r="F4" s="382"/>
      <c r="G4" s="382"/>
      <c r="H4" s="382"/>
      <c r="I4" s="382"/>
      <c r="J4" s="383"/>
      <c r="K4" s="384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</row>
    <row r="5" spans="1:27">
      <c r="A5" s="387" t="s">
        <v>118</v>
      </c>
      <c r="B5" s="382"/>
      <c r="C5" s="382"/>
      <c r="D5" s="382"/>
      <c r="E5" s="382"/>
      <c r="F5" s="382"/>
      <c r="G5" s="382"/>
      <c r="H5" s="382"/>
      <c r="I5" s="382"/>
      <c r="J5" s="383"/>
      <c r="K5" s="384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</row>
    <row r="6" spans="1:27">
      <c r="A6" s="388"/>
      <c r="B6" s="389" t="s">
        <v>119</v>
      </c>
      <c r="C6" s="390"/>
      <c r="D6" s="389" t="s">
        <v>120</v>
      </c>
      <c r="E6" s="390"/>
      <c r="F6" s="389" t="s">
        <v>121</v>
      </c>
      <c r="G6" s="390"/>
      <c r="H6" s="389" t="s">
        <v>122</v>
      </c>
      <c r="I6" s="390"/>
      <c r="J6" s="391" t="s">
        <v>123</v>
      </c>
      <c r="K6" s="392"/>
      <c r="L6" s="389" t="s">
        <v>124</v>
      </c>
      <c r="M6" s="390"/>
      <c r="N6" s="389" t="s">
        <v>125</v>
      </c>
      <c r="O6" s="390"/>
      <c r="P6" s="389" t="s">
        <v>126</v>
      </c>
      <c r="Q6" s="390"/>
      <c r="R6" s="389" t="s">
        <v>127</v>
      </c>
      <c r="S6" s="390"/>
      <c r="T6" s="389" t="s">
        <v>128</v>
      </c>
      <c r="U6" s="390"/>
      <c r="V6" s="389" t="s">
        <v>129</v>
      </c>
      <c r="W6" s="390"/>
      <c r="X6" s="389" t="s">
        <v>130</v>
      </c>
      <c r="Y6" s="390"/>
      <c r="Z6" s="389" t="s">
        <v>103</v>
      </c>
      <c r="AA6" s="390"/>
    </row>
    <row r="7" spans="1:27">
      <c r="A7" s="393" t="s">
        <v>131</v>
      </c>
      <c r="B7" s="394" t="s">
        <v>132</v>
      </c>
      <c r="C7" s="394" t="s">
        <v>133</v>
      </c>
      <c r="D7" s="394" t="s">
        <v>134</v>
      </c>
      <c r="E7" s="394" t="s">
        <v>135</v>
      </c>
      <c r="F7" s="394" t="s">
        <v>134</v>
      </c>
      <c r="G7" s="394" t="s">
        <v>135</v>
      </c>
      <c r="H7" s="394" t="s">
        <v>134</v>
      </c>
      <c r="I7" s="394" t="s">
        <v>135</v>
      </c>
      <c r="J7" s="395" t="s">
        <v>134</v>
      </c>
      <c r="K7" s="396" t="s">
        <v>135</v>
      </c>
      <c r="L7" s="394" t="s">
        <v>134</v>
      </c>
      <c r="M7" s="394" t="s">
        <v>135</v>
      </c>
      <c r="N7" s="394" t="s">
        <v>134</v>
      </c>
      <c r="O7" s="394" t="s">
        <v>135</v>
      </c>
      <c r="P7" s="394" t="s">
        <v>134</v>
      </c>
      <c r="Q7" s="394" t="s">
        <v>135</v>
      </c>
      <c r="R7" s="394" t="s">
        <v>134</v>
      </c>
      <c r="S7" s="394" t="s">
        <v>135</v>
      </c>
      <c r="T7" s="394" t="s">
        <v>134</v>
      </c>
      <c r="U7" s="394" t="s">
        <v>135</v>
      </c>
      <c r="V7" s="394" t="s">
        <v>134</v>
      </c>
      <c r="W7" s="394" t="s">
        <v>135</v>
      </c>
      <c r="X7" s="394" t="s">
        <v>134</v>
      </c>
      <c r="Y7" s="394" t="s">
        <v>135</v>
      </c>
      <c r="Z7" s="394" t="s">
        <v>134</v>
      </c>
      <c r="AA7" s="394" t="s">
        <v>135</v>
      </c>
    </row>
    <row r="8" spans="1:27">
      <c r="A8" s="397"/>
      <c r="B8" s="398"/>
      <c r="C8" s="398"/>
      <c r="D8" s="398"/>
      <c r="E8" s="398"/>
      <c r="F8" s="398"/>
      <c r="G8" s="398"/>
      <c r="H8" s="398"/>
      <c r="I8" s="398"/>
      <c r="J8" s="399"/>
      <c r="K8" s="400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</row>
    <row r="9" spans="1:27">
      <c r="A9" s="401" t="s">
        <v>103</v>
      </c>
      <c r="B9" s="402">
        <f t="shared" ref="B9:Y9" si="0">B11+B36+B85+B97+B102+B136+B151+B189</f>
        <v>149387</v>
      </c>
      <c r="C9" s="402">
        <f t="shared" si="0"/>
        <v>83642274</v>
      </c>
      <c r="D9" s="402">
        <f t="shared" si="0"/>
        <v>134859</v>
      </c>
      <c r="E9" s="402">
        <f t="shared" si="0"/>
        <v>77838400</v>
      </c>
      <c r="F9" s="402">
        <f t="shared" si="0"/>
        <v>116197</v>
      </c>
      <c r="G9" s="402">
        <f t="shared" si="0"/>
        <v>70981672</v>
      </c>
      <c r="H9" s="402">
        <f>H11+H36+H85+H97+H102+H136+H151+H189</f>
        <v>96180</v>
      </c>
      <c r="I9" s="402">
        <f t="shared" si="0"/>
        <v>53927495</v>
      </c>
      <c r="J9" s="403">
        <f t="shared" si="0"/>
        <v>135293</v>
      </c>
      <c r="K9" s="404">
        <f t="shared" si="0"/>
        <v>86108621</v>
      </c>
      <c r="L9" s="402">
        <f t="shared" si="0"/>
        <v>137464</v>
      </c>
      <c r="M9" s="402">
        <f t="shared" si="0"/>
        <v>97259100</v>
      </c>
      <c r="N9" s="402">
        <f t="shared" si="0"/>
        <v>135636</v>
      </c>
      <c r="O9" s="402">
        <f>O11+O36+O85+O97+O102+O136+O151+O189</f>
        <v>113137191</v>
      </c>
      <c r="P9" s="402">
        <f t="shared" ref="P9:Q9" si="1">P11+P36+P85+P97+P102+P136+P151+P189</f>
        <v>180175</v>
      </c>
      <c r="Q9" s="402">
        <f t="shared" si="1"/>
        <v>130469911</v>
      </c>
      <c r="R9" s="402">
        <f t="shared" si="0"/>
        <v>138272</v>
      </c>
      <c r="S9" s="402">
        <f t="shared" si="0"/>
        <v>91374787</v>
      </c>
      <c r="T9" s="402">
        <f t="shared" si="0"/>
        <v>158604</v>
      </c>
      <c r="U9" s="402">
        <f t="shared" si="0"/>
        <v>99046159</v>
      </c>
      <c r="V9" s="402">
        <f>V11+V36+V85+V97+V102+V136+V151+V189</f>
        <v>154200</v>
      </c>
      <c r="W9" s="402">
        <f>W11+W36+W85+W97+W102+W136+W151+W189</f>
        <v>91747985</v>
      </c>
      <c r="X9" s="402">
        <f t="shared" si="0"/>
        <v>162659</v>
      </c>
      <c r="Y9" s="402">
        <f t="shared" si="0"/>
        <v>102455347</v>
      </c>
      <c r="Z9" s="402">
        <f>SUM(B9,D9,F9,H9,J9,L9,N9,P9,R9,T9,V9,X9)</f>
        <v>1698926</v>
      </c>
      <c r="AA9" s="402">
        <f>SUM(C9,E9,G9,I9,K9,M9,O9,Q9,S9,U9,W9,Y9)</f>
        <v>1097988942</v>
      </c>
    </row>
    <row r="10" spans="1:27">
      <c r="A10" s="405"/>
      <c r="B10" s="406"/>
      <c r="C10" s="406"/>
      <c r="D10" s="406"/>
      <c r="E10" s="406"/>
      <c r="F10" s="406"/>
      <c r="G10" s="406"/>
      <c r="H10" s="406"/>
      <c r="I10" s="406"/>
      <c r="J10" s="399"/>
      <c r="K10" s="400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</row>
    <row r="11" spans="1:27">
      <c r="A11" s="407" t="s">
        <v>136</v>
      </c>
      <c r="B11" s="408">
        <f t="shared" ref="B11:Y11" si="2">SUM(B12:B34)</f>
        <v>9822</v>
      </c>
      <c r="C11" s="408">
        <f t="shared" si="2"/>
        <v>7689072</v>
      </c>
      <c r="D11" s="408">
        <f t="shared" si="2"/>
        <v>13182</v>
      </c>
      <c r="E11" s="408">
        <f t="shared" si="2"/>
        <v>9988636</v>
      </c>
      <c r="F11" s="408">
        <f t="shared" si="2"/>
        <v>12924</v>
      </c>
      <c r="G11" s="408">
        <f t="shared" si="2"/>
        <v>10303881</v>
      </c>
      <c r="H11" s="408">
        <f t="shared" si="2"/>
        <v>8794</v>
      </c>
      <c r="I11" s="408">
        <f t="shared" si="2"/>
        <v>7937732</v>
      </c>
      <c r="J11" s="409">
        <f t="shared" si="2"/>
        <v>14153</v>
      </c>
      <c r="K11" s="410">
        <f>SUM(K12:K34)</f>
        <v>9985367</v>
      </c>
      <c r="L11" s="408">
        <f t="shared" si="2"/>
        <v>13721</v>
      </c>
      <c r="M11" s="408">
        <f t="shared" si="2"/>
        <v>10777159</v>
      </c>
      <c r="N11" s="408">
        <f t="shared" si="2"/>
        <v>17223</v>
      </c>
      <c r="O11" s="408">
        <f t="shared" si="2"/>
        <v>14149868</v>
      </c>
      <c r="P11" s="408">
        <f t="shared" si="2"/>
        <v>16854</v>
      </c>
      <c r="Q11" s="408">
        <f t="shared" si="2"/>
        <v>16948467</v>
      </c>
      <c r="R11" s="408">
        <f t="shared" si="2"/>
        <v>13693</v>
      </c>
      <c r="S11" s="408">
        <f t="shared" si="2"/>
        <v>11152146</v>
      </c>
      <c r="T11" s="408">
        <f t="shared" si="2"/>
        <v>11159</v>
      </c>
      <c r="U11" s="408">
        <f t="shared" si="2"/>
        <v>10364638</v>
      </c>
      <c r="V11" s="408">
        <f>SUM(V12:V34)</f>
        <v>11101</v>
      </c>
      <c r="W11" s="408">
        <f>SUM(W12:W34)</f>
        <v>10615154</v>
      </c>
      <c r="X11" s="408">
        <f t="shared" si="2"/>
        <v>15058</v>
      </c>
      <c r="Y11" s="408">
        <f t="shared" si="2"/>
        <v>14072707</v>
      </c>
      <c r="Z11" s="408">
        <f t="shared" ref="Z11:Z34" si="3">SUM(B11,D11,F11,H11,J11,L11,N11,P11,R11,T11,V11,X11)</f>
        <v>157684</v>
      </c>
      <c r="AA11" s="408">
        <f t="shared" ref="AA11:AA34" si="4">SUM(C11,E11,G11,I11,K11,M11,O11,Q11,S11,U11,W11,Y11)</f>
        <v>133984827</v>
      </c>
    </row>
    <row r="12" spans="1:27">
      <c r="A12" s="411" t="s">
        <v>217</v>
      </c>
      <c r="B12" s="412">
        <v>6052</v>
      </c>
      <c r="C12" s="412">
        <v>4259214</v>
      </c>
      <c r="D12" s="412">
        <v>7754</v>
      </c>
      <c r="E12" s="412">
        <v>4910425</v>
      </c>
      <c r="F12" s="412">
        <v>5600</v>
      </c>
      <c r="G12" s="412">
        <v>3312180</v>
      </c>
      <c r="H12" s="412">
        <v>3341</v>
      </c>
      <c r="I12" s="412">
        <v>2434783</v>
      </c>
      <c r="J12" s="413">
        <v>6917</v>
      </c>
      <c r="K12" s="414">
        <v>3550152</v>
      </c>
      <c r="L12" s="412">
        <v>4508</v>
      </c>
      <c r="M12" s="412">
        <v>3172221</v>
      </c>
      <c r="N12" s="412">
        <v>8345</v>
      </c>
      <c r="O12" s="412">
        <v>5467381</v>
      </c>
      <c r="P12" s="412">
        <v>6542</v>
      </c>
      <c r="Q12" s="412">
        <v>5892377</v>
      </c>
      <c r="R12" s="412">
        <v>4607</v>
      </c>
      <c r="S12" s="412">
        <v>2424966</v>
      </c>
      <c r="T12" s="412">
        <v>3933</v>
      </c>
      <c r="U12" s="412">
        <v>2807435</v>
      </c>
      <c r="V12" s="412">
        <f>_xlfn.IFNA(VLOOKUP(A12,[3]進出口值表查詢結果!$C$11:$F$68,4,0),-[4]整車!$B$22)</f>
        <v>4019</v>
      </c>
      <c r="W12" s="412">
        <f>_xlfn.IFNA(VLOOKUP(A12,[3]進出口值表查詢結果!$C$11:$F$68,3,0),-[4]整車!$B$22)</f>
        <v>3259963</v>
      </c>
      <c r="X12" s="412">
        <f>_xlfn.IFNA(VLOOKUP(A12,[5]進出口值表查詢結果!$C$11:$F$68,4,0),-[4]整車!$B$22)</f>
        <v>5220</v>
      </c>
      <c r="Y12" s="412">
        <f>_xlfn.IFNA(VLOOKUP(A12,[5]進出口值表查詢結果!$C$11:$F$68,3,0),-[4]整車!$B$22)</f>
        <v>3196394</v>
      </c>
      <c r="Z12" s="406">
        <f t="shared" si="3"/>
        <v>66838</v>
      </c>
      <c r="AA12" s="406">
        <f t="shared" si="4"/>
        <v>44687491</v>
      </c>
    </row>
    <row r="13" spans="1:27">
      <c r="A13" s="411" t="s">
        <v>228</v>
      </c>
      <c r="B13" s="412">
        <v>179</v>
      </c>
      <c r="C13" s="412">
        <v>131656</v>
      </c>
      <c r="D13" s="412">
        <v>274</v>
      </c>
      <c r="E13" s="412">
        <v>366955</v>
      </c>
      <c r="F13" s="412">
        <v>379</v>
      </c>
      <c r="G13" s="412">
        <v>326020</v>
      </c>
      <c r="H13" s="412">
        <v>412</v>
      </c>
      <c r="I13" s="412">
        <v>690860</v>
      </c>
      <c r="J13" s="413">
        <v>564</v>
      </c>
      <c r="K13" s="414">
        <v>591178</v>
      </c>
      <c r="L13" s="412">
        <v>419</v>
      </c>
      <c r="M13" s="412">
        <v>628920</v>
      </c>
      <c r="N13" s="412">
        <v>900</v>
      </c>
      <c r="O13" s="412">
        <v>1147430</v>
      </c>
      <c r="P13" s="412">
        <v>1146</v>
      </c>
      <c r="Q13" s="412">
        <v>1244090</v>
      </c>
      <c r="R13" s="412">
        <v>1102</v>
      </c>
      <c r="S13" s="412">
        <v>984782</v>
      </c>
      <c r="T13" s="412">
        <v>754</v>
      </c>
      <c r="U13" s="412">
        <v>962823</v>
      </c>
      <c r="V13" s="412">
        <f>_xlfn.IFNA(VLOOKUP(A13,[3]進出口值表查詢結果!$C$11:$F$68,4,0),-[4]整車!$B$22)</f>
        <v>856</v>
      </c>
      <c r="W13" s="412">
        <f>_xlfn.IFNA(VLOOKUP(A13,[3]進出口值表查詢結果!$C$11:$F$68,3,0),-[4]整車!$B$22)</f>
        <v>955426</v>
      </c>
      <c r="X13" s="412">
        <f>_xlfn.IFNA(VLOOKUP(A13,[5]進出口值表查詢結果!$C$11:$F$68,4,0),-[4]整車!$B$22)</f>
        <v>1391</v>
      </c>
      <c r="Y13" s="412">
        <f>_xlfn.IFNA(VLOOKUP(A13,[5]進出口值表查詢結果!$C$11:$F$68,3,0),-[4]整車!$B$22)</f>
        <v>1781279</v>
      </c>
      <c r="Z13" s="406">
        <f t="shared" si="3"/>
        <v>8376</v>
      </c>
      <c r="AA13" s="406">
        <f t="shared" si="4"/>
        <v>9811419</v>
      </c>
    </row>
    <row r="14" spans="1:27">
      <c r="A14" s="448" t="s">
        <v>229</v>
      </c>
      <c r="B14" s="412">
        <v>524</v>
      </c>
      <c r="C14" s="412">
        <v>127658</v>
      </c>
      <c r="D14" s="412">
        <v>549</v>
      </c>
      <c r="E14" s="412">
        <v>126180</v>
      </c>
      <c r="F14" s="412">
        <v>710</v>
      </c>
      <c r="G14" s="412">
        <v>174742</v>
      </c>
      <c r="H14" s="412">
        <v>864</v>
      </c>
      <c r="I14" s="412">
        <v>362370</v>
      </c>
      <c r="J14" s="413">
        <v>1603</v>
      </c>
      <c r="K14" s="414">
        <v>677515</v>
      </c>
      <c r="L14" s="412">
        <v>1216</v>
      </c>
      <c r="M14" s="412">
        <v>120579</v>
      </c>
      <c r="N14" s="412">
        <v>1021</v>
      </c>
      <c r="O14" s="412">
        <v>611528</v>
      </c>
      <c r="P14" s="412">
        <v>1131</v>
      </c>
      <c r="Q14" s="412">
        <v>586618</v>
      </c>
      <c r="R14" s="412">
        <v>1515</v>
      </c>
      <c r="S14" s="412">
        <v>914097</v>
      </c>
      <c r="T14" s="412">
        <v>818</v>
      </c>
      <c r="U14" s="412">
        <v>265715</v>
      </c>
      <c r="V14" s="412">
        <f>_xlfn.IFNA(VLOOKUP(A14,[3]進出口值表查詢結果!$C$11:$F$68,4,0),-[4]整車!$B$22)</f>
        <v>695</v>
      </c>
      <c r="W14" s="412">
        <f>_xlfn.IFNA(VLOOKUP(A14,[3]進出口值表查詢結果!$C$11:$F$68,3,0),-[4]整車!$B$22)</f>
        <v>379724</v>
      </c>
      <c r="X14" s="412">
        <f>_xlfn.IFNA(VLOOKUP(A14,[5]進出口值表查詢結果!$C$11:$F$68,4,0),-[4]整車!$B$22)</f>
        <v>456</v>
      </c>
      <c r="Y14" s="412">
        <f>_xlfn.IFNA(VLOOKUP(A14,[5]進出口值表查詢結果!$C$11:$F$68,3,0),-[4]整車!$B$22)</f>
        <v>425334</v>
      </c>
      <c r="Z14" s="406">
        <f t="shared" si="3"/>
        <v>11102</v>
      </c>
      <c r="AA14" s="406">
        <f t="shared" si="4"/>
        <v>4772060</v>
      </c>
    </row>
    <row r="15" spans="1:27">
      <c r="A15" s="448" t="s">
        <v>166</v>
      </c>
      <c r="B15" s="412">
        <v>65</v>
      </c>
      <c r="C15" s="412">
        <v>102167</v>
      </c>
      <c r="D15" s="412">
        <v>153</v>
      </c>
      <c r="E15" s="412">
        <v>198502</v>
      </c>
      <c r="F15" s="412">
        <v>171</v>
      </c>
      <c r="G15" s="412">
        <v>186525</v>
      </c>
      <c r="H15" s="412">
        <v>62</v>
      </c>
      <c r="I15" s="412">
        <v>69195</v>
      </c>
      <c r="J15" s="413">
        <v>111</v>
      </c>
      <c r="K15" s="414">
        <v>71668</v>
      </c>
      <c r="L15" s="412">
        <v>156</v>
      </c>
      <c r="M15" s="412">
        <v>125402</v>
      </c>
      <c r="N15" s="412">
        <v>167</v>
      </c>
      <c r="O15" s="412">
        <v>258485</v>
      </c>
      <c r="P15" s="412">
        <v>211</v>
      </c>
      <c r="Q15" s="412">
        <v>238597</v>
      </c>
      <c r="R15" s="412">
        <v>601</v>
      </c>
      <c r="S15" s="412">
        <v>371230</v>
      </c>
      <c r="T15" s="412">
        <v>212</v>
      </c>
      <c r="U15" s="412">
        <v>237659</v>
      </c>
      <c r="V15" s="412">
        <f>_xlfn.IFNA(VLOOKUP(A15,[3]進出口值表查詢結果!$C$11:$F$68,4,0),-[4]整車!$B$22)</f>
        <v>156</v>
      </c>
      <c r="W15" s="412">
        <f>_xlfn.IFNA(VLOOKUP(A15,[3]進出口值表查詢結果!$C$11:$F$68,3,0),-[4]整車!$B$22)</f>
        <v>243778</v>
      </c>
      <c r="X15" s="412">
        <f>_xlfn.IFNA(VLOOKUP(A15,[5]進出口值表查詢結果!$C$11:$F$68,4,0),-[4]整車!$B$22)</f>
        <v>452</v>
      </c>
      <c r="Y15" s="412">
        <f>_xlfn.IFNA(VLOOKUP(A15,[5]進出口值表查詢結果!$C$11:$F$68,3,0),-[4]整車!$B$22)</f>
        <v>279986</v>
      </c>
      <c r="Z15" s="406">
        <f t="shared" si="3"/>
        <v>2517</v>
      </c>
      <c r="AA15" s="406">
        <f t="shared" si="4"/>
        <v>2383194</v>
      </c>
    </row>
    <row r="16" spans="1:27">
      <c r="A16" s="449" t="s">
        <v>172</v>
      </c>
      <c r="B16" s="412">
        <v>1307</v>
      </c>
      <c r="C16" s="412">
        <v>1817059</v>
      </c>
      <c r="D16" s="412">
        <v>1950</v>
      </c>
      <c r="E16" s="412">
        <v>2185577</v>
      </c>
      <c r="F16" s="412">
        <v>2367</v>
      </c>
      <c r="G16" s="412">
        <v>2674246</v>
      </c>
      <c r="H16" s="412">
        <v>2201</v>
      </c>
      <c r="I16" s="412">
        <v>1979400</v>
      </c>
      <c r="J16" s="413">
        <v>2682</v>
      </c>
      <c r="K16" s="414">
        <v>2461078</v>
      </c>
      <c r="L16" s="412">
        <v>2380</v>
      </c>
      <c r="M16" s="412">
        <v>2624768</v>
      </c>
      <c r="N16" s="412">
        <v>2747</v>
      </c>
      <c r="O16" s="412">
        <v>2999359</v>
      </c>
      <c r="P16" s="412">
        <v>3612</v>
      </c>
      <c r="Q16" s="412">
        <v>4516165</v>
      </c>
      <c r="R16" s="412">
        <v>2996</v>
      </c>
      <c r="S16" s="412">
        <v>3713824</v>
      </c>
      <c r="T16" s="412">
        <v>2056</v>
      </c>
      <c r="U16" s="412">
        <v>2891152</v>
      </c>
      <c r="V16" s="412">
        <f>_xlfn.IFNA(VLOOKUP(A16,[3]進出口值表查詢結果!$C$11:$F$68,4,0),-[4]整車!$B$22)</f>
        <v>1790</v>
      </c>
      <c r="W16" s="412">
        <f>_xlfn.IFNA(VLOOKUP(A16,[3]進出口值表查詢結果!$C$11:$F$68,3,0),-[4]整車!$B$22)</f>
        <v>2212342</v>
      </c>
      <c r="X16" s="412">
        <f>_xlfn.IFNA(VLOOKUP(A16,[5]進出口值表查詢結果!$C$11:$F$68,4,0),-[4]整車!$B$22)</f>
        <v>1546</v>
      </c>
      <c r="Y16" s="412">
        <f>_xlfn.IFNA(VLOOKUP(A16,[5]進出口值表查詢結果!$C$11:$F$68,3,0),-[4]整車!$B$22)</f>
        <v>1984044</v>
      </c>
      <c r="Z16" s="406">
        <f t="shared" si="3"/>
        <v>27634</v>
      </c>
      <c r="AA16" s="406">
        <f t="shared" si="4"/>
        <v>32059014</v>
      </c>
    </row>
    <row r="17" spans="1:27">
      <c r="A17" s="448" t="s">
        <v>175</v>
      </c>
      <c r="B17" s="412">
        <v>196</v>
      </c>
      <c r="C17" s="412">
        <v>159614</v>
      </c>
      <c r="D17" s="412">
        <v>25</v>
      </c>
      <c r="E17" s="412">
        <v>14125</v>
      </c>
      <c r="F17" s="412">
        <v>272</v>
      </c>
      <c r="G17" s="412">
        <v>324659</v>
      </c>
      <c r="H17" s="412">
        <v>6</v>
      </c>
      <c r="I17" s="412">
        <v>198</v>
      </c>
      <c r="J17" s="413">
        <v>392</v>
      </c>
      <c r="K17" s="414">
        <v>442301</v>
      </c>
      <c r="L17" s="412">
        <v>213</v>
      </c>
      <c r="M17" s="412">
        <v>334619</v>
      </c>
      <c r="N17" s="412">
        <v>471</v>
      </c>
      <c r="O17" s="412">
        <v>520823</v>
      </c>
      <c r="P17" s="412">
        <v>373</v>
      </c>
      <c r="Q17" s="412">
        <v>455099</v>
      </c>
      <c r="R17" s="412">
        <v>34</v>
      </c>
      <c r="S17" s="412">
        <v>38452</v>
      </c>
      <c r="T17" s="412">
        <v>10</v>
      </c>
      <c r="U17" s="412">
        <v>4200</v>
      </c>
      <c r="V17" s="412">
        <f>_xlfn.IFNA(VLOOKUP(A17,[3]進出口值表查詢結果!$C$11:$F$68,4,0),-[4]整車!$B$22)</f>
        <v>34</v>
      </c>
      <c r="W17" s="412">
        <f>_xlfn.IFNA(VLOOKUP(A17,[3]進出口值表查詢結果!$C$11:$F$68,3,0),-[4]整車!$B$22)</f>
        <v>42910</v>
      </c>
      <c r="X17" s="412">
        <f>_xlfn.IFNA(VLOOKUP(A17,[5]進出口值表查詢結果!$C$11:$F$68,4,0),-[4]整車!$B$22)</f>
        <v>823</v>
      </c>
      <c r="Y17" s="412">
        <f>_xlfn.IFNA(VLOOKUP(A17,[5]進出口值表查詢結果!$C$11:$F$68,3,0),-[4]整車!$B$22)</f>
        <v>958153</v>
      </c>
      <c r="Z17" s="406">
        <f t="shared" si="3"/>
        <v>2849</v>
      </c>
      <c r="AA17" s="406">
        <f t="shared" si="4"/>
        <v>3295153</v>
      </c>
    </row>
    <row r="18" spans="1:27">
      <c r="A18" s="448" t="s">
        <v>177</v>
      </c>
      <c r="B18" s="412">
        <v>246</v>
      </c>
      <c r="C18" s="412">
        <v>218428</v>
      </c>
      <c r="D18" s="412">
        <v>112</v>
      </c>
      <c r="E18" s="412">
        <v>127248</v>
      </c>
      <c r="F18" s="412">
        <v>145</v>
      </c>
      <c r="G18" s="412">
        <v>175938</v>
      </c>
      <c r="H18" s="412">
        <v>76</v>
      </c>
      <c r="I18" s="412">
        <v>84167</v>
      </c>
      <c r="J18" s="413">
        <v>231</v>
      </c>
      <c r="K18" s="414">
        <v>292647</v>
      </c>
      <c r="L18" s="412">
        <v>225</v>
      </c>
      <c r="M18" s="412">
        <v>233311</v>
      </c>
      <c r="N18" s="412">
        <v>442</v>
      </c>
      <c r="O18" s="412">
        <v>515923</v>
      </c>
      <c r="P18" s="412">
        <v>635</v>
      </c>
      <c r="Q18" s="412">
        <v>666047</v>
      </c>
      <c r="R18" s="412">
        <v>372</v>
      </c>
      <c r="S18" s="412">
        <v>415965</v>
      </c>
      <c r="T18" s="412">
        <v>793</v>
      </c>
      <c r="U18" s="412">
        <v>698930</v>
      </c>
      <c r="V18" s="412">
        <f>_xlfn.IFNA(VLOOKUP(A18,[3]進出口值表查詢結果!$C$11:$F$68,4,0),-[4]整車!$B$22)</f>
        <v>332</v>
      </c>
      <c r="W18" s="412">
        <f>_xlfn.IFNA(VLOOKUP(A18,[3]進出口值表查詢結果!$C$11:$F$68,3,0),-[4]整車!$B$22)</f>
        <v>417088</v>
      </c>
      <c r="X18" s="412">
        <f>_xlfn.IFNA(VLOOKUP(A18,[5]進出口值表查詢結果!$C$11:$F$68,4,0),-[4]整車!$B$22)</f>
        <v>830</v>
      </c>
      <c r="Y18" s="412">
        <f>_xlfn.IFNA(VLOOKUP(A18,[5]進出口值表查詢結果!$C$11:$F$68,3,0),-[4]整車!$B$22)</f>
        <v>1167495</v>
      </c>
      <c r="Z18" s="406">
        <f t="shared" si="3"/>
        <v>4439</v>
      </c>
      <c r="AA18" s="406">
        <f t="shared" si="4"/>
        <v>5013187</v>
      </c>
    </row>
    <row r="19" spans="1:27">
      <c r="A19" s="448" t="s">
        <v>176</v>
      </c>
      <c r="B19" s="412">
        <v>38</v>
      </c>
      <c r="C19" s="412">
        <v>34255</v>
      </c>
      <c r="D19" s="412">
        <v>114</v>
      </c>
      <c r="E19" s="412">
        <v>142072</v>
      </c>
      <c r="F19" s="412">
        <v>47</v>
      </c>
      <c r="G19" s="412">
        <v>88748</v>
      </c>
      <c r="H19" s="412">
        <v>116</v>
      </c>
      <c r="I19" s="412">
        <v>179464</v>
      </c>
      <c r="J19" s="413">
        <v>134</v>
      </c>
      <c r="K19" s="414">
        <v>160240</v>
      </c>
      <c r="L19" s="412">
        <v>114</v>
      </c>
      <c r="M19" s="412">
        <v>167091</v>
      </c>
      <c r="N19" s="412">
        <v>103</v>
      </c>
      <c r="O19" s="412">
        <v>156524</v>
      </c>
      <c r="P19" s="412">
        <v>60</v>
      </c>
      <c r="Q19" s="412">
        <v>89867</v>
      </c>
      <c r="R19" s="412">
        <v>291</v>
      </c>
      <c r="S19" s="412">
        <v>452957</v>
      </c>
      <c r="T19" s="412">
        <v>157</v>
      </c>
      <c r="U19" s="412">
        <v>198796</v>
      </c>
      <c r="V19" s="412">
        <f>_xlfn.IFNA(VLOOKUP(A19,[3]進出口值表查詢結果!$C$11:$F$68,4,0),-[4]整車!$B$22)</f>
        <v>161</v>
      </c>
      <c r="W19" s="412">
        <f>_xlfn.IFNA(VLOOKUP(A19,[3]進出口值表查詢結果!$C$11:$F$68,3,0),-[4]整車!$B$22)</f>
        <v>332513</v>
      </c>
      <c r="X19" s="412">
        <f>_xlfn.IFNA(VLOOKUP(A19,[5]進出口值表查詢結果!$C$11:$F$68,4,0),-[4]整車!$B$22)</f>
        <v>82</v>
      </c>
      <c r="Y19" s="412">
        <f>_xlfn.IFNA(VLOOKUP(A19,[5]進出口值表查詢結果!$C$11:$F$68,3,0),-[4]整車!$B$22)</f>
        <v>135445</v>
      </c>
      <c r="Z19" s="406">
        <f t="shared" si="3"/>
        <v>1417</v>
      </c>
      <c r="AA19" s="406">
        <f t="shared" si="4"/>
        <v>2137972</v>
      </c>
    </row>
    <row r="20" spans="1:27">
      <c r="A20" s="448" t="s">
        <v>231</v>
      </c>
      <c r="B20" s="412">
        <v>0</v>
      </c>
      <c r="C20" s="412">
        <v>0</v>
      </c>
      <c r="D20" s="412">
        <v>62</v>
      </c>
      <c r="E20" s="412">
        <v>80913</v>
      </c>
      <c r="F20" s="412">
        <v>0</v>
      </c>
      <c r="G20" s="412"/>
      <c r="H20" s="412">
        <v>0</v>
      </c>
      <c r="I20" s="412">
        <v>0</v>
      </c>
      <c r="J20" s="413">
        <v>14</v>
      </c>
      <c r="K20" s="414">
        <v>18143</v>
      </c>
      <c r="L20" s="412">
        <v>0</v>
      </c>
      <c r="M20" s="412">
        <v>0</v>
      </c>
      <c r="N20" s="412">
        <v>0</v>
      </c>
      <c r="O20" s="412">
        <v>0</v>
      </c>
      <c r="P20" s="412">
        <v>0</v>
      </c>
      <c r="Q20" s="412">
        <v>0</v>
      </c>
      <c r="R20" s="412">
        <v>0</v>
      </c>
      <c r="S20" s="412">
        <v>0</v>
      </c>
      <c r="T20" s="412"/>
      <c r="U20" s="412"/>
      <c r="V20" s="412">
        <f>_xlfn.IFNA(VLOOKUP(A20,[3]進出口值表查詢結果!$C$11:$F$68,4,0),-[4]整車!$B$22)</f>
        <v>0</v>
      </c>
      <c r="W20" s="412">
        <f>_xlfn.IFNA(VLOOKUP(A20,[3]進出口值表查詢結果!$C$11:$F$68,3,0),-[4]整車!$B$22)</f>
        <v>0</v>
      </c>
      <c r="X20" s="412">
        <f>_xlfn.IFNA(VLOOKUP(A20,[5]進出口值表查詢結果!$C$11:$F$68,4,0),-[4]整車!$B$22)</f>
        <v>0</v>
      </c>
      <c r="Y20" s="412">
        <f>_xlfn.IFNA(VLOOKUP(A20,[5]進出口值表查詢結果!$C$11:$F$68,3,0),-[4]整車!$B$22)</f>
        <v>0</v>
      </c>
      <c r="Z20" s="406">
        <f t="shared" si="3"/>
        <v>76</v>
      </c>
      <c r="AA20" s="406">
        <f t="shared" si="4"/>
        <v>99056</v>
      </c>
    </row>
    <row r="21" spans="1:27">
      <c r="A21" s="448" t="s">
        <v>187</v>
      </c>
      <c r="B21" s="412">
        <v>367</v>
      </c>
      <c r="C21" s="412">
        <v>213697</v>
      </c>
      <c r="D21" s="412">
        <v>458</v>
      </c>
      <c r="E21" s="412">
        <v>230710</v>
      </c>
      <c r="F21" s="412">
        <v>165</v>
      </c>
      <c r="G21" s="412">
        <v>82941</v>
      </c>
      <c r="H21" s="412">
        <v>35</v>
      </c>
      <c r="I21" s="412">
        <v>4203</v>
      </c>
      <c r="J21" s="413">
        <v>74</v>
      </c>
      <c r="K21" s="414">
        <v>16703</v>
      </c>
      <c r="L21" s="412">
        <v>938</v>
      </c>
      <c r="M21" s="412">
        <v>178622</v>
      </c>
      <c r="N21" s="412">
        <v>107</v>
      </c>
      <c r="O21" s="412">
        <v>7169</v>
      </c>
      <c r="P21" s="412">
        <v>364</v>
      </c>
      <c r="Q21" s="412">
        <v>13151</v>
      </c>
      <c r="R21" s="412">
        <v>211</v>
      </c>
      <c r="S21" s="412">
        <v>139301</v>
      </c>
      <c r="T21" s="412">
        <v>291</v>
      </c>
      <c r="U21" s="412">
        <v>151421</v>
      </c>
      <c r="V21" s="412">
        <f>_xlfn.IFNA(VLOOKUP(A21,[3]進出口值表查詢結果!$C$11:$F$68,4,0),-[4]整車!$B$22)</f>
        <v>884</v>
      </c>
      <c r="W21" s="412">
        <f>_xlfn.IFNA(VLOOKUP(A21,[3]進出口值表查詢結果!$C$11:$F$68,3,0),-[4]整車!$B$22)</f>
        <v>377477</v>
      </c>
      <c r="X21" s="412">
        <f>_xlfn.IFNA(VLOOKUP(A21,[5]進出口值表查詢結果!$C$11:$F$68,4,0),-[4]整車!$B$22)</f>
        <v>872</v>
      </c>
      <c r="Y21" s="412">
        <f>_xlfn.IFNA(VLOOKUP(A21,[5]進出口值表查詢結果!$C$11:$F$68,3,0),-[4]整車!$B$22)</f>
        <v>486108</v>
      </c>
      <c r="Z21" s="406">
        <f t="shared" si="3"/>
        <v>4766</v>
      </c>
      <c r="AA21" s="406">
        <f t="shared" si="4"/>
        <v>1901503</v>
      </c>
    </row>
    <row r="22" spans="1:27">
      <c r="A22" s="448" t="s">
        <v>232</v>
      </c>
      <c r="B22" s="412">
        <v>0</v>
      </c>
      <c r="C22" s="412">
        <v>0</v>
      </c>
      <c r="D22" s="412"/>
      <c r="E22" s="412"/>
      <c r="F22" s="412">
        <v>0</v>
      </c>
      <c r="G22" s="412"/>
      <c r="H22" s="412">
        <v>0</v>
      </c>
      <c r="I22" s="412">
        <v>0</v>
      </c>
      <c r="J22" s="413">
        <v>0</v>
      </c>
      <c r="K22" s="416" t="s">
        <v>57</v>
      </c>
      <c r="L22" s="412">
        <v>0</v>
      </c>
      <c r="M22" s="412">
        <v>0</v>
      </c>
      <c r="N22" s="412">
        <v>0</v>
      </c>
      <c r="O22" s="412">
        <v>0</v>
      </c>
      <c r="P22" s="412">
        <v>0</v>
      </c>
      <c r="Q22" s="412">
        <v>0</v>
      </c>
      <c r="R22" s="412">
        <v>0</v>
      </c>
      <c r="S22" s="412">
        <v>0</v>
      </c>
      <c r="T22" s="412"/>
      <c r="U22" s="412"/>
      <c r="V22" s="412">
        <f>_xlfn.IFNA(VLOOKUP(A22,[3]進出口值表查詢結果!$C$11:$F$68,4,0),-[4]整車!$B$22)</f>
        <v>0</v>
      </c>
      <c r="W22" s="412">
        <f>_xlfn.IFNA(VLOOKUP(A22,[3]進出口值表查詢結果!$C$11:$F$68,3,0),-[4]整車!$B$22)</f>
        <v>0</v>
      </c>
      <c r="X22" s="412">
        <f>_xlfn.IFNA(VLOOKUP(A22,[5]進出口值表查詢結果!$C$11:$F$68,4,0),-[4]整車!$B$22)</f>
        <v>0</v>
      </c>
      <c r="Y22" s="412">
        <f>_xlfn.IFNA(VLOOKUP(A22,[5]進出口值表查詢結果!$C$11:$F$68,3,0),-[4]整車!$B$22)</f>
        <v>0</v>
      </c>
      <c r="Z22" s="406">
        <f t="shared" si="3"/>
        <v>0</v>
      </c>
      <c r="AA22" s="406">
        <f t="shared" si="4"/>
        <v>0</v>
      </c>
    </row>
    <row r="23" spans="1:27">
      <c r="A23" s="448" t="s">
        <v>174</v>
      </c>
      <c r="B23" s="412">
        <v>4</v>
      </c>
      <c r="C23" s="412">
        <v>12662</v>
      </c>
      <c r="D23" s="412">
        <v>36</v>
      </c>
      <c r="E23" s="412">
        <v>33578</v>
      </c>
      <c r="F23" s="412">
        <v>0</v>
      </c>
      <c r="G23" s="412"/>
      <c r="H23" s="412">
        <v>0</v>
      </c>
      <c r="I23" s="412">
        <v>0</v>
      </c>
      <c r="J23" s="413" t="s">
        <v>57</v>
      </c>
      <c r="K23" s="416" t="s">
        <v>57</v>
      </c>
      <c r="L23" s="412">
        <v>12</v>
      </c>
      <c r="M23" s="412">
        <v>40985</v>
      </c>
      <c r="N23" s="412">
        <v>11</v>
      </c>
      <c r="O23" s="412">
        <v>18898</v>
      </c>
      <c r="P23" s="412">
        <v>15</v>
      </c>
      <c r="Q23" s="412">
        <v>18841</v>
      </c>
      <c r="R23" s="412">
        <v>0</v>
      </c>
      <c r="S23" s="412">
        <v>0</v>
      </c>
      <c r="T23" s="412">
        <v>4</v>
      </c>
      <c r="U23" s="412">
        <v>8709</v>
      </c>
      <c r="V23" s="412">
        <f>_xlfn.IFNA(VLOOKUP(A23,[3]進出口值表查詢結果!$C$11:$F$68,4,0),-[4]整車!$B$22)</f>
        <v>0</v>
      </c>
      <c r="W23" s="412">
        <f>_xlfn.IFNA(VLOOKUP(A23,[3]進出口值表查詢結果!$C$11:$F$68,3,0),-[4]整車!$B$22)</f>
        <v>0</v>
      </c>
      <c r="X23" s="412">
        <f>_xlfn.IFNA(VLOOKUP(A23,[5]進出口值表查詢結果!$C$11:$F$68,4,0),-[4]整車!$B$22)</f>
        <v>23</v>
      </c>
      <c r="Y23" s="412">
        <f>_xlfn.IFNA(VLOOKUP(A23,[5]進出口值表查詢結果!$C$11:$F$68,3,0),-[4]整車!$B$22)</f>
        <v>41742</v>
      </c>
      <c r="Z23" s="406">
        <f t="shared" si="3"/>
        <v>105</v>
      </c>
      <c r="AA23" s="406">
        <f t="shared" si="4"/>
        <v>175415</v>
      </c>
    </row>
    <row r="24" spans="1:27">
      <c r="A24" s="448" t="s">
        <v>233</v>
      </c>
      <c r="B24" s="412">
        <v>0</v>
      </c>
      <c r="C24" s="412">
        <v>0</v>
      </c>
      <c r="D24" s="412"/>
      <c r="E24" s="412"/>
      <c r="F24" s="412">
        <v>0</v>
      </c>
      <c r="G24" s="412"/>
      <c r="H24" s="412">
        <v>0</v>
      </c>
      <c r="I24" s="412">
        <v>0</v>
      </c>
      <c r="J24" s="413">
        <v>1</v>
      </c>
      <c r="K24" s="414">
        <v>2606</v>
      </c>
      <c r="L24" s="412">
        <v>0</v>
      </c>
      <c r="M24" s="406">
        <v>0</v>
      </c>
      <c r="N24" s="412">
        <v>0</v>
      </c>
      <c r="O24" s="412">
        <v>0</v>
      </c>
      <c r="P24" s="412">
        <v>0</v>
      </c>
      <c r="Q24" s="412">
        <v>0</v>
      </c>
      <c r="R24" s="412">
        <v>0</v>
      </c>
      <c r="S24" s="412">
        <v>0</v>
      </c>
      <c r="T24" s="412"/>
      <c r="U24" s="412"/>
      <c r="V24" s="412">
        <f>_xlfn.IFNA(VLOOKUP(A24,[3]進出口值表查詢結果!$C$11:$F$68,4,0),-[4]整車!$B$22)</f>
        <v>0</v>
      </c>
      <c r="W24" s="412">
        <f>_xlfn.IFNA(VLOOKUP(A24,[3]進出口值表查詢結果!$C$11:$F$68,3,0),-[4]整車!$B$22)</f>
        <v>0</v>
      </c>
      <c r="X24" s="412">
        <f>_xlfn.IFNA(VLOOKUP(A24,[5]進出口值表查詢結果!$C$11:$F$68,4,0),-[4]整車!$B$22)</f>
        <v>0</v>
      </c>
      <c r="Y24" s="412">
        <f>_xlfn.IFNA(VLOOKUP(A24,[5]進出口值表查詢結果!$C$11:$F$68,3,0),-[4]整車!$B$22)</f>
        <v>0</v>
      </c>
      <c r="Z24" s="406">
        <f t="shared" si="3"/>
        <v>1</v>
      </c>
      <c r="AA24" s="406">
        <f t="shared" si="4"/>
        <v>2606</v>
      </c>
    </row>
    <row r="25" spans="1:27">
      <c r="A25" s="448" t="s">
        <v>234</v>
      </c>
      <c r="B25" s="412">
        <v>0</v>
      </c>
      <c r="C25" s="412">
        <v>0</v>
      </c>
      <c r="D25" s="412"/>
      <c r="E25" s="412"/>
      <c r="F25" s="412">
        <v>0</v>
      </c>
      <c r="G25" s="412"/>
      <c r="H25" s="412">
        <v>0</v>
      </c>
      <c r="I25" s="412">
        <v>0</v>
      </c>
      <c r="J25" s="413" t="s">
        <v>57</v>
      </c>
      <c r="K25" s="416" t="s">
        <v>57</v>
      </c>
      <c r="L25" s="412">
        <v>0</v>
      </c>
      <c r="M25" s="412">
        <v>0</v>
      </c>
      <c r="N25" s="412">
        <v>0</v>
      </c>
      <c r="O25" s="412">
        <v>0</v>
      </c>
      <c r="P25" s="412">
        <v>0</v>
      </c>
      <c r="Q25" s="412">
        <v>0</v>
      </c>
      <c r="R25" s="412">
        <v>0</v>
      </c>
      <c r="S25" s="412">
        <v>0</v>
      </c>
      <c r="T25" s="412"/>
      <c r="U25" s="412"/>
      <c r="V25" s="412">
        <f>_xlfn.IFNA(VLOOKUP(A25,[3]進出口值表查詢結果!$C$11:$F$68,4,0),-[4]整車!$B$22)</f>
        <v>0</v>
      </c>
      <c r="W25" s="412">
        <f>_xlfn.IFNA(VLOOKUP(A25,[3]進出口值表查詢結果!$C$11:$F$68,3,0),-[4]整車!$B$22)</f>
        <v>0</v>
      </c>
      <c r="X25" s="412">
        <f>_xlfn.IFNA(VLOOKUP(A25,[5]進出口值表查詢結果!$C$11:$F$68,4,0),-[4]整車!$B$22)</f>
        <v>0</v>
      </c>
      <c r="Y25" s="412">
        <f>_xlfn.IFNA(VLOOKUP(A25,[5]進出口值表查詢結果!$C$11:$F$68,3,0),-[4]整車!$B$22)</f>
        <v>0</v>
      </c>
      <c r="Z25" s="406">
        <f t="shared" si="3"/>
        <v>0</v>
      </c>
      <c r="AA25" s="406">
        <f t="shared" si="4"/>
        <v>0</v>
      </c>
    </row>
    <row r="26" spans="1:27">
      <c r="A26" s="448" t="s">
        <v>235</v>
      </c>
      <c r="B26" s="412">
        <v>0</v>
      </c>
      <c r="C26" s="412">
        <v>0</v>
      </c>
      <c r="D26" s="412"/>
      <c r="E26" s="412"/>
      <c r="F26" s="412">
        <v>10</v>
      </c>
      <c r="G26" s="412">
        <v>9226</v>
      </c>
      <c r="H26" s="412">
        <v>0</v>
      </c>
      <c r="I26" s="412">
        <v>0</v>
      </c>
      <c r="J26" s="413" t="s">
        <v>57</v>
      </c>
      <c r="K26" s="416" t="s">
        <v>57</v>
      </c>
      <c r="L26" s="412">
        <v>2</v>
      </c>
      <c r="M26" s="412">
        <v>536</v>
      </c>
      <c r="N26" s="412">
        <v>0</v>
      </c>
      <c r="O26" s="412">
        <v>0</v>
      </c>
      <c r="P26" s="412">
        <v>34</v>
      </c>
      <c r="Q26" s="412">
        <v>17452</v>
      </c>
      <c r="R26" s="412">
        <v>0</v>
      </c>
      <c r="S26" s="412">
        <v>0</v>
      </c>
      <c r="T26" s="412">
        <v>10</v>
      </c>
      <c r="U26" s="412">
        <v>9501</v>
      </c>
      <c r="V26" s="412">
        <f>_xlfn.IFNA(VLOOKUP(A26,[3]進出口值表查詢結果!$C$11:$F$68,4,0),-[4]整車!$B$22)</f>
        <v>0</v>
      </c>
      <c r="W26" s="412">
        <f>_xlfn.IFNA(VLOOKUP(A26,[3]進出口值表查詢結果!$C$11:$F$68,3,0),-[4]整車!$B$22)</f>
        <v>0</v>
      </c>
      <c r="X26" s="412">
        <f>_xlfn.IFNA(VLOOKUP(A26,[5]進出口值表查詢結果!$C$11:$F$68,4,0),-[4]整車!$B$22)</f>
        <v>0</v>
      </c>
      <c r="Y26" s="412">
        <f>_xlfn.IFNA(VLOOKUP(A26,[5]進出口值表查詢結果!$C$11:$F$68,3,0),-[4]整車!$B$22)</f>
        <v>0</v>
      </c>
      <c r="Z26" s="406">
        <f t="shared" si="3"/>
        <v>56</v>
      </c>
      <c r="AA26" s="406">
        <f t="shared" si="4"/>
        <v>36715</v>
      </c>
    </row>
    <row r="27" spans="1:27">
      <c r="A27" s="448" t="s">
        <v>193</v>
      </c>
      <c r="B27" s="412">
        <v>12</v>
      </c>
      <c r="C27" s="412">
        <v>11363</v>
      </c>
      <c r="D27" s="412">
        <v>156</v>
      </c>
      <c r="E27" s="412">
        <v>136343</v>
      </c>
      <c r="F27" s="412">
        <v>53</v>
      </c>
      <c r="G27" s="412">
        <v>48024</v>
      </c>
      <c r="H27" s="412">
        <v>0</v>
      </c>
      <c r="I27" s="412">
        <v>0</v>
      </c>
      <c r="J27" s="413">
        <v>62</v>
      </c>
      <c r="K27" s="414">
        <v>51087</v>
      </c>
      <c r="L27" s="412">
        <v>0</v>
      </c>
      <c r="M27" s="412">
        <v>0</v>
      </c>
      <c r="N27" s="412">
        <v>53</v>
      </c>
      <c r="O27" s="412">
        <v>53415</v>
      </c>
      <c r="P27" s="412">
        <v>125</v>
      </c>
      <c r="Q27" s="412">
        <v>148830</v>
      </c>
      <c r="R27" s="412">
        <v>20</v>
      </c>
      <c r="S27" s="412">
        <v>19056</v>
      </c>
      <c r="T27" s="412">
        <v>26</v>
      </c>
      <c r="U27" s="412">
        <v>35077</v>
      </c>
      <c r="V27" s="412">
        <f>_xlfn.IFNA(VLOOKUP(A27,[3]進出口值表查詢結果!$C$11:$F$68,4,0),-[4]整車!$B$22)</f>
        <v>6</v>
      </c>
      <c r="W27" s="412">
        <f>_xlfn.IFNA(VLOOKUP(A27,[3]進出口值表查詢結果!$C$11:$F$68,3,0),-[4]整車!$B$22)</f>
        <v>6932</v>
      </c>
      <c r="X27" s="412">
        <f>_xlfn.IFNA(VLOOKUP(A27,[5]進出口值表查詢結果!$C$11:$F$68,4,0),-[4]整車!$B$22)</f>
        <v>211</v>
      </c>
      <c r="Y27" s="412">
        <f>_xlfn.IFNA(VLOOKUP(A27,[5]進出口值表查詢結果!$C$11:$F$68,3,0),-[4]整車!$B$22)</f>
        <v>156683</v>
      </c>
      <c r="Z27" s="406">
        <f t="shared" si="3"/>
        <v>724</v>
      </c>
      <c r="AA27" s="406">
        <f t="shared" si="4"/>
        <v>666810</v>
      </c>
    </row>
    <row r="28" spans="1:27">
      <c r="A28" s="448" t="s">
        <v>236</v>
      </c>
      <c r="B28" s="412">
        <v>0</v>
      </c>
      <c r="C28" s="412">
        <v>0</v>
      </c>
      <c r="D28" s="412"/>
      <c r="E28" s="412"/>
      <c r="F28" s="412">
        <v>0</v>
      </c>
      <c r="G28" s="412"/>
      <c r="H28" s="412">
        <v>0</v>
      </c>
      <c r="I28" s="412">
        <v>0</v>
      </c>
      <c r="J28" s="413" t="s">
        <v>57</v>
      </c>
      <c r="K28" s="416" t="s">
        <v>57</v>
      </c>
      <c r="L28" s="412">
        <v>0</v>
      </c>
      <c r="M28" s="412">
        <v>0</v>
      </c>
      <c r="N28" s="412">
        <v>0</v>
      </c>
      <c r="O28" s="412">
        <v>0</v>
      </c>
      <c r="P28" s="412">
        <v>0</v>
      </c>
      <c r="Q28" s="412">
        <v>0</v>
      </c>
      <c r="R28" s="412">
        <v>0</v>
      </c>
      <c r="S28" s="412">
        <v>0</v>
      </c>
      <c r="T28" s="412"/>
      <c r="U28" s="412"/>
      <c r="V28" s="412">
        <f>_xlfn.IFNA(VLOOKUP(A28,[3]進出口值表查詢結果!$C$11:$F$68,4,0),-[4]整車!$B$22)</f>
        <v>0</v>
      </c>
      <c r="W28" s="412">
        <f>_xlfn.IFNA(VLOOKUP(A28,[3]進出口值表查詢結果!$C$11:$F$68,3,0),-[4]整車!$B$22)</f>
        <v>0</v>
      </c>
      <c r="X28" s="412">
        <f>_xlfn.IFNA(VLOOKUP(A28,[5]進出口值表查詢結果!$C$11:$F$68,4,0),-[4]整車!$B$22)</f>
        <v>0</v>
      </c>
      <c r="Y28" s="412">
        <f>_xlfn.IFNA(VLOOKUP(A28,[5]進出口值表查詢結果!$C$11:$F$68,3,0),-[4]整車!$B$22)</f>
        <v>0</v>
      </c>
      <c r="Z28" s="406">
        <f t="shared" si="3"/>
        <v>0</v>
      </c>
      <c r="AA28" s="406">
        <f t="shared" si="4"/>
        <v>0</v>
      </c>
    </row>
    <row r="29" spans="1:27">
      <c r="A29" s="448" t="s">
        <v>163</v>
      </c>
      <c r="B29" s="412">
        <v>832</v>
      </c>
      <c r="C29" s="412">
        <v>601299</v>
      </c>
      <c r="D29" s="412">
        <v>1474</v>
      </c>
      <c r="E29" s="412">
        <v>1335375</v>
      </c>
      <c r="F29" s="412">
        <v>2575</v>
      </c>
      <c r="G29" s="412">
        <v>2824860</v>
      </c>
      <c r="H29" s="412">
        <v>1590</v>
      </c>
      <c r="I29" s="412">
        <v>2035410</v>
      </c>
      <c r="J29" s="413">
        <v>1368</v>
      </c>
      <c r="K29" s="416">
        <v>1650049</v>
      </c>
      <c r="L29" s="412">
        <v>3338</v>
      </c>
      <c r="M29" s="412">
        <v>3123497</v>
      </c>
      <c r="N29" s="412">
        <v>2847</v>
      </c>
      <c r="O29" s="412">
        <v>2378126</v>
      </c>
      <c r="P29" s="412">
        <v>2606</v>
      </c>
      <c r="Q29" s="412">
        <v>3061333</v>
      </c>
      <c r="R29" s="412">
        <v>1944</v>
      </c>
      <c r="S29" s="412">
        <v>1677516</v>
      </c>
      <c r="T29" s="412">
        <v>2095</v>
      </c>
      <c r="U29" s="412">
        <v>2093220</v>
      </c>
      <c r="V29" s="412">
        <f>_xlfn.IFNA(VLOOKUP(A29,[3]進出口值表查詢結果!$C$11:$F$68,4,0),-[4]整車!$B$22)</f>
        <v>2168</v>
      </c>
      <c r="W29" s="412">
        <f>_xlfn.IFNA(VLOOKUP(A29,[3]進出口值表查詢結果!$C$11:$F$68,3,0),-[4]整車!$B$22)</f>
        <v>2387001</v>
      </c>
      <c r="X29" s="412">
        <f>_xlfn.IFNA(VLOOKUP(A29,[5]進出口值表查詢結果!$C$11:$F$68,4,0),-[4]整車!$B$22)</f>
        <v>3104</v>
      </c>
      <c r="Y29" s="412">
        <f>_xlfn.IFNA(VLOOKUP(A29,[5]進出口值表查詢結果!$C$11:$F$68,3,0),-[4]整車!$B$22)</f>
        <v>3401926</v>
      </c>
      <c r="Z29" s="406">
        <f t="shared" si="3"/>
        <v>25941</v>
      </c>
      <c r="AA29" s="406">
        <f t="shared" si="4"/>
        <v>26569612</v>
      </c>
    </row>
    <row r="30" spans="1:27">
      <c r="A30" s="450" t="s">
        <v>238</v>
      </c>
      <c r="B30" s="406">
        <v>0</v>
      </c>
      <c r="C30" s="406">
        <v>0</v>
      </c>
      <c r="D30" s="406"/>
      <c r="E30" s="406"/>
      <c r="F30" s="406">
        <v>0</v>
      </c>
      <c r="G30" s="406"/>
      <c r="H30" s="406">
        <v>0</v>
      </c>
      <c r="I30" s="406">
        <v>0</v>
      </c>
      <c r="J30" s="399" t="s">
        <v>57</v>
      </c>
      <c r="K30" s="416" t="s">
        <v>57</v>
      </c>
      <c r="L30" s="406">
        <v>0</v>
      </c>
      <c r="M30" s="406">
        <v>0</v>
      </c>
      <c r="N30" s="406">
        <v>0</v>
      </c>
      <c r="O30" s="406">
        <v>0</v>
      </c>
      <c r="P30" s="406">
        <v>0</v>
      </c>
      <c r="Q30" s="406">
        <v>0</v>
      </c>
      <c r="R30" s="406">
        <v>0</v>
      </c>
      <c r="S30" s="406">
        <v>0</v>
      </c>
      <c r="T30" s="406"/>
      <c r="U30" s="406"/>
      <c r="V30" s="412">
        <f>_xlfn.IFNA(VLOOKUP(A30,[3]進出口值表查詢結果!$C$11:$F$68,4,0),-[4]整車!$B$22)</f>
        <v>0</v>
      </c>
      <c r="W30" s="412">
        <f>_xlfn.IFNA(VLOOKUP(A30,[3]進出口值表查詢結果!$C$11:$F$68,3,0),-[4]整車!$B$22)</f>
        <v>0</v>
      </c>
      <c r="X30" s="412">
        <f>_xlfn.IFNA(VLOOKUP(A30,[5]進出口值表查詢結果!$C$11:$F$68,4,0),-[4]整車!$B$22)</f>
        <v>0</v>
      </c>
      <c r="Y30" s="412">
        <f>_xlfn.IFNA(VLOOKUP(A30,[5]進出口值表查詢結果!$C$11:$F$68,3,0),-[4]整車!$B$22)</f>
        <v>0</v>
      </c>
      <c r="Z30" s="406">
        <f t="shared" si="3"/>
        <v>0</v>
      </c>
      <c r="AA30" s="406">
        <f t="shared" si="4"/>
        <v>0</v>
      </c>
    </row>
    <row r="31" spans="1:27">
      <c r="A31" s="448" t="s">
        <v>239</v>
      </c>
      <c r="B31" s="406">
        <v>0</v>
      </c>
      <c r="C31" s="406">
        <v>0</v>
      </c>
      <c r="D31" s="412"/>
      <c r="E31" s="412"/>
      <c r="F31" s="412">
        <v>0</v>
      </c>
      <c r="G31" s="412"/>
      <c r="H31" s="412">
        <v>0</v>
      </c>
      <c r="I31" s="412">
        <v>0</v>
      </c>
      <c r="J31" s="413"/>
      <c r="K31" s="416" t="s">
        <v>57</v>
      </c>
      <c r="L31" s="412">
        <v>0</v>
      </c>
      <c r="M31" s="412">
        <v>0</v>
      </c>
      <c r="N31" s="412">
        <v>0</v>
      </c>
      <c r="O31" s="412">
        <v>0</v>
      </c>
      <c r="P31" s="406">
        <v>0</v>
      </c>
      <c r="Q31" s="406">
        <v>0</v>
      </c>
      <c r="R31" s="406">
        <v>0</v>
      </c>
      <c r="S31" s="406">
        <v>0</v>
      </c>
      <c r="T31" s="412"/>
      <c r="U31" s="412"/>
      <c r="V31" s="412">
        <f>_xlfn.IFNA(VLOOKUP(A31,[3]進出口值表查詢結果!$C$11:$F$68,4,0),-[4]整車!$B$22)</f>
        <v>0</v>
      </c>
      <c r="W31" s="412">
        <f>_xlfn.IFNA(VLOOKUP(A31,[3]進出口值表查詢結果!$C$11:$F$68,3,0),-[4]整車!$B$22)</f>
        <v>0</v>
      </c>
      <c r="X31" s="412">
        <f>_xlfn.IFNA(VLOOKUP(A31,[5]進出口值表查詢結果!$C$11:$F$68,4,0),-[4]整車!$B$22)</f>
        <v>0</v>
      </c>
      <c r="Y31" s="412">
        <f>_xlfn.IFNA(VLOOKUP(A31,[5]進出口值表查詢結果!$C$11:$F$68,3,0),-[4]整車!$B$22)</f>
        <v>0</v>
      </c>
      <c r="Z31" s="406">
        <f t="shared" si="3"/>
        <v>0</v>
      </c>
      <c r="AA31" s="406">
        <f t="shared" si="4"/>
        <v>0</v>
      </c>
    </row>
    <row r="32" spans="1:27">
      <c r="A32" s="448" t="s">
        <v>240</v>
      </c>
      <c r="B32" s="406">
        <v>0</v>
      </c>
      <c r="C32" s="406">
        <v>0</v>
      </c>
      <c r="D32" s="412"/>
      <c r="E32" s="412"/>
      <c r="F32" s="412">
        <v>0</v>
      </c>
      <c r="G32" s="412"/>
      <c r="H32" s="412">
        <v>2</v>
      </c>
      <c r="I32" s="412">
        <v>3147</v>
      </c>
      <c r="J32" s="413" t="s">
        <v>57</v>
      </c>
      <c r="K32" s="416" t="s">
        <v>57</v>
      </c>
      <c r="L32" s="412">
        <v>0</v>
      </c>
      <c r="M32" s="412">
        <v>0</v>
      </c>
      <c r="N32" s="412">
        <v>9</v>
      </c>
      <c r="O32" s="412">
        <v>14807</v>
      </c>
      <c r="P32" s="406">
        <v>0</v>
      </c>
      <c r="Q32" s="406">
        <v>0</v>
      </c>
      <c r="R32" s="406">
        <v>0</v>
      </c>
      <c r="S32" s="406">
        <v>0</v>
      </c>
      <c r="T32" s="412"/>
      <c r="U32" s="412"/>
      <c r="V32" s="412">
        <f>_xlfn.IFNA(VLOOKUP(A32,[3]進出口值表查詢結果!$C$11:$F$68,4,0),-[4]整車!$B$22)</f>
        <v>0</v>
      </c>
      <c r="W32" s="412">
        <f>_xlfn.IFNA(VLOOKUP(A32,[3]進出口值表查詢結果!$C$11:$F$68,3,0),-[4]整車!$B$22)</f>
        <v>0</v>
      </c>
      <c r="X32" s="412">
        <f>_xlfn.IFNA(VLOOKUP(A32,[5]進出口值表查詢結果!$C$11:$F$68,4,0),-[4]整車!$B$22)</f>
        <v>12</v>
      </c>
      <c r="Y32" s="412">
        <f>_xlfn.IFNA(VLOOKUP(A32,[5]進出口值表查詢結果!$C$11:$F$68,3,0),-[4]整車!$B$22)</f>
        <v>16410</v>
      </c>
      <c r="Z32" s="406">
        <f t="shared" si="3"/>
        <v>23</v>
      </c>
      <c r="AA32" s="406">
        <f t="shared" si="4"/>
        <v>34364</v>
      </c>
    </row>
    <row r="33" spans="1:27">
      <c r="A33" s="448" t="s">
        <v>241</v>
      </c>
      <c r="B33" s="406">
        <v>0</v>
      </c>
      <c r="C33" s="406">
        <v>0</v>
      </c>
      <c r="D33" s="412">
        <v>65</v>
      </c>
      <c r="E33" s="412">
        <v>100633</v>
      </c>
      <c r="F33" s="406">
        <v>430</v>
      </c>
      <c r="G33" s="412">
        <v>75772</v>
      </c>
      <c r="H33" s="412">
        <v>89</v>
      </c>
      <c r="I33" s="412">
        <v>94535</v>
      </c>
      <c r="J33" s="413" t="s">
        <v>57</v>
      </c>
      <c r="K33" s="416" t="s">
        <v>57</v>
      </c>
      <c r="L33" s="412">
        <v>0</v>
      </c>
      <c r="M33" s="412">
        <v>0</v>
      </c>
      <c r="N33" s="412">
        <v>0</v>
      </c>
      <c r="O33" s="412">
        <v>0</v>
      </c>
      <c r="P33" s="406">
        <v>0</v>
      </c>
      <c r="Q33" s="406">
        <v>0</v>
      </c>
      <c r="R33" s="406">
        <v>0</v>
      </c>
      <c r="S33" s="406">
        <v>0</v>
      </c>
      <c r="T33" s="412"/>
      <c r="U33" s="412"/>
      <c r="V33" s="412">
        <f>_xlfn.IFNA(VLOOKUP(A33,[3]進出口值表查詢結果!$C$11:$F$68,4,0),-[4]整車!$B$22)</f>
        <v>0</v>
      </c>
      <c r="W33" s="412">
        <f>_xlfn.IFNA(VLOOKUP(A33,[3]進出口值表查詢結果!$C$11:$F$68,3,0),-[4]整車!$B$22)</f>
        <v>0</v>
      </c>
      <c r="X33" s="412">
        <f>_xlfn.IFNA(VLOOKUP(A33,[5]進出口值表查詢結果!$C$11:$F$68,4,0),-[4]整車!$B$22)</f>
        <v>36</v>
      </c>
      <c r="Y33" s="412">
        <f>_xlfn.IFNA(VLOOKUP(A33,[5]進出口值表查詢結果!$C$11:$F$68,3,0),-[4]整車!$B$22)</f>
        <v>41708</v>
      </c>
      <c r="Z33" s="412">
        <f t="shared" si="3"/>
        <v>620</v>
      </c>
      <c r="AA33" s="412">
        <f t="shared" si="4"/>
        <v>312648</v>
      </c>
    </row>
    <row r="34" spans="1:27">
      <c r="A34" s="448" t="s">
        <v>242</v>
      </c>
      <c r="B34" s="406">
        <v>0</v>
      </c>
      <c r="C34" s="406">
        <v>0</v>
      </c>
      <c r="D34" s="412"/>
      <c r="E34" s="412"/>
      <c r="F34" s="412">
        <v>0</v>
      </c>
      <c r="G34" s="412"/>
      <c r="H34" s="412">
        <v>0</v>
      </c>
      <c r="I34" s="412">
        <v>0</v>
      </c>
      <c r="J34" s="413" t="s">
        <v>57</v>
      </c>
      <c r="K34" s="416" t="s">
        <v>57</v>
      </c>
      <c r="L34" s="412">
        <v>200</v>
      </c>
      <c r="M34" s="412">
        <v>26608</v>
      </c>
      <c r="N34" s="412">
        <v>0</v>
      </c>
      <c r="O34" s="412">
        <v>0</v>
      </c>
      <c r="P34" s="406">
        <v>0</v>
      </c>
      <c r="Q34" s="406">
        <v>0</v>
      </c>
      <c r="R34" s="406">
        <v>0</v>
      </c>
      <c r="S34" s="406">
        <v>0</v>
      </c>
      <c r="T34" s="412"/>
      <c r="U34" s="412"/>
      <c r="V34" s="412">
        <f>_xlfn.IFNA(VLOOKUP(A34,[3]進出口值表查詢結果!$C$11:$F$68,4,0),-[4]整車!$B$22)</f>
        <v>0</v>
      </c>
      <c r="W34" s="412">
        <f>_xlfn.IFNA(VLOOKUP(A34,[3]進出口值表查詢結果!$C$11:$F$68,3,0),-[4]整車!$B$22)</f>
        <v>0</v>
      </c>
      <c r="X34" s="412">
        <f>_xlfn.IFNA(VLOOKUP(A34,[5]進出口值表查詢結果!$C$11:$F$68,4,0),-[4]整車!$B$22)</f>
        <v>0</v>
      </c>
      <c r="Y34" s="412">
        <f>_xlfn.IFNA(VLOOKUP(A34,[5]進出口值表查詢結果!$C$11:$F$68,3,0),-[4]整車!$B$22)</f>
        <v>0</v>
      </c>
      <c r="Z34" s="412">
        <f t="shared" si="3"/>
        <v>200</v>
      </c>
      <c r="AA34" s="412">
        <f t="shared" si="4"/>
        <v>26608</v>
      </c>
    </row>
    <row r="35" spans="1:27">
      <c r="A35" s="405"/>
      <c r="B35" s="406"/>
      <c r="C35" s="406"/>
      <c r="D35" s="406"/>
      <c r="E35" s="406"/>
      <c r="F35" s="406"/>
      <c r="G35" s="406"/>
      <c r="H35" s="406"/>
      <c r="I35" s="406"/>
      <c r="J35" s="399"/>
      <c r="K35" s="400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</row>
    <row r="36" spans="1:27">
      <c r="A36" s="418" t="s">
        <v>137</v>
      </c>
      <c r="B36" s="419">
        <f t="shared" ref="B36:Y36" si="5">B38+B68+B75</f>
        <v>79424</v>
      </c>
      <c r="C36" s="419">
        <f t="shared" si="5"/>
        <v>35612604</v>
      </c>
      <c r="D36" s="419">
        <f t="shared" si="5"/>
        <v>64213</v>
      </c>
      <c r="E36" s="419">
        <f t="shared" si="5"/>
        <v>30491608</v>
      </c>
      <c r="F36" s="419">
        <f t="shared" si="5"/>
        <v>54696</v>
      </c>
      <c r="G36" s="419">
        <f t="shared" si="5"/>
        <v>29542744</v>
      </c>
      <c r="H36" s="419">
        <f t="shared" si="5"/>
        <v>39009</v>
      </c>
      <c r="I36" s="419">
        <f t="shared" si="5"/>
        <v>19973565</v>
      </c>
      <c r="J36" s="420">
        <f t="shared" si="5"/>
        <v>44931</v>
      </c>
      <c r="K36" s="421">
        <f>K38+K68+K75</f>
        <v>28357229</v>
      </c>
      <c r="L36" s="419">
        <f t="shared" si="5"/>
        <v>51038</v>
      </c>
      <c r="M36" s="419">
        <f t="shared" si="5"/>
        <v>32305965</v>
      </c>
      <c r="N36" s="419">
        <f t="shared" si="5"/>
        <v>44856</v>
      </c>
      <c r="O36" s="419">
        <f t="shared" si="5"/>
        <v>35121669</v>
      </c>
      <c r="P36" s="419">
        <f t="shared" si="5"/>
        <v>69496</v>
      </c>
      <c r="Q36" s="419">
        <f t="shared" si="5"/>
        <v>46505146</v>
      </c>
      <c r="R36" s="419">
        <f t="shared" si="5"/>
        <v>46124</v>
      </c>
      <c r="S36" s="419">
        <f t="shared" si="5"/>
        <v>32297052</v>
      </c>
      <c r="T36" s="419">
        <f t="shared" si="5"/>
        <v>63488</v>
      </c>
      <c r="U36" s="419">
        <f t="shared" si="5"/>
        <v>38464858</v>
      </c>
      <c r="V36" s="419">
        <f>V38+V68+V75</f>
        <v>52331</v>
      </c>
      <c r="W36" s="419">
        <f>W38+W68+W75</f>
        <v>31078138</v>
      </c>
      <c r="X36" s="419">
        <f t="shared" si="5"/>
        <v>64845</v>
      </c>
      <c r="Y36" s="419">
        <f t="shared" si="5"/>
        <v>39655701</v>
      </c>
      <c r="Z36" s="419">
        <f>SUM(B36,D36,F36,H36,J36,L36,N36,P36,R36,T36,V36,X36)</f>
        <v>674451</v>
      </c>
      <c r="AA36" s="419">
        <f>SUM(C36,E36,G36,I36,K36,M36,O36,Q36,S36,U36,W36,Y36)</f>
        <v>399406279</v>
      </c>
    </row>
    <row r="37" spans="1:27">
      <c r="A37" s="405"/>
      <c r="B37" s="406"/>
      <c r="C37" s="406"/>
      <c r="D37" s="406"/>
      <c r="E37" s="406"/>
      <c r="F37" s="406"/>
      <c r="G37" s="406"/>
      <c r="H37" s="406"/>
      <c r="I37" s="406"/>
      <c r="J37" s="399"/>
      <c r="K37" s="400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</row>
    <row r="38" spans="1:27">
      <c r="A38" s="422" t="s">
        <v>8</v>
      </c>
      <c r="B38" s="423">
        <f t="shared" ref="B38:Y38" si="6">SUM(B39:B66)</f>
        <v>71602</v>
      </c>
      <c r="C38" s="423">
        <f t="shared" si="6"/>
        <v>31042061</v>
      </c>
      <c r="D38" s="423">
        <f t="shared" si="6"/>
        <v>57938</v>
      </c>
      <c r="E38" s="423">
        <f t="shared" si="6"/>
        <v>27066923</v>
      </c>
      <c r="F38" s="423">
        <f t="shared" si="6"/>
        <v>50036</v>
      </c>
      <c r="G38" s="423">
        <f t="shared" si="6"/>
        <v>26756451</v>
      </c>
      <c r="H38" s="423">
        <f t="shared" si="6"/>
        <v>35898</v>
      </c>
      <c r="I38" s="423">
        <f t="shared" si="6"/>
        <v>18239616</v>
      </c>
      <c r="J38" s="424">
        <f t="shared" si="6"/>
        <v>42641</v>
      </c>
      <c r="K38" s="425">
        <f>SUM(K39:K66)</f>
        <v>26690377</v>
      </c>
      <c r="L38" s="423">
        <f t="shared" si="6"/>
        <v>48143</v>
      </c>
      <c r="M38" s="423">
        <f t="shared" si="6"/>
        <v>30331535</v>
      </c>
      <c r="N38" s="423">
        <f t="shared" si="6"/>
        <v>41659</v>
      </c>
      <c r="O38" s="423">
        <f t="shared" si="6"/>
        <v>32356018</v>
      </c>
      <c r="P38" s="423">
        <f t="shared" si="6"/>
        <v>67372</v>
      </c>
      <c r="Q38" s="423">
        <f t="shared" si="6"/>
        <v>44304841</v>
      </c>
      <c r="R38" s="423">
        <f t="shared" si="6"/>
        <v>44242</v>
      </c>
      <c r="S38" s="423">
        <f t="shared" si="6"/>
        <v>30263800</v>
      </c>
      <c r="T38" s="423">
        <f t="shared" si="6"/>
        <v>58319</v>
      </c>
      <c r="U38" s="423">
        <f t="shared" si="6"/>
        <v>35452809</v>
      </c>
      <c r="V38" s="423">
        <f>SUM(V39:V66)</f>
        <v>49253</v>
      </c>
      <c r="W38" s="423">
        <f>SUM(W39:W66)</f>
        <v>28348880</v>
      </c>
      <c r="X38" s="423">
        <f t="shared" si="6"/>
        <v>58138</v>
      </c>
      <c r="Y38" s="423">
        <f t="shared" si="6"/>
        <v>33913506</v>
      </c>
      <c r="Z38" s="423">
        <f t="shared" ref="Z38:Z66" si="7">SUM(B38,D38,F38,H38,J38,L38,N38,P38,R38,T38,V38,X38)</f>
        <v>625241</v>
      </c>
      <c r="AA38" s="423">
        <f t="shared" ref="AA38:AA66" si="8">SUM(C38,E38,G38,I38,K38,M38,O38,Q38,S38,U38,W38,Y38)</f>
        <v>364766817</v>
      </c>
    </row>
    <row r="39" spans="1:27">
      <c r="A39" s="448" t="s">
        <v>156</v>
      </c>
      <c r="B39" s="412">
        <v>9455</v>
      </c>
      <c r="C39" s="412">
        <v>8098805</v>
      </c>
      <c r="D39" s="412">
        <v>5899</v>
      </c>
      <c r="E39" s="412">
        <v>4489009</v>
      </c>
      <c r="F39" s="412">
        <v>11184</v>
      </c>
      <c r="G39" s="412">
        <v>11101791</v>
      </c>
      <c r="H39" s="412">
        <v>7475</v>
      </c>
      <c r="I39" s="412">
        <v>8873601</v>
      </c>
      <c r="J39" s="413">
        <v>12869</v>
      </c>
      <c r="K39" s="414">
        <v>13913534</v>
      </c>
      <c r="L39" s="412">
        <v>14682</v>
      </c>
      <c r="M39" s="412">
        <v>14178313</v>
      </c>
      <c r="N39" s="412">
        <v>14082</v>
      </c>
      <c r="O39" s="412">
        <v>14946790</v>
      </c>
      <c r="P39" s="412">
        <v>17288</v>
      </c>
      <c r="Q39" s="412">
        <v>20932370</v>
      </c>
      <c r="R39" s="412">
        <v>13841</v>
      </c>
      <c r="S39" s="412">
        <v>14623372</v>
      </c>
      <c r="T39" s="412">
        <v>14781</v>
      </c>
      <c r="U39" s="412">
        <v>14961515</v>
      </c>
      <c r="V39" s="412">
        <f>_xlfn.IFNA(VLOOKUP(A39,[3]進出口值表查詢結果!$C$11:$F$68,4,0),-[4]整車!$B$22)</f>
        <v>14525</v>
      </c>
      <c r="W39" s="412">
        <f>_xlfn.IFNA(VLOOKUP(A39,[3]進出口值表查詢結果!$C$11:$F$68,3,0),-[4]整車!$B$22)</f>
        <v>13590883</v>
      </c>
      <c r="X39" s="412">
        <f>_xlfn.IFNA(VLOOKUP(A39,[5]進出口值表查詢結果!$C$11:$F$68,4,0),-[4]整車!$B$22)</f>
        <v>15792</v>
      </c>
      <c r="Y39" s="412">
        <f>_xlfn.IFNA(VLOOKUP(A39,[5]進出口值表查詢結果!$C$11:$F$68,3,0),-[4]整車!$B$22)</f>
        <v>15201155</v>
      </c>
      <c r="Z39" s="406">
        <f t="shared" si="7"/>
        <v>151873</v>
      </c>
      <c r="AA39" s="406">
        <f t="shared" si="8"/>
        <v>154911138</v>
      </c>
    </row>
    <row r="40" spans="1:27">
      <c r="A40" s="448" t="s">
        <v>159</v>
      </c>
      <c r="B40" s="412">
        <v>6408</v>
      </c>
      <c r="C40" s="412">
        <v>3502900</v>
      </c>
      <c r="D40" s="412">
        <v>12057</v>
      </c>
      <c r="E40" s="412">
        <v>3128315</v>
      </c>
      <c r="F40" s="412">
        <v>8271</v>
      </c>
      <c r="G40" s="412">
        <v>2563956</v>
      </c>
      <c r="H40" s="412">
        <v>4864</v>
      </c>
      <c r="I40" s="412">
        <v>1321695</v>
      </c>
      <c r="J40" s="413">
        <v>2458</v>
      </c>
      <c r="K40" s="414">
        <v>672571</v>
      </c>
      <c r="L40" s="412">
        <v>2556</v>
      </c>
      <c r="M40" s="412">
        <v>1168366</v>
      </c>
      <c r="N40" s="412">
        <v>4316</v>
      </c>
      <c r="O40" s="412">
        <v>1533943</v>
      </c>
      <c r="P40" s="412">
        <v>4965</v>
      </c>
      <c r="Q40" s="412">
        <v>2104096</v>
      </c>
      <c r="R40" s="412">
        <v>3366</v>
      </c>
      <c r="S40" s="412">
        <v>1847351</v>
      </c>
      <c r="T40" s="412">
        <v>3654</v>
      </c>
      <c r="U40" s="412">
        <v>1456075</v>
      </c>
      <c r="V40" s="412">
        <f>_xlfn.IFNA(VLOOKUP(A40,[3]進出口值表查詢結果!$C$11:$F$68,4,0),-[4]整車!$B$22)</f>
        <v>5797</v>
      </c>
      <c r="W40" s="412">
        <f>_xlfn.IFNA(VLOOKUP(A40,[3]進出口值表查詢結果!$C$11:$F$68,3,0),-[4]整車!$B$22)</f>
        <v>1411961</v>
      </c>
      <c r="X40" s="412">
        <f>_xlfn.IFNA(VLOOKUP(A40,[5]進出口值表查詢結果!$C$11:$F$68,4,0),-[4]整車!$B$22)</f>
        <v>5920</v>
      </c>
      <c r="Y40" s="412">
        <f>_xlfn.IFNA(VLOOKUP(A40,[5]進出口值表查詢結果!$C$11:$F$68,3,0),-[4]整車!$B$22)</f>
        <v>1991602</v>
      </c>
      <c r="Z40" s="406">
        <f t="shared" si="7"/>
        <v>64632</v>
      </c>
      <c r="AA40" s="406">
        <f t="shared" si="8"/>
        <v>22702831</v>
      </c>
    </row>
    <row r="41" spans="1:27">
      <c r="A41" s="448" t="s">
        <v>173</v>
      </c>
      <c r="B41" s="412">
        <v>1316</v>
      </c>
      <c r="C41" s="412">
        <v>717427</v>
      </c>
      <c r="D41" s="412">
        <v>911</v>
      </c>
      <c r="E41" s="412">
        <v>709326</v>
      </c>
      <c r="F41" s="412">
        <v>1777</v>
      </c>
      <c r="G41" s="412">
        <v>1217722</v>
      </c>
      <c r="H41" s="412">
        <v>547</v>
      </c>
      <c r="I41" s="412">
        <v>1236471</v>
      </c>
      <c r="J41" s="413">
        <v>504</v>
      </c>
      <c r="K41" s="414">
        <v>997393</v>
      </c>
      <c r="L41" s="412">
        <v>1828</v>
      </c>
      <c r="M41" s="412">
        <v>1782072</v>
      </c>
      <c r="N41" s="412">
        <v>858</v>
      </c>
      <c r="O41" s="412">
        <v>1473021</v>
      </c>
      <c r="P41" s="412">
        <v>1248</v>
      </c>
      <c r="Q41" s="412">
        <v>1567705</v>
      </c>
      <c r="R41" s="412">
        <v>1489</v>
      </c>
      <c r="S41" s="412">
        <v>1445890</v>
      </c>
      <c r="T41" s="412">
        <v>1319</v>
      </c>
      <c r="U41" s="412">
        <v>1108193</v>
      </c>
      <c r="V41" s="412">
        <f>_xlfn.IFNA(VLOOKUP(A41,[3]進出口值表查詢結果!$C$11:$F$68,4,0),-[4]整車!$B$22)</f>
        <v>1769</v>
      </c>
      <c r="W41" s="412">
        <f>_xlfn.IFNA(VLOOKUP(A41,[3]進出口值表查詢結果!$C$11:$F$68,3,0),-[4]整車!$B$22)</f>
        <v>798510</v>
      </c>
      <c r="X41" s="412">
        <f>_xlfn.IFNA(VLOOKUP(A41,[5]進出口值表查詢結果!$C$11:$F$68,4,0),-[4]整車!$B$22)</f>
        <v>2665</v>
      </c>
      <c r="Y41" s="412">
        <f>_xlfn.IFNA(VLOOKUP(A41,[5]進出口值表查詢結果!$C$11:$F$68,3,0),-[4]整車!$B$22)</f>
        <v>1213680</v>
      </c>
      <c r="Z41" s="406">
        <f t="shared" si="7"/>
        <v>16231</v>
      </c>
      <c r="AA41" s="406">
        <f t="shared" si="8"/>
        <v>14267410</v>
      </c>
    </row>
    <row r="42" spans="1:27">
      <c r="A42" s="448" t="s">
        <v>157</v>
      </c>
      <c r="B42" s="412">
        <v>17706</v>
      </c>
      <c r="C42" s="412">
        <v>5035525</v>
      </c>
      <c r="D42" s="412">
        <v>6240</v>
      </c>
      <c r="E42" s="412">
        <v>3784977</v>
      </c>
      <c r="F42" s="412">
        <v>9566</v>
      </c>
      <c r="G42" s="412">
        <v>2935879</v>
      </c>
      <c r="H42" s="412">
        <v>6503</v>
      </c>
      <c r="I42" s="412">
        <v>3044684</v>
      </c>
      <c r="J42" s="413">
        <v>5112</v>
      </c>
      <c r="K42" s="414">
        <v>3224993</v>
      </c>
      <c r="L42" s="412">
        <v>13471</v>
      </c>
      <c r="M42" s="412">
        <v>4417423</v>
      </c>
      <c r="N42" s="412">
        <v>11009</v>
      </c>
      <c r="O42" s="412">
        <v>4729278</v>
      </c>
      <c r="P42" s="412">
        <v>33998</v>
      </c>
      <c r="Q42" s="412">
        <v>11641642</v>
      </c>
      <c r="R42" s="412">
        <v>15962</v>
      </c>
      <c r="S42" s="412">
        <v>6253943</v>
      </c>
      <c r="T42" s="412">
        <v>18510</v>
      </c>
      <c r="U42" s="412">
        <v>8270668</v>
      </c>
      <c r="V42" s="412">
        <f>_xlfn.IFNA(VLOOKUP(A42,[3]進出口值表查詢結果!$C$11:$F$68,4,0),-[4]整車!$B$22)</f>
        <v>12194</v>
      </c>
      <c r="W42" s="412">
        <f>_xlfn.IFNA(VLOOKUP(A42,[3]進出口值表查詢結果!$C$11:$F$68,3,0),-[4]整車!$B$22)</f>
        <v>5955460</v>
      </c>
      <c r="X42" s="412">
        <f>_xlfn.IFNA(VLOOKUP(A42,[5]進出口值表查詢結果!$C$11:$F$68,4,0),-[4]整車!$B$22)</f>
        <v>14217</v>
      </c>
      <c r="Y42" s="412">
        <f>_xlfn.IFNA(VLOOKUP(A42,[5]進出口值表查詢結果!$C$11:$F$68,3,0),-[4]整車!$B$22)</f>
        <v>5372669</v>
      </c>
      <c r="Z42" s="406">
        <f t="shared" si="7"/>
        <v>164488</v>
      </c>
      <c r="AA42" s="406">
        <f t="shared" si="8"/>
        <v>64667141</v>
      </c>
    </row>
    <row r="43" spans="1:27">
      <c r="A43" s="448" t="s">
        <v>165</v>
      </c>
      <c r="B43" s="412">
        <v>1251</v>
      </c>
      <c r="C43" s="412">
        <v>1143718</v>
      </c>
      <c r="D43" s="412">
        <v>1214</v>
      </c>
      <c r="E43" s="412">
        <v>1514756</v>
      </c>
      <c r="F43" s="412">
        <v>1275</v>
      </c>
      <c r="G43" s="412">
        <v>1300366</v>
      </c>
      <c r="H43" s="412">
        <v>85</v>
      </c>
      <c r="I43" s="412">
        <v>106062</v>
      </c>
      <c r="J43" s="413">
        <v>889</v>
      </c>
      <c r="K43" s="414">
        <v>1214599</v>
      </c>
      <c r="L43" s="412">
        <v>1601</v>
      </c>
      <c r="M43" s="412">
        <v>1668970</v>
      </c>
      <c r="N43" s="412">
        <v>925</v>
      </c>
      <c r="O43" s="412">
        <v>1104904</v>
      </c>
      <c r="P43" s="412">
        <v>519</v>
      </c>
      <c r="Q43" s="412">
        <v>835276</v>
      </c>
      <c r="R43" s="412">
        <v>1150</v>
      </c>
      <c r="S43" s="412">
        <v>1209512</v>
      </c>
      <c r="T43" s="412">
        <v>2343</v>
      </c>
      <c r="U43" s="412">
        <v>2166095</v>
      </c>
      <c r="V43" s="412">
        <f>_xlfn.IFNA(VLOOKUP(A43,[3]進出口值表查詢結果!$C$11:$F$68,4,0),-[4]整車!$B$22)</f>
        <v>1094</v>
      </c>
      <c r="W43" s="412">
        <f>_xlfn.IFNA(VLOOKUP(A43,[3]進出口值表查詢結果!$C$11:$F$68,3,0),-[4]整車!$B$22)</f>
        <v>1193068</v>
      </c>
      <c r="X43" s="412">
        <f>_xlfn.IFNA(VLOOKUP(A43,[5]進出口值表查詢結果!$C$11:$F$68,4,0),-[4]整車!$B$22)</f>
        <v>680</v>
      </c>
      <c r="Y43" s="412">
        <f>_xlfn.IFNA(VLOOKUP(A43,[5]進出口值表查詢結果!$C$11:$F$68,3,0),-[4]整車!$B$22)</f>
        <v>895521</v>
      </c>
      <c r="Z43" s="406">
        <f t="shared" si="7"/>
        <v>13026</v>
      </c>
      <c r="AA43" s="406">
        <f t="shared" si="8"/>
        <v>14352847</v>
      </c>
    </row>
    <row r="44" spans="1:27">
      <c r="A44" s="411" t="s">
        <v>246</v>
      </c>
      <c r="B44" s="412">
        <v>1462</v>
      </c>
      <c r="C44" s="412">
        <v>1150648</v>
      </c>
      <c r="D44" s="412">
        <v>1170</v>
      </c>
      <c r="E44" s="412">
        <v>1065890</v>
      </c>
      <c r="F44" s="412">
        <v>328</v>
      </c>
      <c r="G44" s="412">
        <v>441720</v>
      </c>
      <c r="H44" s="412">
        <v>198</v>
      </c>
      <c r="I44" s="412">
        <v>604272</v>
      </c>
      <c r="J44" s="413">
        <v>824</v>
      </c>
      <c r="K44" s="414">
        <v>1298798</v>
      </c>
      <c r="L44" s="412">
        <v>1079</v>
      </c>
      <c r="M44" s="412">
        <v>1208211</v>
      </c>
      <c r="N44" s="412">
        <v>807</v>
      </c>
      <c r="O44" s="412">
        <v>1002195</v>
      </c>
      <c r="P44" s="412">
        <v>796</v>
      </c>
      <c r="Q44" s="412">
        <v>1264047</v>
      </c>
      <c r="R44" s="412">
        <v>605</v>
      </c>
      <c r="S44" s="412">
        <v>956624</v>
      </c>
      <c r="T44" s="412">
        <v>1343</v>
      </c>
      <c r="U44" s="412">
        <v>1450743</v>
      </c>
      <c r="V44" s="412">
        <f>_xlfn.IFNA(VLOOKUP(A44,[3]進出口值表查詢結果!$C$11:$F$68,4,0),-[4]整車!$B$22)</f>
        <v>1030</v>
      </c>
      <c r="W44" s="412">
        <f>_xlfn.IFNA(VLOOKUP(A44,[3]進出口值表查詢結果!$C$11:$F$68,3,0),-[4]整車!$B$22)</f>
        <v>1221871</v>
      </c>
      <c r="X44" s="412">
        <f>_xlfn.IFNA(VLOOKUP(A44,[5]進出口值表查詢結果!$C$11:$F$68,4,0),-[4]整車!$B$22)</f>
        <v>1914</v>
      </c>
      <c r="Y44" s="412">
        <f>_xlfn.IFNA(VLOOKUP(A44,[5]進出口值表查詢結果!$C$11:$F$68,3,0),-[4]整車!$B$22)</f>
        <v>2462982</v>
      </c>
      <c r="Z44" s="406">
        <f t="shared" si="7"/>
        <v>11556</v>
      </c>
      <c r="AA44" s="406">
        <f t="shared" si="8"/>
        <v>14128001</v>
      </c>
    </row>
    <row r="45" spans="1:27">
      <c r="A45" s="448" t="s">
        <v>183</v>
      </c>
      <c r="B45" s="412">
        <v>8259</v>
      </c>
      <c r="C45" s="412">
        <v>7055116</v>
      </c>
      <c r="D45" s="412">
        <v>7827</v>
      </c>
      <c r="E45" s="412">
        <v>8311625</v>
      </c>
      <c r="F45" s="412">
        <v>5451</v>
      </c>
      <c r="G45" s="412">
        <v>4815102</v>
      </c>
      <c r="H45" s="412">
        <v>1437</v>
      </c>
      <c r="I45" s="412">
        <v>897615</v>
      </c>
      <c r="J45" s="413">
        <v>6587</v>
      </c>
      <c r="K45" s="414">
        <v>3549849</v>
      </c>
      <c r="L45" s="412">
        <v>5956</v>
      </c>
      <c r="M45" s="412">
        <v>4372019</v>
      </c>
      <c r="N45" s="412">
        <v>6178</v>
      </c>
      <c r="O45" s="412">
        <v>5869574</v>
      </c>
      <c r="P45" s="412">
        <v>5911</v>
      </c>
      <c r="Q45" s="412">
        <v>4858793</v>
      </c>
      <c r="R45" s="412">
        <v>4741</v>
      </c>
      <c r="S45" s="412">
        <v>2750680</v>
      </c>
      <c r="T45" s="412">
        <v>8165</v>
      </c>
      <c r="U45" s="412">
        <v>3665783</v>
      </c>
      <c r="V45" s="412">
        <f>_xlfn.IFNA(VLOOKUP(A45,[3]進出口值表查詢結果!$C$11:$F$68,4,0),-[4]整車!$B$22)</f>
        <v>4599</v>
      </c>
      <c r="W45" s="412">
        <f>_xlfn.IFNA(VLOOKUP(A45,[3]進出口值表查詢結果!$C$11:$F$68,3,0),-[4]整車!$B$22)</f>
        <v>2448875</v>
      </c>
      <c r="X45" s="412">
        <f>_xlfn.IFNA(VLOOKUP(A45,[5]進出口值表查詢結果!$C$11:$F$68,4,0),-[4]整車!$B$22)</f>
        <v>6519</v>
      </c>
      <c r="Y45" s="412">
        <f>_xlfn.IFNA(VLOOKUP(A45,[5]進出口值表查詢結果!$C$11:$F$68,3,0),-[4]整車!$B$22)</f>
        <v>4708366</v>
      </c>
      <c r="Z45" s="406">
        <f t="shared" si="7"/>
        <v>71630</v>
      </c>
      <c r="AA45" s="406">
        <f t="shared" si="8"/>
        <v>53303397</v>
      </c>
    </row>
    <row r="46" spans="1:27">
      <c r="A46" s="448" t="s">
        <v>160</v>
      </c>
      <c r="B46" s="412">
        <v>2698</v>
      </c>
      <c r="C46" s="412">
        <v>337022</v>
      </c>
      <c r="D46" s="412">
        <v>4227</v>
      </c>
      <c r="E46" s="412">
        <v>590807</v>
      </c>
      <c r="F46" s="412">
        <v>1385</v>
      </c>
      <c r="G46" s="412">
        <v>364355</v>
      </c>
      <c r="H46" s="412">
        <v>2867</v>
      </c>
      <c r="I46" s="412">
        <v>160451</v>
      </c>
      <c r="J46" s="413">
        <v>493</v>
      </c>
      <c r="K46" s="414">
        <v>68059</v>
      </c>
      <c r="L46" s="412">
        <v>3511</v>
      </c>
      <c r="M46" s="412">
        <v>345274</v>
      </c>
      <c r="N46" s="426">
        <v>616</v>
      </c>
      <c r="O46" s="426">
        <v>145435</v>
      </c>
      <c r="P46" s="412">
        <v>252</v>
      </c>
      <c r="Q46" s="412">
        <v>50525</v>
      </c>
      <c r="R46" s="412">
        <v>1078</v>
      </c>
      <c r="S46" s="412">
        <v>229756</v>
      </c>
      <c r="T46" s="412">
        <v>2600</v>
      </c>
      <c r="U46" s="412">
        <v>425508</v>
      </c>
      <c r="V46" s="412">
        <f>_xlfn.IFNA(VLOOKUP(A46,[3]進出口值表查詢結果!$C$11:$F$68,4,0),-[4]整車!$B$22)</f>
        <v>2376</v>
      </c>
      <c r="W46" s="412">
        <f>_xlfn.IFNA(VLOOKUP(A46,[3]進出口值表查詢結果!$C$11:$F$68,3,0),-[4]整車!$B$22)</f>
        <v>357540</v>
      </c>
      <c r="X46" s="412">
        <f>_xlfn.IFNA(VLOOKUP(A46,[5]進出口值表查詢結果!$C$11:$F$68,4,0),-[4]整車!$B$22)</f>
        <v>3399</v>
      </c>
      <c r="Y46" s="412">
        <f>_xlfn.IFNA(VLOOKUP(A46,[5]進出口值表查詢結果!$C$11:$F$68,3,0),-[4]整車!$B$22)</f>
        <v>252100</v>
      </c>
      <c r="Z46" s="406">
        <f t="shared" si="7"/>
        <v>25502</v>
      </c>
      <c r="AA46" s="406">
        <f t="shared" si="8"/>
        <v>3326832</v>
      </c>
    </row>
    <row r="47" spans="1:27">
      <c r="A47" s="448" t="s">
        <v>186</v>
      </c>
      <c r="B47" s="412">
        <v>0</v>
      </c>
      <c r="C47" s="412">
        <v>0</v>
      </c>
      <c r="D47" s="412"/>
      <c r="E47" s="412"/>
      <c r="F47" s="412">
        <v>0</v>
      </c>
      <c r="G47" s="412"/>
      <c r="H47" s="412">
        <v>0</v>
      </c>
      <c r="I47" s="412">
        <v>0</v>
      </c>
      <c r="J47" s="413">
        <v>17</v>
      </c>
      <c r="K47" s="414">
        <v>30939</v>
      </c>
      <c r="L47" s="412">
        <v>0</v>
      </c>
      <c r="M47" s="412">
        <v>0</v>
      </c>
      <c r="N47" s="412">
        <v>0</v>
      </c>
      <c r="O47" s="412">
        <v>0</v>
      </c>
      <c r="P47" s="412">
        <v>0</v>
      </c>
      <c r="Q47" s="412">
        <v>0</v>
      </c>
      <c r="R47" s="412">
        <v>0</v>
      </c>
      <c r="S47" s="412">
        <v>0</v>
      </c>
      <c r="T47" s="412"/>
      <c r="U47" s="412"/>
      <c r="V47" s="412">
        <f>_xlfn.IFNA(VLOOKUP(A47,[3]進出口值表查詢結果!$C$11:$F$68,4,0),-[4]整車!$B$22)</f>
        <v>13</v>
      </c>
      <c r="W47" s="412">
        <f>_xlfn.IFNA(VLOOKUP(A47,[3]進出口值表查詢結果!$C$11:$F$68,3,0),-[4]整車!$B$22)</f>
        <v>30641</v>
      </c>
      <c r="X47" s="412">
        <f>_xlfn.IFNA(VLOOKUP(A47,[5]進出口值表查詢結果!$C$11:$F$68,4,0),-[4]整車!$B$22)</f>
        <v>0</v>
      </c>
      <c r="Y47" s="412">
        <f>_xlfn.IFNA(VLOOKUP(A47,[5]進出口值表查詢結果!$C$11:$F$68,3,0),-[4]整車!$B$22)</f>
        <v>0</v>
      </c>
      <c r="Z47" s="406">
        <f t="shared" si="7"/>
        <v>30</v>
      </c>
      <c r="AA47" s="406">
        <f t="shared" si="8"/>
        <v>61580</v>
      </c>
    </row>
    <row r="48" spans="1:27">
      <c r="A48" s="448" t="s">
        <v>249</v>
      </c>
      <c r="B48" s="412">
        <v>1496</v>
      </c>
      <c r="C48" s="412">
        <v>75974</v>
      </c>
      <c r="D48" s="412">
        <v>887</v>
      </c>
      <c r="E48" s="412">
        <v>76782</v>
      </c>
      <c r="F48" s="412">
        <v>282</v>
      </c>
      <c r="G48" s="412">
        <v>34683</v>
      </c>
      <c r="H48" s="412">
        <v>243</v>
      </c>
      <c r="I48" s="412">
        <v>59854</v>
      </c>
      <c r="J48" s="413">
        <v>2854</v>
      </c>
      <c r="K48" s="414">
        <v>111627</v>
      </c>
      <c r="L48" s="412">
        <v>292</v>
      </c>
      <c r="M48" s="412">
        <v>40717</v>
      </c>
      <c r="N48" s="426">
        <v>50</v>
      </c>
      <c r="O48" s="426">
        <v>7437</v>
      </c>
      <c r="P48" s="412">
        <v>0</v>
      </c>
      <c r="Q48" s="412">
        <v>0</v>
      </c>
      <c r="R48" s="412">
        <v>63</v>
      </c>
      <c r="S48" s="412">
        <v>7337</v>
      </c>
      <c r="T48" s="412">
        <v>110</v>
      </c>
      <c r="U48" s="412">
        <v>19242</v>
      </c>
      <c r="V48" s="412">
        <f>_xlfn.IFNA(VLOOKUP(A48,[3]進出口值表查詢結果!$C$11:$F$68,4,0),-[4]整車!$B$22)</f>
        <v>2810</v>
      </c>
      <c r="W48" s="412">
        <f>_xlfn.IFNA(VLOOKUP(A48,[3]進出口值表查詢結果!$C$11:$F$68,3,0),-[4]整車!$B$22)</f>
        <v>115217</v>
      </c>
      <c r="X48" s="412">
        <f>_xlfn.IFNA(VLOOKUP(A48,[5]進出口值表查詢結果!$C$11:$F$68,4,0),-[4]整車!$B$22)</f>
        <v>233</v>
      </c>
      <c r="Y48" s="412">
        <f>_xlfn.IFNA(VLOOKUP(A48,[5]進出口值表查詢結果!$C$11:$F$68,3,0),-[4]整車!$B$22)</f>
        <v>49405</v>
      </c>
      <c r="Z48" s="406">
        <f t="shared" si="7"/>
        <v>9320</v>
      </c>
      <c r="AA48" s="406">
        <f t="shared" si="8"/>
        <v>598275</v>
      </c>
    </row>
    <row r="49" spans="1:27">
      <c r="A49" s="448" t="s">
        <v>189</v>
      </c>
      <c r="B49" s="412">
        <v>0</v>
      </c>
      <c r="C49" s="412">
        <v>0</v>
      </c>
      <c r="D49" s="412"/>
      <c r="E49" s="412"/>
      <c r="F49" s="412">
        <v>0</v>
      </c>
      <c r="G49" s="412"/>
      <c r="H49" s="412">
        <v>0</v>
      </c>
      <c r="I49" s="412">
        <v>0</v>
      </c>
      <c r="J49" s="413" t="s">
        <v>57</v>
      </c>
      <c r="K49" s="416" t="s">
        <v>57</v>
      </c>
      <c r="L49" s="412">
        <v>0</v>
      </c>
      <c r="M49" s="412">
        <v>0</v>
      </c>
      <c r="N49" s="412">
        <v>0</v>
      </c>
      <c r="O49" s="412">
        <v>0</v>
      </c>
      <c r="P49" s="412">
        <v>1103</v>
      </c>
      <c r="Q49" s="412">
        <v>149812</v>
      </c>
      <c r="R49" s="412">
        <v>0</v>
      </c>
      <c r="S49" s="412">
        <v>0</v>
      </c>
      <c r="T49" s="412">
        <v>1020</v>
      </c>
      <c r="U49" s="412">
        <v>82719</v>
      </c>
      <c r="V49" s="412">
        <f>_xlfn.IFNA(VLOOKUP(A49,[3]進出口值表查詢結果!$C$11:$F$68,4,0),-[4]整車!$B$22)</f>
        <v>250</v>
      </c>
      <c r="W49" s="412">
        <f>_xlfn.IFNA(VLOOKUP(A49,[3]進出口值表查詢結果!$C$11:$F$68,3,0),-[4]整車!$B$22)</f>
        <v>40485</v>
      </c>
      <c r="X49" s="412">
        <f>_xlfn.IFNA(VLOOKUP(A49,[5]進出口值表查詢結果!$C$11:$F$68,4,0),-[4]整車!$B$22)</f>
        <v>0</v>
      </c>
      <c r="Y49" s="412">
        <f>_xlfn.IFNA(VLOOKUP(A49,[5]進出口值表查詢結果!$C$11:$F$68,3,0),-[4]整車!$B$22)</f>
        <v>0</v>
      </c>
      <c r="Z49" s="406">
        <f t="shared" si="7"/>
        <v>2373</v>
      </c>
      <c r="AA49" s="406">
        <f t="shared" si="8"/>
        <v>273016</v>
      </c>
    </row>
    <row r="50" spans="1:27">
      <c r="A50" s="448" t="s">
        <v>250</v>
      </c>
      <c r="B50" s="412">
        <v>0</v>
      </c>
      <c r="C50" s="412">
        <v>0</v>
      </c>
      <c r="D50" s="412"/>
      <c r="E50" s="412"/>
      <c r="F50" s="412">
        <v>41</v>
      </c>
      <c r="G50" s="412">
        <v>46233</v>
      </c>
      <c r="H50" s="412">
        <v>0</v>
      </c>
      <c r="I50" s="412">
        <v>0</v>
      </c>
      <c r="J50" s="413">
        <v>78</v>
      </c>
      <c r="K50" s="416">
        <v>136719</v>
      </c>
      <c r="L50" s="412">
        <v>73</v>
      </c>
      <c r="M50" s="412">
        <v>111226</v>
      </c>
      <c r="N50" s="426">
        <v>42</v>
      </c>
      <c r="O50" s="426">
        <v>82995</v>
      </c>
      <c r="P50" s="412">
        <v>76</v>
      </c>
      <c r="Q50" s="412">
        <v>189800</v>
      </c>
      <c r="R50" s="412">
        <v>3</v>
      </c>
      <c r="S50" s="412">
        <v>18037</v>
      </c>
      <c r="T50" s="412"/>
      <c r="U50" s="412"/>
      <c r="V50" s="412">
        <f>_xlfn.IFNA(VLOOKUP(A50,[3]進出口值表查詢結果!$C$11:$F$68,4,0),-[4]整車!$B$22)</f>
        <v>0</v>
      </c>
      <c r="W50" s="412">
        <f>_xlfn.IFNA(VLOOKUP(A50,[3]進出口值表查詢結果!$C$11:$F$68,3,0),-[4]整車!$B$22)</f>
        <v>0</v>
      </c>
      <c r="X50" s="412">
        <f>_xlfn.IFNA(VLOOKUP(A50,[5]進出口值表查詢結果!$C$11:$F$68,4,0),-[4]整車!$B$22)</f>
        <v>0</v>
      </c>
      <c r="Y50" s="412">
        <f>_xlfn.IFNA(VLOOKUP(A50,[5]進出口值表查詢結果!$C$11:$F$68,3,0),-[4]整車!$B$22)</f>
        <v>0</v>
      </c>
      <c r="Z50" s="406">
        <f t="shared" si="7"/>
        <v>313</v>
      </c>
      <c r="AA50" s="406">
        <f t="shared" si="8"/>
        <v>585010</v>
      </c>
    </row>
    <row r="51" spans="1:27">
      <c r="A51" s="448" t="s">
        <v>181</v>
      </c>
      <c r="B51" s="412">
        <v>201</v>
      </c>
      <c r="C51" s="412">
        <v>272709</v>
      </c>
      <c r="D51" s="412"/>
      <c r="E51" s="412"/>
      <c r="F51" s="412">
        <v>0</v>
      </c>
      <c r="G51" s="412"/>
      <c r="H51" s="412">
        <v>32</v>
      </c>
      <c r="I51" s="412">
        <v>33620</v>
      </c>
      <c r="J51" s="413">
        <v>101</v>
      </c>
      <c r="K51" s="416">
        <v>102138</v>
      </c>
      <c r="L51" s="412">
        <v>63</v>
      </c>
      <c r="M51" s="412">
        <v>100302</v>
      </c>
      <c r="N51" s="426">
        <v>9</v>
      </c>
      <c r="O51" s="426">
        <v>13320</v>
      </c>
      <c r="P51" s="412">
        <v>0</v>
      </c>
      <c r="Q51" s="412">
        <v>0</v>
      </c>
      <c r="R51" s="412">
        <v>78</v>
      </c>
      <c r="S51" s="412">
        <v>157745</v>
      </c>
      <c r="T51" s="412"/>
      <c r="U51" s="412"/>
      <c r="V51" s="412">
        <f>_xlfn.IFNA(VLOOKUP(A51,[3]進出口值表查詢結果!$C$11:$F$68,4,0),-[4]整車!$B$22)</f>
        <v>149</v>
      </c>
      <c r="W51" s="412">
        <f>_xlfn.IFNA(VLOOKUP(A51,[3]進出口值表查詢結果!$C$11:$F$68,3,0),-[4]整車!$B$22)</f>
        <v>101179</v>
      </c>
      <c r="X51" s="412">
        <f>_xlfn.IFNA(VLOOKUP(A51,[5]進出口值表查詢結果!$C$11:$F$68,4,0),-[4]整車!$B$22)</f>
        <v>177</v>
      </c>
      <c r="Y51" s="412">
        <f>_xlfn.IFNA(VLOOKUP(A51,[5]進出口值表查詢結果!$C$11:$F$68,3,0),-[4]整車!$B$22)</f>
        <v>208957</v>
      </c>
      <c r="Z51" s="406">
        <f t="shared" si="7"/>
        <v>810</v>
      </c>
      <c r="AA51" s="406">
        <f t="shared" si="8"/>
        <v>989970</v>
      </c>
    </row>
    <row r="52" spans="1:27">
      <c r="A52" s="448" t="s">
        <v>252</v>
      </c>
      <c r="B52" s="412">
        <v>14850</v>
      </c>
      <c r="C52" s="412">
        <v>1819825</v>
      </c>
      <c r="D52" s="412">
        <v>10994</v>
      </c>
      <c r="E52" s="412">
        <v>1791539</v>
      </c>
      <c r="F52" s="412">
        <v>5163</v>
      </c>
      <c r="G52" s="412">
        <v>792431</v>
      </c>
      <c r="H52" s="412">
        <v>8731</v>
      </c>
      <c r="I52" s="412">
        <v>1291818</v>
      </c>
      <c r="J52" s="413">
        <v>8229</v>
      </c>
      <c r="K52" s="414">
        <v>909253</v>
      </c>
      <c r="L52" s="412">
        <v>1974</v>
      </c>
      <c r="M52" s="412">
        <v>362668</v>
      </c>
      <c r="N52" s="426">
        <v>1030</v>
      </c>
      <c r="O52" s="426">
        <v>144084</v>
      </c>
      <c r="P52" s="412">
        <v>637</v>
      </c>
      <c r="Q52" s="412">
        <v>148186</v>
      </c>
      <c r="R52" s="412">
        <v>0</v>
      </c>
      <c r="S52" s="412">
        <v>0</v>
      </c>
      <c r="T52" s="412">
        <v>492</v>
      </c>
      <c r="U52" s="412">
        <v>276110</v>
      </c>
      <c r="V52" s="412">
        <f>_xlfn.IFNA(VLOOKUP(A52,[3]進出口值表查詢結果!$C$11:$F$68,4,0),-[4]整車!$B$22)</f>
        <v>373</v>
      </c>
      <c r="W52" s="412">
        <f>_xlfn.IFNA(VLOOKUP(A52,[3]進出口值表查詢結果!$C$11:$F$68,3,0),-[4]整車!$B$22)</f>
        <v>210711</v>
      </c>
      <c r="X52" s="412">
        <f>_xlfn.IFNA(VLOOKUP(A52,[5]進出口值表查詢結果!$C$11:$F$68,4,0),-[4]整車!$B$22)</f>
        <v>255</v>
      </c>
      <c r="Y52" s="412">
        <f>_xlfn.IFNA(VLOOKUP(A52,[5]進出口值表查詢結果!$C$11:$F$68,3,0),-[4]整車!$B$22)</f>
        <v>121134</v>
      </c>
      <c r="Z52" s="406">
        <f t="shared" si="7"/>
        <v>52728</v>
      </c>
      <c r="AA52" s="406">
        <f t="shared" si="8"/>
        <v>7867759</v>
      </c>
    </row>
    <row r="53" spans="1:27">
      <c r="A53" s="448" t="s">
        <v>164</v>
      </c>
      <c r="B53" s="412">
        <v>415</v>
      </c>
      <c r="C53" s="412">
        <v>138854</v>
      </c>
      <c r="D53" s="412">
        <v>347</v>
      </c>
      <c r="E53" s="412">
        <v>89541</v>
      </c>
      <c r="F53" s="412">
        <v>168</v>
      </c>
      <c r="G53" s="412">
        <v>63590</v>
      </c>
      <c r="H53" s="412">
        <v>91</v>
      </c>
      <c r="I53" s="412">
        <v>41073</v>
      </c>
      <c r="J53" s="413" t="s">
        <v>57</v>
      </c>
      <c r="K53" s="416" t="s">
        <v>57</v>
      </c>
      <c r="L53" s="412">
        <v>192</v>
      </c>
      <c r="M53" s="412">
        <v>38137</v>
      </c>
      <c r="N53" s="426">
        <v>565</v>
      </c>
      <c r="O53" s="426">
        <v>326470</v>
      </c>
      <c r="P53" s="412">
        <v>55</v>
      </c>
      <c r="Q53" s="412">
        <v>37445</v>
      </c>
      <c r="R53" s="412">
        <v>12</v>
      </c>
      <c r="S53" s="412">
        <v>17120</v>
      </c>
      <c r="T53" s="412">
        <v>3</v>
      </c>
      <c r="U53" s="412">
        <v>1549</v>
      </c>
      <c r="V53" s="412">
        <f>_xlfn.IFNA(VLOOKUP(A53,[3]進出口值表查詢結果!$C$11:$F$68,4,0),-[4]整車!$B$22)</f>
        <v>6</v>
      </c>
      <c r="W53" s="412">
        <f>_xlfn.IFNA(VLOOKUP(A53,[3]進出口值表查詢結果!$C$11:$F$68,3,0),-[4]整車!$B$22)</f>
        <v>1837</v>
      </c>
      <c r="X53" s="412">
        <f>_xlfn.IFNA(VLOOKUP(A53,[5]進出口值表查詢結果!$C$11:$F$68,4,0),-[4]整車!$B$22)</f>
        <v>0</v>
      </c>
      <c r="Y53" s="412">
        <f>_xlfn.IFNA(VLOOKUP(A53,[5]進出口值表查詢結果!$C$11:$F$68,3,0),-[4]整車!$B$22)</f>
        <v>0</v>
      </c>
      <c r="Z53" s="406">
        <f t="shared" si="7"/>
        <v>1854</v>
      </c>
      <c r="AA53" s="406">
        <f t="shared" si="8"/>
        <v>755616</v>
      </c>
    </row>
    <row r="54" spans="1:27">
      <c r="A54" s="448" t="s">
        <v>171</v>
      </c>
      <c r="B54" s="412">
        <v>2701</v>
      </c>
      <c r="C54" s="412">
        <v>1013330</v>
      </c>
      <c r="D54" s="412">
        <v>526</v>
      </c>
      <c r="E54" s="412">
        <v>174316</v>
      </c>
      <c r="F54" s="412">
        <v>871</v>
      </c>
      <c r="G54" s="412">
        <v>261235</v>
      </c>
      <c r="H54" s="412">
        <v>560</v>
      </c>
      <c r="I54" s="412">
        <v>111328</v>
      </c>
      <c r="J54" s="413">
        <v>122</v>
      </c>
      <c r="K54" s="416">
        <v>126429</v>
      </c>
      <c r="L54" s="412">
        <v>437</v>
      </c>
      <c r="M54" s="412">
        <v>340350</v>
      </c>
      <c r="N54" s="426">
        <v>995</v>
      </c>
      <c r="O54" s="426">
        <v>812171</v>
      </c>
      <c r="P54" s="412">
        <v>393</v>
      </c>
      <c r="Q54" s="412">
        <v>427618</v>
      </c>
      <c r="R54" s="412">
        <v>1762</v>
      </c>
      <c r="S54" s="412">
        <v>731590</v>
      </c>
      <c r="T54" s="412">
        <v>2871</v>
      </c>
      <c r="U54" s="412">
        <v>1163960</v>
      </c>
      <c r="V54" s="412">
        <f>_xlfn.IFNA(VLOOKUP(A54,[3]進出口值表查詢結果!$C$11:$F$68,4,0),-[4]整車!$B$22)</f>
        <v>2077</v>
      </c>
      <c r="W54" s="412">
        <f>_xlfn.IFNA(VLOOKUP(A54,[3]進出口值表查詢結果!$C$11:$F$68,3,0),-[4]整車!$B$22)</f>
        <v>695253</v>
      </c>
      <c r="X54" s="412">
        <f>_xlfn.IFNA(VLOOKUP(A54,[5]進出口值表查詢結果!$C$11:$F$68,4,0),-[4]整車!$B$22)</f>
        <v>2420</v>
      </c>
      <c r="Y54" s="412">
        <f>_xlfn.IFNA(VLOOKUP(A54,[5]進出口值表查詢結果!$C$11:$F$68,3,0),-[4]整車!$B$22)</f>
        <v>651295</v>
      </c>
      <c r="Z54" s="406">
        <f t="shared" si="7"/>
        <v>15735</v>
      </c>
      <c r="AA54" s="406">
        <f t="shared" si="8"/>
        <v>6508875</v>
      </c>
    </row>
    <row r="55" spans="1:27">
      <c r="A55" s="448" t="s">
        <v>161</v>
      </c>
      <c r="B55" s="412">
        <v>184</v>
      </c>
      <c r="C55" s="412">
        <v>65445</v>
      </c>
      <c r="D55" s="412">
        <v>384</v>
      </c>
      <c r="E55" s="412">
        <v>270420</v>
      </c>
      <c r="F55" s="412">
        <v>117</v>
      </c>
      <c r="G55" s="412">
        <v>125456</v>
      </c>
      <c r="H55" s="412">
        <v>125</v>
      </c>
      <c r="I55" s="412">
        <v>79330</v>
      </c>
      <c r="J55" s="413">
        <v>112</v>
      </c>
      <c r="K55" s="416">
        <v>53759</v>
      </c>
      <c r="L55" s="412">
        <v>191</v>
      </c>
      <c r="M55" s="412">
        <v>102112</v>
      </c>
      <c r="N55" s="426">
        <v>97</v>
      </c>
      <c r="O55" s="426">
        <v>124577</v>
      </c>
      <c r="P55" s="412">
        <v>96</v>
      </c>
      <c r="Q55" s="412">
        <v>91901</v>
      </c>
      <c r="R55" s="412">
        <v>1</v>
      </c>
      <c r="S55" s="412">
        <v>4144</v>
      </c>
      <c r="T55" s="412">
        <v>262</v>
      </c>
      <c r="U55" s="412">
        <v>270569</v>
      </c>
      <c r="V55" s="412">
        <f>_xlfn.IFNA(VLOOKUP(A55,[3]進出口值表查詢結果!$C$11:$F$68,4,0),-[4]整車!$B$22)</f>
        <v>124</v>
      </c>
      <c r="W55" s="412">
        <f>_xlfn.IFNA(VLOOKUP(A55,[3]進出口值表查詢結果!$C$11:$F$68,3,0),-[4]整車!$B$22)</f>
        <v>163570</v>
      </c>
      <c r="X55" s="412">
        <f>_xlfn.IFNA(VLOOKUP(A55,[5]進出口值表查詢結果!$C$11:$F$68,4,0),-[4]整車!$B$22)</f>
        <v>2983</v>
      </c>
      <c r="Y55" s="412">
        <f>_xlfn.IFNA(VLOOKUP(A55,[5]進出口值表查詢結果!$C$11:$F$68,3,0),-[4]整車!$B$22)</f>
        <v>600700</v>
      </c>
      <c r="Z55" s="406">
        <f t="shared" si="7"/>
        <v>4676</v>
      </c>
      <c r="AA55" s="406">
        <f t="shared" si="8"/>
        <v>1951983</v>
      </c>
    </row>
    <row r="56" spans="1:27">
      <c r="A56" s="448" t="s">
        <v>167</v>
      </c>
      <c r="B56" s="412">
        <v>1004</v>
      </c>
      <c r="C56" s="412">
        <v>51950</v>
      </c>
      <c r="D56" s="412">
        <v>726</v>
      </c>
      <c r="E56" s="412">
        <v>56062</v>
      </c>
      <c r="F56" s="412">
        <v>1874</v>
      </c>
      <c r="G56" s="412">
        <v>133920</v>
      </c>
      <c r="H56" s="412">
        <v>806</v>
      </c>
      <c r="I56" s="412">
        <v>75224</v>
      </c>
      <c r="J56" s="413" t="s">
        <v>57</v>
      </c>
      <c r="K56" s="416" t="s">
        <v>57</v>
      </c>
      <c r="L56" s="412">
        <v>52</v>
      </c>
      <c r="M56" s="412">
        <v>5931</v>
      </c>
      <c r="N56" s="412">
        <v>0</v>
      </c>
      <c r="O56" s="412">
        <v>0</v>
      </c>
      <c r="P56" s="412">
        <v>0</v>
      </c>
      <c r="Q56" s="412">
        <v>0</v>
      </c>
      <c r="R56" s="412">
        <v>0</v>
      </c>
      <c r="S56" s="412">
        <v>0</v>
      </c>
      <c r="T56" s="412">
        <v>70</v>
      </c>
      <c r="U56" s="412">
        <v>11429</v>
      </c>
      <c r="V56" s="412">
        <f>_xlfn.IFNA(VLOOKUP(A56,[3]進出口值表查詢結果!$C$11:$F$68,4,0),-[4]整車!$B$22)</f>
        <v>13</v>
      </c>
      <c r="W56" s="412">
        <f>_xlfn.IFNA(VLOOKUP(A56,[3]進出口值表查詢結果!$C$11:$F$68,3,0),-[4]整車!$B$22)</f>
        <v>1698</v>
      </c>
      <c r="X56" s="412">
        <f>_xlfn.IFNA(VLOOKUP(A56,[5]進出口值表查詢結果!$C$11:$F$68,4,0),-[4]整車!$B$22)</f>
        <v>55</v>
      </c>
      <c r="Y56" s="412">
        <f>_xlfn.IFNA(VLOOKUP(A56,[5]進出口值表查詢結果!$C$11:$F$68,3,0),-[4]整車!$B$22)</f>
        <v>5808</v>
      </c>
      <c r="Z56" s="406">
        <f t="shared" si="7"/>
        <v>4600</v>
      </c>
      <c r="AA56" s="406">
        <f t="shared" si="8"/>
        <v>342022</v>
      </c>
    </row>
    <row r="57" spans="1:27">
      <c r="A57" s="448" t="s">
        <v>258</v>
      </c>
      <c r="B57" s="412">
        <v>0</v>
      </c>
      <c r="C57" s="412">
        <v>0</v>
      </c>
      <c r="D57" s="412">
        <v>40</v>
      </c>
      <c r="E57" s="412">
        <v>6163</v>
      </c>
      <c r="F57" s="412">
        <v>0</v>
      </c>
      <c r="G57" s="412"/>
      <c r="H57" s="412">
        <v>0</v>
      </c>
      <c r="I57" s="412">
        <v>0</v>
      </c>
      <c r="J57" s="413" t="s">
        <v>57</v>
      </c>
      <c r="K57" s="416" t="s">
        <v>57</v>
      </c>
      <c r="L57" s="412">
        <v>0</v>
      </c>
      <c r="M57" s="412">
        <v>0</v>
      </c>
      <c r="N57" s="412">
        <v>0</v>
      </c>
      <c r="O57" s="412">
        <v>0</v>
      </c>
      <c r="P57" s="412">
        <v>0</v>
      </c>
      <c r="Q57" s="412">
        <v>0</v>
      </c>
      <c r="R57" s="412">
        <v>0</v>
      </c>
      <c r="S57" s="412">
        <v>0</v>
      </c>
      <c r="T57" s="412"/>
      <c r="U57" s="412"/>
      <c r="V57" s="412">
        <f>_xlfn.IFNA(VLOOKUP(A57,[3]進出口值表查詢結果!$C$11:$F$68,4,0),-[4]整車!$B$22)</f>
        <v>0</v>
      </c>
      <c r="W57" s="412">
        <f>_xlfn.IFNA(VLOOKUP(A57,[3]進出口值表查詢結果!$C$11:$F$68,3,0),-[4]整車!$B$22)</f>
        <v>0</v>
      </c>
      <c r="X57" s="412">
        <f>_xlfn.IFNA(VLOOKUP(A57,[5]進出口值表查詢結果!$C$11:$F$68,4,0),-[4]整車!$B$22)</f>
        <v>0</v>
      </c>
      <c r="Y57" s="412">
        <f>_xlfn.IFNA(VLOOKUP(A57,[5]進出口值表查詢結果!$C$11:$F$68,3,0),-[4]整車!$B$22)</f>
        <v>0</v>
      </c>
      <c r="Z57" s="406">
        <f t="shared" si="7"/>
        <v>40</v>
      </c>
      <c r="AA57" s="406">
        <f t="shared" si="8"/>
        <v>6163</v>
      </c>
    </row>
    <row r="58" spans="1:27">
      <c r="A58" s="451" t="s">
        <v>260</v>
      </c>
      <c r="B58" s="412">
        <v>696</v>
      </c>
      <c r="C58" s="412">
        <v>253916</v>
      </c>
      <c r="D58" s="412">
        <v>1323</v>
      </c>
      <c r="E58" s="412">
        <v>281646</v>
      </c>
      <c r="F58" s="412">
        <v>898</v>
      </c>
      <c r="G58" s="412">
        <v>263987</v>
      </c>
      <c r="H58" s="412">
        <v>276</v>
      </c>
      <c r="I58" s="412">
        <v>95595</v>
      </c>
      <c r="J58" s="413">
        <v>767</v>
      </c>
      <c r="K58" s="416">
        <v>158803</v>
      </c>
      <c r="L58" s="412">
        <v>0</v>
      </c>
      <c r="M58" s="412">
        <v>0</v>
      </c>
      <c r="N58" s="426">
        <v>80</v>
      </c>
      <c r="O58" s="426">
        <v>39824</v>
      </c>
      <c r="P58" s="412">
        <v>0</v>
      </c>
      <c r="Q58" s="412">
        <v>0</v>
      </c>
      <c r="R58" s="412">
        <v>0</v>
      </c>
      <c r="S58" s="412">
        <v>0</v>
      </c>
      <c r="T58" s="412">
        <v>169</v>
      </c>
      <c r="U58" s="412">
        <v>44957</v>
      </c>
      <c r="V58" s="412">
        <f>_xlfn.IFNA(VLOOKUP(A58,[3]進出口值表查詢結果!$C$11:$F$68,4,0),-[4]整車!$B$22)</f>
        <v>0</v>
      </c>
      <c r="W58" s="412">
        <f>_xlfn.IFNA(VLOOKUP(A58,[3]進出口值表查詢結果!$C$11:$F$68,3,0),-[4]整車!$B$22)</f>
        <v>0</v>
      </c>
      <c r="X58" s="412">
        <f>_xlfn.IFNA(VLOOKUP(A58,[5]進出口值表查詢結果!$C$11:$F$68,4,0),-[4]整車!$B$22)</f>
        <v>0</v>
      </c>
      <c r="Y58" s="412">
        <f>_xlfn.IFNA(VLOOKUP(A58,[5]進出口值表查詢結果!$C$11:$F$68,3,0),-[4]整車!$B$22)</f>
        <v>0</v>
      </c>
      <c r="Z58" s="406">
        <f t="shared" si="7"/>
        <v>4209</v>
      </c>
      <c r="AA58" s="406">
        <f t="shared" si="8"/>
        <v>1138728</v>
      </c>
    </row>
    <row r="59" spans="1:27">
      <c r="A59" s="452" t="s">
        <v>17</v>
      </c>
      <c r="B59" s="412">
        <v>0</v>
      </c>
      <c r="C59" s="412">
        <v>0</v>
      </c>
      <c r="D59" s="412"/>
      <c r="E59" s="412"/>
      <c r="F59" s="412">
        <v>0</v>
      </c>
      <c r="G59" s="412"/>
      <c r="H59" s="412">
        <v>0</v>
      </c>
      <c r="I59" s="412">
        <v>0</v>
      </c>
      <c r="J59" s="413">
        <v>50</v>
      </c>
      <c r="K59" s="416">
        <v>5012</v>
      </c>
      <c r="L59" s="412">
        <v>0</v>
      </c>
      <c r="M59" s="412">
        <v>0</v>
      </c>
      <c r="N59" s="412">
        <v>0</v>
      </c>
      <c r="O59" s="412">
        <v>0</v>
      </c>
      <c r="P59" s="412">
        <v>0</v>
      </c>
      <c r="Q59" s="412">
        <v>0</v>
      </c>
      <c r="R59" s="412">
        <v>0</v>
      </c>
      <c r="S59" s="412">
        <v>0</v>
      </c>
      <c r="T59" s="412">
        <v>440</v>
      </c>
      <c r="U59" s="412">
        <v>55250</v>
      </c>
      <c r="V59" s="412">
        <f>_xlfn.IFNA(VLOOKUP(A59,[3]進出口值表查詢結果!$C$11:$F$68,4,0),-[4]整車!$B$22)</f>
        <v>0</v>
      </c>
      <c r="W59" s="412">
        <f>_xlfn.IFNA(VLOOKUP(A59,[3]進出口值表查詢結果!$C$11:$F$68,3,0),-[4]整車!$B$22)</f>
        <v>0</v>
      </c>
      <c r="X59" s="412">
        <f>_xlfn.IFNA(VLOOKUP(A59,[5]進出口值表查詢結果!$C$11:$F$68,4,0),-[4]整車!$B$22)</f>
        <v>0</v>
      </c>
      <c r="Y59" s="412">
        <f>_xlfn.IFNA(VLOOKUP(A59,[5]進出口值表查詢結果!$C$11:$F$68,3,0),-[4]整車!$B$22)</f>
        <v>0</v>
      </c>
      <c r="Z59" s="406">
        <f t="shared" si="7"/>
        <v>490</v>
      </c>
      <c r="AA59" s="406">
        <f t="shared" si="8"/>
        <v>60262</v>
      </c>
    </row>
    <row r="60" spans="1:27">
      <c r="A60" s="448" t="s">
        <v>263</v>
      </c>
      <c r="B60" s="412">
        <v>0</v>
      </c>
      <c r="C60" s="412">
        <v>0</v>
      </c>
      <c r="D60" s="412">
        <v>523</v>
      </c>
      <c r="E60" s="412">
        <v>150033</v>
      </c>
      <c r="F60" s="412">
        <v>813</v>
      </c>
      <c r="G60" s="412">
        <v>183637</v>
      </c>
      <c r="H60" s="412">
        <v>317</v>
      </c>
      <c r="I60" s="412">
        <v>63199</v>
      </c>
      <c r="J60" s="413" t="s">
        <v>57</v>
      </c>
      <c r="K60" s="416" t="s">
        <v>57</v>
      </c>
      <c r="L60" s="412">
        <v>160</v>
      </c>
      <c r="M60" s="412">
        <v>66421</v>
      </c>
      <c r="N60" s="412">
        <v>0</v>
      </c>
      <c r="O60" s="412">
        <v>0</v>
      </c>
      <c r="P60" s="412">
        <v>0</v>
      </c>
      <c r="Q60" s="412">
        <v>0</v>
      </c>
      <c r="R60" s="412">
        <v>0</v>
      </c>
      <c r="S60" s="412">
        <v>0</v>
      </c>
      <c r="T60" s="412"/>
      <c r="U60" s="412"/>
      <c r="V60" s="412">
        <f>_xlfn.IFNA(VLOOKUP(A60,[3]進出口值表查詢結果!$C$11:$F$68,4,0),-[4]整車!$B$22)</f>
        <v>0</v>
      </c>
      <c r="W60" s="412">
        <f>_xlfn.IFNA(VLOOKUP(A60,[3]進出口值表查詢結果!$C$11:$F$68,3,0),-[4]整車!$B$22)</f>
        <v>0</v>
      </c>
      <c r="X60" s="412">
        <f>_xlfn.IFNA(VLOOKUP(A60,[5]進出口值表查詢結果!$C$11:$F$68,4,0),-[4]整車!$B$22)</f>
        <v>0</v>
      </c>
      <c r="Y60" s="412">
        <f>_xlfn.IFNA(VLOOKUP(A60,[5]進出口值表查詢結果!$C$11:$F$68,3,0),-[4]整車!$B$22)</f>
        <v>0</v>
      </c>
      <c r="Z60" s="406">
        <f t="shared" si="7"/>
        <v>1813</v>
      </c>
      <c r="AA60" s="406">
        <f t="shared" si="8"/>
        <v>463290</v>
      </c>
    </row>
    <row r="61" spans="1:27">
      <c r="A61" s="411" t="s">
        <v>264</v>
      </c>
      <c r="B61" s="412">
        <v>1370</v>
      </c>
      <c r="C61" s="412">
        <v>251116</v>
      </c>
      <c r="D61" s="412">
        <v>1982</v>
      </c>
      <c r="E61" s="412">
        <v>436276</v>
      </c>
      <c r="F61" s="412">
        <v>324</v>
      </c>
      <c r="G61" s="412">
        <v>53469</v>
      </c>
      <c r="H61" s="412">
        <v>496</v>
      </c>
      <c r="I61" s="412">
        <v>109871</v>
      </c>
      <c r="J61" s="413">
        <v>113</v>
      </c>
      <c r="K61" s="427">
        <v>38322</v>
      </c>
      <c r="L61" s="412">
        <v>0</v>
      </c>
      <c r="M61" s="412">
        <v>0</v>
      </c>
      <c r="N61" s="412">
        <v>0</v>
      </c>
      <c r="O61" s="412">
        <v>0</v>
      </c>
      <c r="P61" s="412">
        <v>0</v>
      </c>
      <c r="Q61" s="412">
        <v>0</v>
      </c>
      <c r="R61" s="412">
        <v>0</v>
      </c>
      <c r="S61" s="412">
        <v>0</v>
      </c>
      <c r="T61" s="412"/>
      <c r="U61" s="412"/>
      <c r="V61" s="412">
        <f>_xlfn.IFNA(VLOOKUP(A61,[3]進出口值表查詢結果!$C$11:$F$68,4,0),-[4]整車!$B$22)</f>
        <v>0</v>
      </c>
      <c r="W61" s="412">
        <f>_xlfn.IFNA(VLOOKUP(A61,[3]進出口值表查詢結果!$C$11:$F$68,3,0),-[4]整車!$B$22)</f>
        <v>0</v>
      </c>
      <c r="X61" s="412">
        <f>_xlfn.IFNA(VLOOKUP(A61,[5]進出口值表查詢結果!$C$11:$F$68,4,0),-[4]整車!$B$22)</f>
        <v>214</v>
      </c>
      <c r="Y61" s="412">
        <f>_xlfn.IFNA(VLOOKUP(A61,[5]進出口值表查詢結果!$C$11:$F$68,3,0),-[4]整車!$B$22)</f>
        <v>33520</v>
      </c>
      <c r="Z61" s="406">
        <f t="shared" si="7"/>
        <v>4499</v>
      </c>
      <c r="AA61" s="406">
        <f t="shared" si="8"/>
        <v>922574</v>
      </c>
    </row>
    <row r="62" spans="1:27">
      <c r="A62" s="448" t="s">
        <v>266</v>
      </c>
      <c r="B62" s="412">
        <v>70</v>
      </c>
      <c r="C62" s="412">
        <v>43452</v>
      </c>
      <c r="D62" s="412">
        <v>261</v>
      </c>
      <c r="E62" s="412">
        <v>64456</v>
      </c>
      <c r="F62" s="412">
        <v>18</v>
      </c>
      <c r="G62" s="412">
        <v>17756</v>
      </c>
      <c r="H62" s="412">
        <v>0</v>
      </c>
      <c r="I62" s="412">
        <v>0</v>
      </c>
      <c r="J62" s="413" t="s">
        <v>57</v>
      </c>
      <c r="K62" s="416" t="s">
        <v>57</v>
      </c>
      <c r="L62" s="412">
        <v>25</v>
      </c>
      <c r="M62" s="412">
        <v>23023</v>
      </c>
      <c r="N62" s="412">
        <v>0</v>
      </c>
      <c r="O62" s="412">
        <v>0</v>
      </c>
      <c r="P62" s="412">
        <v>0</v>
      </c>
      <c r="Q62" s="412">
        <v>0</v>
      </c>
      <c r="R62" s="412">
        <v>0</v>
      </c>
      <c r="S62" s="412">
        <v>0</v>
      </c>
      <c r="T62" s="412"/>
      <c r="U62" s="412"/>
      <c r="V62" s="412">
        <f>_xlfn.IFNA(VLOOKUP(A62,[3]進出口值表查詢結果!$C$11:$F$68,4,0),-[4]整車!$B$22)</f>
        <v>1</v>
      </c>
      <c r="W62" s="412">
        <f>_xlfn.IFNA(VLOOKUP(A62,[3]進出口值表查詢結果!$C$11:$F$68,3,0),-[4]整車!$B$22)</f>
        <v>3951</v>
      </c>
      <c r="X62" s="412">
        <f>_xlfn.IFNA(VLOOKUP(A62,[5]進出口值表查詢結果!$C$11:$F$68,4,0),-[4]整車!$B$22)</f>
        <v>355</v>
      </c>
      <c r="Y62" s="412">
        <f>_xlfn.IFNA(VLOOKUP(A62,[5]進出口值表查詢結果!$C$11:$F$68,3,0),-[4]整車!$B$22)</f>
        <v>93772</v>
      </c>
      <c r="Z62" s="406">
        <f t="shared" si="7"/>
        <v>730</v>
      </c>
      <c r="AA62" s="406">
        <f t="shared" si="8"/>
        <v>246410</v>
      </c>
    </row>
    <row r="63" spans="1:27">
      <c r="A63" s="451" t="s">
        <v>402</v>
      </c>
      <c r="B63" s="412">
        <v>0</v>
      </c>
      <c r="C63" s="412">
        <v>0</v>
      </c>
      <c r="D63" s="412"/>
      <c r="E63" s="412"/>
      <c r="F63" s="412">
        <v>80</v>
      </c>
      <c r="G63" s="412">
        <v>11981</v>
      </c>
      <c r="H63" s="412">
        <v>125</v>
      </c>
      <c r="I63" s="412">
        <v>14310</v>
      </c>
      <c r="J63" s="413">
        <v>100</v>
      </c>
      <c r="K63" s="416">
        <v>16037</v>
      </c>
      <c r="L63" s="412">
        <v>0</v>
      </c>
      <c r="M63" s="412">
        <v>0</v>
      </c>
      <c r="N63" s="412">
        <v>0</v>
      </c>
      <c r="O63" s="412">
        <v>0</v>
      </c>
      <c r="P63" s="412">
        <v>0</v>
      </c>
      <c r="Q63" s="412">
        <v>0</v>
      </c>
      <c r="R63" s="412">
        <v>0</v>
      </c>
      <c r="S63" s="412">
        <v>0</v>
      </c>
      <c r="T63" s="412">
        <v>125</v>
      </c>
      <c r="U63" s="412">
        <v>16317</v>
      </c>
      <c r="V63" s="412">
        <f>_xlfn.IFNA(VLOOKUP(A63,[3]進出口值表查詢結果!$C$11:$F$68,4,0),-[4]整車!$B$22)</f>
        <v>0</v>
      </c>
      <c r="W63" s="412">
        <f>_xlfn.IFNA(VLOOKUP(A63,[3]進出口值表查詢結果!$C$11:$F$68,3,0),-[4]整車!$B$22)</f>
        <v>0</v>
      </c>
      <c r="X63" s="412">
        <f>_xlfn.IFNA(VLOOKUP(A63,[5]進出口值表查詢結果!$C$11:$F$68,4,0),-[4]整車!$B$22)</f>
        <v>340</v>
      </c>
      <c r="Y63" s="412">
        <f>_xlfn.IFNA(VLOOKUP(A63,[5]進出口值表查詢結果!$C$11:$F$68,3,0),-[4]整車!$B$22)</f>
        <v>50840</v>
      </c>
      <c r="Z63" s="406">
        <f t="shared" si="7"/>
        <v>770</v>
      </c>
      <c r="AA63" s="406">
        <f t="shared" si="8"/>
        <v>109485</v>
      </c>
    </row>
    <row r="64" spans="1:27">
      <c r="A64" s="448" t="s">
        <v>185</v>
      </c>
      <c r="B64" s="412">
        <v>44</v>
      </c>
      <c r="C64" s="412">
        <v>6265</v>
      </c>
      <c r="D64" s="412"/>
      <c r="E64" s="412"/>
      <c r="F64" s="412">
        <v>0</v>
      </c>
      <c r="G64" s="412"/>
      <c r="H64" s="412">
        <v>0</v>
      </c>
      <c r="I64" s="412">
        <v>0</v>
      </c>
      <c r="J64" s="413">
        <v>74</v>
      </c>
      <c r="K64" s="416">
        <v>8920</v>
      </c>
      <c r="L64" s="412">
        <v>0</v>
      </c>
      <c r="M64" s="412">
        <v>0</v>
      </c>
      <c r="N64" s="412">
        <v>0</v>
      </c>
      <c r="O64" s="412">
        <v>0</v>
      </c>
      <c r="P64" s="412">
        <v>35</v>
      </c>
      <c r="Q64" s="412">
        <v>5625</v>
      </c>
      <c r="R64" s="412">
        <v>45</v>
      </c>
      <c r="S64" s="412">
        <v>4959</v>
      </c>
      <c r="T64" s="412">
        <v>42</v>
      </c>
      <c r="U64" s="412">
        <v>6127</v>
      </c>
      <c r="V64" s="412">
        <f>_xlfn.IFNA(VLOOKUP(A64,[3]進出口值表查詢結果!$C$11:$F$68,4,0),-[4]整車!$B$22)</f>
        <v>0</v>
      </c>
      <c r="W64" s="412">
        <f>_xlfn.IFNA(VLOOKUP(A64,[3]進出口值表查詢結果!$C$11:$F$68,3,0),-[4]整車!$B$22)</f>
        <v>0</v>
      </c>
      <c r="X64" s="412">
        <f>_xlfn.IFNA(VLOOKUP(A64,[5]進出口值表查詢結果!$C$11:$F$68,4,0),-[4]整車!$B$22)</f>
        <v>0</v>
      </c>
      <c r="Y64" s="412">
        <f>_xlfn.IFNA(VLOOKUP(A64,[5]進出口值表查詢結果!$C$11:$F$68,3,0),-[4]整車!$B$22)</f>
        <v>0</v>
      </c>
      <c r="Z64" s="406">
        <f t="shared" si="7"/>
        <v>240</v>
      </c>
      <c r="AA64" s="406">
        <f t="shared" si="8"/>
        <v>31896</v>
      </c>
    </row>
    <row r="65" spans="1:27">
      <c r="A65" s="448" t="s">
        <v>180</v>
      </c>
      <c r="B65" s="412">
        <v>0</v>
      </c>
      <c r="C65" s="412">
        <v>0</v>
      </c>
      <c r="D65" s="412"/>
      <c r="E65" s="412"/>
      <c r="F65" s="412">
        <v>20</v>
      </c>
      <c r="G65" s="412">
        <v>7667</v>
      </c>
      <c r="H65" s="412">
        <v>0</v>
      </c>
      <c r="I65" s="412">
        <v>0</v>
      </c>
      <c r="J65" s="413">
        <v>53</v>
      </c>
      <c r="K65" s="416">
        <v>6883</v>
      </c>
      <c r="L65" s="412">
        <v>0</v>
      </c>
      <c r="M65" s="412">
        <v>0</v>
      </c>
      <c r="N65" s="412">
        <v>0</v>
      </c>
      <c r="O65" s="412">
        <v>0</v>
      </c>
      <c r="P65" s="412">
        <v>0</v>
      </c>
      <c r="Q65" s="412">
        <v>0</v>
      </c>
      <c r="R65" s="412">
        <v>46</v>
      </c>
      <c r="S65" s="412">
        <v>5740</v>
      </c>
      <c r="T65" s="412"/>
      <c r="U65" s="412"/>
      <c r="V65" s="412">
        <f>_xlfn.IFNA(VLOOKUP(A65,[3]進出口值表查詢結果!$C$11:$F$68,4,0),-[4]整車!$B$22)</f>
        <v>53</v>
      </c>
      <c r="W65" s="412">
        <f>_xlfn.IFNA(VLOOKUP(A65,[3]進出口值表查詢結果!$C$11:$F$68,3,0),-[4]整車!$B$22)</f>
        <v>6170</v>
      </c>
      <c r="X65" s="412">
        <f>_xlfn.IFNA(VLOOKUP(A65,[5]進出口值表查詢結果!$C$11:$F$68,4,0),-[4]整車!$B$22)</f>
        <v>0</v>
      </c>
      <c r="Y65" s="412">
        <f>_xlfn.IFNA(VLOOKUP(A65,[5]進出口值表查詢結果!$C$11:$F$68,3,0),-[4]整車!$B$22)</f>
        <v>0</v>
      </c>
      <c r="Z65" s="406">
        <f t="shared" si="7"/>
        <v>172</v>
      </c>
      <c r="AA65" s="406">
        <f t="shared" si="8"/>
        <v>26460</v>
      </c>
    </row>
    <row r="66" spans="1:27">
      <c r="A66" s="448" t="s">
        <v>270</v>
      </c>
      <c r="B66" s="412">
        <v>16</v>
      </c>
      <c r="C66" s="412">
        <v>8064</v>
      </c>
      <c r="D66" s="412">
        <v>400</v>
      </c>
      <c r="E66" s="412">
        <v>74984</v>
      </c>
      <c r="F66" s="412">
        <v>130</v>
      </c>
      <c r="G66" s="412">
        <v>19515</v>
      </c>
      <c r="H66" s="412">
        <v>120</v>
      </c>
      <c r="I66" s="412">
        <v>19543</v>
      </c>
      <c r="J66" s="413">
        <v>235</v>
      </c>
      <c r="K66" s="416">
        <v>45740</v>
      </c>
      <c r="L66" s="412">
        <v>0</v>
      </c>
      <c r="M66" s="412">
        <v>0</v>
      </c>
      <c r="N66" s="412">
        <v>0</v>
      </c>
      <c r="O66" s="412">
        <v>0</v>
      </c>
      <c r="P66" s="412">
        <v>0</v>
      </c>
      <c r="Q66" s="412">
        <v>0</v>
      </c>
      <c r="R66" s="412">
        <v>0</v>
      </c>
      <c r="S66" s="412">
        <v>0</v>
      </c>
      <c r="T66" s="412"/>
      <c r="U66" s="412"/>
      <c r="V66" s="412">
        <f>_xlfn.IFNA(VLOOKUP(A66,[3]進出口值表查詢結果!$C$11:$F$68,4,0),-[4]整車!$B$22)</f>
        <v>0</v>
      </c>
      <c r="W66" s="412">
        <f>_xlfn.IFNA(VLOOKUP(A66,[3]進出口值表查詢結果!$C$11:$F$68,3,0),-[4]整車!$B$22)</f>
        <v>0</v>
      </c>
      <c r="X66" s="412">
        <f>_xlfn.IFNA(VLOOKUP(A66,[5]進出口值表查詢結果!$C$11:$F$68,4,0),-[4]整車!$B$22)</f>
        <v>0</v>
      </c>
      <c r="Y66" s="412">
        <f>_xlfn.IFNA(VLOOKUP(A66,[5]進出口值表查詢結果!$C$11:$F$68,3,0),-[4]整車!$B$22)</f>
        <v>0</v>
      </c>
      <c r="Z66" s="406">
        <f t="shared" si="7"/>
        <v>901</v>
      </c>
      <c r="AA66" s="406">
        <f t="shared" si="8"/>
        <v>167846</v>
      </c>
    </row>
    <row r="67" spans="1:27">
      <c r="A67" s="415"/>
      <c r="B67" s="412"/>
      <c r="C67" s="412"/>
      <c r="D67" s="412"/>
      <c r="E67" s="412"/>
      <c r="F67" s="412"/>
      <c r="G67" s="412"/>
      <c r="H67" s="412"/>
      <c r="I67" s="412"/>
      <c r="J67" s="413"/>
      <c r="K67" s="414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06"/>
      <c r="AA67" s="406"/>
    </row>
    <row r="68" spans="1:27">
      <c r="A68" s="428" t="s">
        <v>19</v>
      </c>
      <c r="B68" s="429">
        <f t="shared" ref="B68:G68" si="9">SUM(B69:B73)</f>
        <v>6047</v>
      </c>
      <c r="C68" s="429">
        <f t="shared" si="9"/>
        <v>3779240</v>
      </c>
      <c r="D68" s="429">
        <f t="shared" si="9"/>
        <v>4374</v>
      </c>
      <c r="E68" s="429">
        <f t="shared" si="9"/>
        <v>2793538</v>
      </c>
      <c r="F68" s="429">
        <f t="shared" si="9"/>
        <v>3335</v>
      </c>
      <c r="G68" s="429">
        <f t="shared" si="9"/>
        <v>1866843</v>
      </c>
      <c r="H68" s="429">
        <f>SUM(H69:H73)</f>
        <v>2480</v>
      </c>
      <c r="I68" s="429">
        <f>SUM(I69:I73)</f>
        <v>1512983</v>
      </c>
      <c r="J68" s="430">
        <f t="shared" ref="J68:O68" si="10">SUM(J69:J73)</f>
        <v>1816</v>
      </c>
      <c r="K68" s="431">
        <f t="shared" si="10"/>
        <v>1480084</v>
      </c>
      <c r="L68" s="429">
        <f t="shared" si="10"/>
        <v>1849</v>
      </c>
      <c r="M68" s="429">
        <f t="shared" si="10"/>
        <v>1617191</v>
      </c>
      <c r="N68" s="429">
        <f t="shared" si="10"/>
        <v>1838</v>
      </c>
      <c r="O68" s="429">
        <f t="shared" si="10"/>
        <v>1928770</v>
      </c>
      <c r="P68" s="429">
        <f>SUM(P69:P73)</f>
        <v>1960</v>
      </c>
      <c r="Q68" s="429">
        <f>SUM(Q69:Q73)</f>
        <v>1999119</v>
      </c>
      <c r="R68" s="429">
        <f t="shared" ref="R68:Y68" si="11">SUM(R69:R73)</f>
        <v>1097</v>
      </c>
      <c r="S68" s="429">
        <f t="shared" si="11"/>
        <v>1708965</v>
      </c>
      <c r="T68" s="429">
        <f t="shared" si="11"/>
        <v>2389</v>
      </c>
      <c r="U68" s="429">
        <f t="shared" si="11"/>
        <v>2156903</v>
      </c>
      <c r="V68" s="429">
        <f>SUM(V69:V73)</f>
        <v>1149</v>
      </c>
      <c r="W68" s="429">
        <f>SUM(W69:W73)</f>
        <v>1843745</v>
      </c>
      <c r="X68" s="429">
        <f t="shared" si="11"/>
        <v>3615</v>
      </c>
      <c r="Y68" s="429">
        <f t="shared" si="11"/>
        <v>4337331</v>
      </c>
      <c r="Z68" s="423">
        <f t="shared" ref="Z68:AA73" si="12">SUM(B68,D68,F68,H68,J68,L68,N68,P68,R68,T68,V68,X68)</f>
        <v>31949</v>
      </c>
      <c r="AA68" s="423">
        <f t="shared" si="12"/>
        <v>27024712</v>
      </c>
    </row>
    <row r="69" spans="1:27">
      <c r="A69" s="448" t="s">
        <v>178</v>
      </c>
      <c r="B69" s="412">
        <v>1857</v>
      </c>
      <c r="C69" s="412">
        <v>2017794</v>
      </c>
      <c r="D69" s="412">
        <v>1373</v>
      </c>
      <c r="E69" s="412">
        <v>1011526</v>
      </c>
      <c r="F69" s="412">
        <v>425</v>
      </c>
      <c r="G69" s="412">
        <v>428146</v>
      </c>
      <c r="H69" s="412">
        <v>671</v>
      </c>
      <c r="I69" s="412">
        <v>699536</v>
      </c>
      <c r="J69" s="413">
        <v>587</v>
      </c>
      <c r="K69" s="414">
        <v>1041998</v>
      </c>
      <c r="L69" s="412">
        <v>1055</v>
      </c>
      <c r="M69" s="412">
        <v>1243264</v>
      </c>
      <c r="N69" s="426">
        <v>947</v>
      </c>
      <c r="O69" s="426">
        <v>1493476</v>
      </c>
      <c r="P69" s="412">
        <v>1258</v>
      </c>
      <c r="Q69" s="412">
        <v>1726838</v>
      </c>
      <c r="R69" s="412">
        <v>988</v>
      </c>
      <c r="S69" s="412">
        <v>1565929</v>
      </c>
      <c r="T69" s="412">
        <v>2202</v>
      </c>
      <c r="U69" s="412">
        <v>2043237</v>
      </c>
      <c r="V69" s="412">
        <f>_xlfn.IFNA(VLOOKUP(A69,[3]進出口值表查詢結果!$C$11:$F$68,4,0),-[4]整車!$B$22)</f>
        <v>835</v>
      </c>
      <c r="W69" s="412">
        <f>_xlfn.IFNA(VLOOKUP(A69,[3]進出口值表查詢結果!$C$11:$F$68,3,0),-[4]整車!$B$22)</f>
        <v>1325166</v>
      </c>
      <c r="X69" s="412">
        <f>_xlfn.IFNA(VLOOKUP(A69,[5]進出口值表查詢結果!$C$11:$F$68,4,0),-[4]整車!$B$22)</f>
        <v>2736</v>
      </c>
      <c r="Y69" s="412">
        <f>_xlfn.IFNA(VLOOKUP(A69,[5]進出口值表查詢結果!$C$11:$F$68,3,0),-[4]整車!$B$22)</f>
        <v>3402098</v>
      </c>
      <c r="Z69" s="406">
        <f t="shared" si="12"/>
        <v>14934</v>
      </c>
      <c r="AA69" s="406">
        <f t="shared" si="12"/>
        <v>17999008</v>
      </c>
    </row>
    <row r="70" spans="1:27">
      <c r="A70" s="448" t="s">
        <v>271</v>
      </c>
      <c r="B70" s="412">
        <v>4127</v>
      </c>
      <c r="C70" s="412">
        <v>1691969</v>
      </c>
      <c r="D70" s="412">
        <v>2950</v>
      </c>
      <c r="E70" s="412">
        <v>1716256</v>
      </c>
      <c r="F70" s="412">
        <v>2760</v>
      </c>
      <c r="G70" s="412">
        <v>1417688</v>
      </c>
      <c r="H70" s="412">
        <v>1808</v>
      </c>
      <c r="I70" s="412">
        <v>811327</v>
      </c>
      <c r="J70" s="413">
        <v>1210</v>
      </c>
      <c r="K70" s="414">
        <v>402504</v>
      </c>
      <c r="L70" s="412">
        <v>780</v>
      </c>
      <c r="M70" s="412">
        <v>350268</v>
      </c>
      <c r="N70" s="426">
        <v>875</v>
      </c>
      <c r="O70" s="426">
        <v>407876</v>
      </c>
      <c r="P70" s="412">
        <v>700</v>
      </c>
      <c r="Q70" s="412">
        <v>267943</v>
      </c>
      <c r="R70" s="412">
        <v>108</v>
      </c>
      <c r="S70" s="412">
        <v>140862</v>
      </c>
      <c r="T70" s="412">
        <v>186</v>
      </c>
      <c r="U70" s="412">
        <v>111463</v>
      </c>
      <c r="V70" s="412">
        <f>_xlfn.IFNA(VLOOKUP(A70,[3]進出口值表查詢結果!$C$11:$F$68,4,0),-[4]整車!$B$22)</f>
        <v>314</v>
      </c>
      <c r="W70" s="412">
        <f>_xlfn.IFNA(VLOOKUP(A70,[3]進出口值表查詢結果!$C$11:$F$68,3,0),-[4]整車!$B$22)</f>
        <v>518579</v>
      </c>
      <c r="X70" s="412">
        <f>_xlfn.IFNA(VLOOKUP(A70,[5]進出口值表查詢結果!$C$11:$F$68,4,0),-[4]整車!$B$22)</f>
        <v>838</v>
      </c>
      <c r="Y70" s="412">
        <f>_xlfn.IFNA(VLOOKUP(A70,[5]進出口值表查詢結果!$C$11:$F$68,3,0),-[4]整車!$B$22)</f>
        <v>906262</v>
      </c>
      <c r="Z70" s="406">
        <f t="shared" si="12"/>
        <v>16656</v>
      </c>
      <c r="AA70" s="406">
        <f t="shared" si="12"/>
        <v>8742997</v>
      </c>
    </row>
    <row r="71" spans="1:27">
      <c r="A71" s="448" t="s">
        <v>272</v>
      </c>
      <c r="B71" s="412">
        <v>63</v>
      </c>
      <c r="C71" s="412">
        <v>69477</v>
      </c>
      <c r="D71" s="412">
        <v>51</v>
      </c>
      <c r="E71" s="412">
        <v>65756</v>
      </c>
      <c r="F71" s="412">
        <v>150</v>
      </c>
      <c r="G71" s="412">
        <v>21009</v>
      </c>
      <c r="H71" s="412">
        <v>1</v>
      </c>
      <c r="I71" s="412">
        <v>2120</v>
      </c>
      <c r="J71" s="413">
        <v>19</v>
      </c>
      <c r="K71" s="414">
        <v>35582</v>
      </c>
      <c r="L71" s="412">
        <v>14</v>
      </c>
      <c r="M71" s="412">
        <v>23659</v>
      </c>
      <c r="N71" s="426">
        <v>16</v>
      </c>
      <c r="O71" s="426">
        <v>27418</v>
      </c>
      <c r="P71" s="412">
        <v>2</v>
      </c>
      <c r="Q71" s="412">
        <v>4338</v>
      </c>
      <c r="R71" s="412">
        <v>1</v>
      </c>
      <c r="S71" s="412">
        <v>2174</v>
      </c>
      <c r="T71" s="412">
        <v>1</v>
      </c>
      <c r="U71" s="412">
        <v>2203</v>
      </c>
      <c r="V71" s="412">
        <f>_xlfn.IFNA(VLOOKUP(A71,[3]進出口值表查詢結果!$C$11:$F$68,4,0),-[4]整車!$B$22)</f>
        <v>0</v>
      </c>
      <c r="W71" s="412">
        <f>_xlfn.IFNA(VLOOKUP(A71,[3]進出口值表查詢結果!$C$11:$F$68,3,0),-[4]整車!$B$22)</f>
        <v>0</v>
      </c>
      <c r="X71" s="412">
        <f>_xlfn.IFNA(VLOOKUP(A71,[5]進出口值表查詢結果!$C$11:$F$68,4,0),-[4]整車!$B$22)</f>
        <v>41</v>
      </c>
      <c r="Y71" s="412">
        <f>_xlfn.IFNA(VLOOKUP(A71,[5]進出口值表查詢結果!$C$11:$F$68,3,0),-[4]整車!$B$22)</f>
        <v>28971</v>
      </c>
      <c r="Z71" s="406">
        <f t="shared" si="12"/>
        <v>359</v>
      </c>
      <c r="AA71" s="406">
        <f t="shared" si="12"/>
        <v>282707</v>
      </c>
    </row>
    <row r="72" spans="1:27">
      <c r="A72" s="448" t="s">
        <v>274</v>
      </c>
      <c r="B72" s="412">
        <v>0</v>
      </c>
      <c r="C72" s="412">
        <v>0</v>
      </c>
      <c r="D72" s="412"/>
      <c r="E72" s="412"/>
      <c r="F72" s="412">
        <v>0</v>
      </c>
      <c r="G72" s="412"/>
      <c r="H72" s="412">
        <v>0</v>
      </c>
      <c r="I72" s="412">
        <v>0</v>
      </c>
      <c r="J72" s="413" t="s">
        <v>57</v>
      </c>
      <c r="K72" s="416" t="s">
        <v>57</v>
      </c>
      <c r="L72" s="412">
        <v>0</v>
      </c>
      <c r="M72" s="412">
        <v>0</v>
      </c>
      <c r="N72" s="412">
        <v>0</v>
      </c>
      <c r="O72" s="412">
        <v>0</v>
      </c>
      <c r="P72" s="412">
        <v>0</v>
      </c>
      <c r="Q72" s="412">
        <v>0</v>
      </c>
      <c r="R72" s="412">
        <v>0</v>
      </c>
      <c r="S72" s="412">
        <v>0</v>
      </c>
      <c r="T72" s="412"/>
      <c r="U72" s="412"/>
      <c r="V72" s="412">
        <f>_xlfn.IFNA(VLOOKUP(A72,[3]進出口值表查詢結果!$C$11:$F$68,4,0),-[4]整車!$B$22)</f>
        <v>0</v>
      </c>
      <c r="W72" s="412">
        <f>_xlfn.IFNA(VLOOKUP(A72,[3]進出口值表查詢結果!$C$11:$F$68,3,0),-[4]整車!$B$22)</f>
        <v>0</v>
      </c>
      <c r="X72" s="412">
        <f>_xlfn.IFNA(VLOOKUP(A72,[5]進出口值表查詢結果!$C$11:$F$68,4,0),-[4]整車!$B$22)</f>
        <v>0</v>
      </c>
      <c r="Y72" s="412">
        <f>_xlfn.IFNA(VLOOKUP(A72,[5]進出口值表查詢結果!$C$11:$F$68,3,0),-[4]整車!$B$22)</f>
        <v>0</v>
      </c>
      <c r="Z72" s="406">
        <f t="shared" si="12"/>
        <v>0</v>
      </c>
      <c r="AA72" s="406">
        <f t="shared" si="12"/>
        <v>0</v>
      </c>
    </row>
    <row r="73" spans="1:27">
      <c r="A73" s="448" t="s">
        <v>273</v>
      </c>
      <c r="B73" s="412">
        <v>0</v>
      </c>
      <c r="C73" s="412">
        <v>0</v>
      </c>
      <c r="D73" s="412"/>
      <c r="E73" s="412"/>
      <c r="F73" s="412">
        <v>0</v>
      </c>
      <c r="G73" s="412"/>
      <c r="H73" s="412">
        <v>0</v>
      </c>
      <c r="I73" s="412">
        <v>0</v>
      </c>
      <c r="J73" s="413" t="s">
        <v>57</v>
      </c>
      <c r="K73" s="416" t="s">
        <v>57</v>
      </c>
      <c r="L73" s="412">
        <v>0</v>
      </c>
      <c r="M73" s="412">
        <v>0</v>
      </c>
      <c r="N73" s="412">
        <v>0</v>
      </c>
      <c r="O73" s="412">
        <v>0</v>
      </c>
      <c r="P73" s="412">
        <v>0</v>
      </c>
      <c r="Q73" s="412">
        <v>0</v>
      </c>
      <c r="R73" s="412">
        <v>0</v>
      </c>
      <c r="S73" s="412">
        <v>0</v>
      </c>
      <c r="T73" s="412"/>
      <c r="U73" s="412"/>
      <c r="V73" s="412">
        <f>_xlfn.IFNA(VLOOKUP(A73,[3]進出口值表查詢結果!$C$11:$F$68,4,0),-[4]整車!$B$22)</f>
        <v>0</v>
      </c>
      <c r="W73" s="412">
        <f>_xlfn.IFNA(VLOOKUP(A73,[3]進出口值表查詢結果!$C$11:$F$68,3,0),-[4]整車!$B$22)</f>
        <v>0</v>
      </c>
      <c r="X73" s="412">
        <f>_xlfn.IFNA(VLOOKUP(A73,[5]進出口值表查詢結果!$C$11:$F$68,4,0),-[4]整車!$B$22)</f>
        <v>0</v>
      </c>
      <c r="Y73" s="412">
        <f>_xlfn.IFNA(VLOOKUP(A73,[5]進出口值表查詢結果!$C$11:$F$68,3,0),-[4]整車!$B$22)</f>
        <v>0</v>
      </c>
      <c r="Z73" s="406">
        <f t="shared" si="12"/>
        <v>0</v>
      </c>
      <c r="AA73" s="406">
        <f t="shared" si="12"/>
        <v>0</v>
      </c>
    </row>
    <row r="74" spans="1:27">
      <c r="A74" s="415"/>
      <c r="B74" s="412"/>
      <c r="C74" s="412"/>
      <c r="D74" s="412"/>
      <c r="E74" s="412"/>
      <c r="F74" s="412"/>
      <c r="G74" s="412"/>
      <c r="H74" s="412"/>
      <c r="I74" s="412"/>
      <c r="J74" s="413"/>
      <c r="K74" s="414"/>
      <c r="L74" s="412"/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12"/>
      <c r="Y74" s="412"/>
      <c r="Z74" s="406"/>
      <c r="AA74" s="406"/>
    </row>
    <row r="75" spans="1:27">
      <c r="A75" s="428" t="s">
        <v>138</v>
      </c>
      <c r="B75" s="429">
        <f t="shared" ref="B75:Y75" si="13">SUM(B76:B83)</f>
        <v>1775</v>
      </c>
      <c r="C75" s="429">
        <f t="shared" si="13"/>
        <v>791303</v>
      </c>
      <c r="D75" s="429">
        <f t="shared" si="13"/>
        <v>1901</v>
      </c>
      <c r="E75" s="429">
        <f t="shared" si="13"/>
        <v>631147</v>
      </c>
      <c r="F75" s="429">
        <f t="shared" si="13"/>
        <v>1325</v>
      </c>
      <c r="G75" s="429">
        <f t="shared" si="13"/>
        <v>919450</v>
      </c>
      <c r="H75" s="429">
        <f t="shared" si="13"/>
        <v>631</v>
      </c>
      <c r="I75" s="429">
        <f>SUM(I76:I83)</f>
        <v>220966</v>
      </c>
      <c r="J75" s="430">
        <f t="shared" si="13"/>
        <v>474</v>
      </c>
      <c r="K75" s="431">
        <f>SUM(K76:K83)</f>
        <v>186768</v>
      </c>
      <c r="L75" s="429">
        <f t="shared" si="13"/>
        <v>1046</v>
      </c>
      <c r="M75" s="429">
        <f t="shared" si="13"/>
        <v>357239</v>
      </c>
      <c r="N75" s="429">
        <f t="shared" si="13"/>
        <v>1359</v>
      </c>
      <c r="O75" s="429">
        <f t="shared" si="13"/>
        <v>836881</v>
      </c>
      <c r="P75" s="429">
        <f t="shared" si="13"/>
        <v>164</v>
      </c>
      <c r="Q75" s="429">
        <f t="shared" si="13"/>
        <v>201186</v>
      </c>
      <c r="R75" s="429">
        <f t="shared" si="13"/>
        <v>785</v>
      </c>
      <c r="S75" s="429">
        <f t="shared" si="13"/>
        <v>324287</v>
      </c>
      <c r="T75" s="429">
        <f t="shared" si="13"/>
        <v>2780</v>
      </c>
      <c r="U75" s="429">
        <f t="shared" si="13"/>
        <v>855146</v>
      </c>
      <c r="V75" s="429">
        <f>SUM(V76:V83)</f>
        <v>1929</v>
      </c>
      <c r="W75" s="429">
        <f>SUM(W76:W83)</f>
        <v>885513</v>
      </c>
      <c r="X75" s="429">
        <f t="shared" si="13"/>
        <v>3092</v>
      </c>
      <c r="Y75" s="429">
        <f t="shared" si="13"/>
        <v>1404864</v>
      </c>
      <c r="Z75" s="423">
        <f t="shared" ref="Z75:Z83" si="14">SUM(B75,D75,F75,H75,J75,L75,N75,P75,R75,T75,V75,X75)</f>
        <v>17261</v>
      </c>
      <c r="AA75" s="423">
        <f t="shared" ref="AA75:AA83" si="15">SUM(C75,E75,G75,I75,K75,M75,O75,Q75,S75,U75,W75,Y75)</f>
        <v>7614750</v>
      </c>
    </row>
    <row r="76" spans="1:27">
      <c r="A76" s="448" t="s">
        <v>276</v>
      </c>
      <c r="B76" s="412">
        <v>1579</v>
      </c>
      <c r="C76" s="412">
        <v>669877</v>
      </c>
      <c r="D76" s="412">
        <v>1436</v>
      </c>
      <c r="E76" s="412">
        <v>495570</v>
      </c>
      <c r="F76" s="412">
        <v>931</v>
      </c>
      <c r="G76" s="412">
        <v>702788</v>
      </c>
      <c r="H76" s="412">
        <v>631</v>
      </c>
      <c r="I76" s="412">
        <v>220966</v>
      </c>
      <c r="J76" s="413">
        <v>324</v>
      </c>
      <c r="K76" s="427">
        <v>164549</v>
      </c>
      <c r="L76" s="412">
        <v>815</v>
      </c>
      <c r="M76" s="412">
        <v>323962</v>
      </c>
      <c r="N76" s="426">
        <v>822</v>
      </c>
      <c r="O76" s="426">
        <v>518255</v>
      </c>
      <c r="P76" s="412">
        <v>119</v>
      </c>
      <c r="Q76" s="412">
        <v>179634</v>
      </c>
      <c r="R76" s="412">
        <v>495</v>
      </c>
      <c r="S76" s="412">
        <v>221230</v>
      </c>
      <c r="T76" s="412">
        <v>2780</v>
      </c>
      <c r="U76" s="412">
        <v>855146</v>
      </c>
      <c r="V76" s="412">
        <f>_xlfn.IFNA(VLOOKUP(A76,[3]進出口值表查詢結果!$C$11:$F$68,4,0),-[4]整車!$B$22)</f>
        <v>1812</v>
      </c>
      <c r="W76" s="412">
        <f>_xlfn.IFNA(VLOOKUP(A76,[3]進出口值表查詢結果!$C$11:$F$68,3,0),-[4]整車!$B$22)</f>
        <v>779724</v>
      </c>
      <c r="X76" s="412">
        <f>_xlfn.IFNA(VLOOKUP(A76,[5]進出口值表查詢結果!$C$11:$F$68,4,0),-[4]整車!$B$22)</f>
        <v>2631</v>
      </c>
      <c r="Y76" s="412">
        <f>_xlfn.IFNA(VLOOKUP(A76,[5]進出口值表查詢結果!$C$11:$F$68,3,0),-[4]整車!$B$22)</f>
        <v>1193493</v>
      </c>
      <c r="Z76" s="406">
        <f t="shared" si="14"/>
        <v>14375</v>
      </c>
      <c r="AA76" s="406">
        <f t="shared" si="15"/>
        <v>6325194</v>
      </c>
    </row>
    <row r="77" spans="1:27">
      <c r="A77" s="448" t="s">
        <v>277</v>
      </c>
      <c r="B77" s="412">
        <v>0</v>
      </c>
      <c r="C77" s="412">
        <v>0</v>
      </c>
      <c r="D77" s="412"/>
      <c r="E77" s="412"/>
      <c r="F77" s="412">
        <v>0</v>
      </c>
      <c r="G77" s="412"/>
      <c r="H77" s="412">
        <v>0</v>
      </c>
      <c r="I77" s="412">
        <v>0</v>
      </c>
      <c r="J77" s="413" t="s">
        <v>57</v>
      </c>
      <c r="K77" s="416" t="s">
        <v>57</v>
      </c>
      <c r="L77" s="412">
        <v>0</v>
      </c>
      <c r="M77" s="412">
        <v>0</v>
      </c>
      <c r="N77" s="412">
        <v>0</v>
      </c>
      <c r="O77" s="412">
        <v>0</v>
      </c>
      <c r="P77" s="412">
        <v>0</v>
      </c>
      <c r="Q77" s="412">
        <v>0</v>
      </c>
      <c r="R77" s="412">
        <v>0</v>
      </c>
      <c r="S77" s="412">
        <v>0</v>
      </c>
      <c r="T77" s="412"/>
      <c r="U77" s="412"/>
      <c r="V77" s="412">
        <f>_xlfn.IFNA(VLOOKUP(A77,[3]進出口值表查詢結果!$C$11:$F$68,4,0),-[4]整車!$B$22)</f>
        <v>0</v>
      </c>
      <c r="W77" s="412">
        <f>_xlfn.IFNA(VLOOKUP(A77,[3]進出口值表查詢結果!$C$11:$F$68,3,0),-[4]整車!$B$22)</f>
        <v>0</v>
      </c>
      <c r="X77" s="412">
        <f>_xlfn.IFNA(VLOOKUP(A77,[5]進出口值表查詢結果!$C$11:$F$68,4,0),-[4]整車!$B$22)</f>
        <v>0</v>
      </c>
      <c r="Y77" s="412">
        <f>_xlfn.IFNA(VLOOKUP(A77,[5]進出口值表查詢結果!$C$11:$F$68,3,0),-[4]整車!$B$22)</f>
        <v>0</v>
      </c>
      <c r="Z77" s="406">
        <f t="shared" si="14"/>
        <v>0</v>
      </c>
      <c r="AA77" s="406">
        <f t="shared" si="15"/>
        <v>0</v>
      </c>
    </row>
    <row r="78" spans="1:27">
      <c r="A78" s="448" t="s">
        <v>278</v>
      </c>
      <c r="B78" s="412"/>
      <c r="C78" s="412"/>
      <c r="D78" s="412"/>
      <c r="E78" s="412"/>
      <c r="F78" s="412">
        <v>0</v>
      </c>
      <c r="G78" s="412"/>
      <c r="H78" s="412">
        <v>0</v>
      </c>
      <c r="I78" s="412">
        <v>0</v>
      </c>
      <c r="J78" s="413" t="s">
        <v>57</v>
      </c>
      <c r="K78" s="416" t="s">
        <v>57</v>
      </c>
      <c r="L78" s="412">
        <v>0</v>
      </c>
      <c r="M78" s="412">
        <v>0</v>
      </c>
      <c r="N78" s="412">
        <v>0</v>
      </c>
      <c r="O78" s="412">
        <v>0</v>
      </c>
      <c r="P78" s="412">
        <v>0</v>
      </c>
      <c r="Q78" s="412">
        <v>0</v>
      </c>
      <c r="R78" s="412">
        <v>0</v>
      </c>
      <c r="S78" s="412">
        <v>0</v>
      </c>
      <c r="T78" s="412"/>
      <c r="U78" s="412"/>
      <c r="V78" s="412">
        <f>_xlfn.IFNA(VLOOKUP(A78,[3]進出口值表查詢結果!$C$11:$F$68,4,0),-[4]整車!$B$22)</f>
        <v>0</v>
      </c>
      <c r="W78" s="412">
        <f>_xlfn.IFNA(VLOOKUP(A78,[3]進出口值表查詢結果!$C$11:$F$68,3,0),-[4]整車!$B$22)</f>
        <v>0</v>
      </c>
      <c r="X78" s="412">
        <f>_xlfn.IFNA(VLOOKUP(A78,[5]進出口值表查詢結果!$C$11:$F$68,4,0),-[4]整車!$B$22)</f>
        <v>0</v>
      </c>
      <c r="Y78" s="412">
        <f>_xlfn.IFNA(VLOOKUP(A78,[5]進出口值表查詢結果!$C$11:$F$68,3,0),-[4]整車!$B$22)</f>
        <v>0</v>
      </c>
      <c r="Z78" s="406">
        <f t="shared" si="14"/>
        <v>0</v>
      </c>
      <c r="AA78" s="406">
        <f t="shared" si="15"/>
        <v>0</v>
      </c>
    </row>
    <row r="79" spans="1:27">
      <c r="A79" s="448" t="s">
        <v>279</v>
      </c>
      <c r="B79" s="412"/>
      <c r="C79" s="412"/>
      <c r="D79" s="412"/>
      <c r="E79" s="412"/>
      <c r="F79" s="412">
        <v>0</v>
      </c>
      <c r="G79" s="412"/>
      <c r="H79" s="412">
        <v>0</v>
      </c>
      <c r="I79" s="412">
        <v>0</v>
      </c>
      <c r="J79" s="413" t="s">
        <v>57</v>
      </c>
      <c r="K79" s="416" t="s">
        <v>57</v>
      </c>
      <c r="L79" s="412">
        <v>0</v>
      </c>
      <c r="M79" s="412">
        <v>0</v>
      </c>
      <c r="N79" s="412">
        <v>0</v>
      </c>
      <c r="O79" s="412">
        <v>0</v>
      </c>
      <c r="P79" s="412">
        <v>0</v>
      </c>
      <c r="Q79" s="412">
        <v>0</v>
      </c>
      <c r="R79" s="412">
        <v>0</v>
      </c>
      <c r="S79" s="412">
        <v>0</v>
      </c>
      <c r="T79" s="412"/>
      <c r="U79" s="412"/>
      <c r="V79" s="412">
        <f>_xlfn.IFNA(VLOOKUP(A79,[3]進出口值表查詢結果!$C$11:$F$68,4,0),-[4]整車!$B$22)</f>
        <v>0</v>
      </c>
      <c r="W79" s="412">
        <f>_xlfn.IFNA(VLOOKUP(A79,[3]進出口值表查詢結果!$C$11:$F$68,3,0),-[4]整車!$B$22)</f>
        <v>0</v>
      </c>
      <c r="X79" s="412">
        <f>_xlfn.IFNA(VLOOKUP(A79,[5]進出口值表查詢結果!$C$11:$F$68,4,0),-[4]整車!$B$22)</f>
        <v>0</v>
      </c>
      <c r="Y79" s="412">
        <f>_xlfn.IFNA(VLOOKUP(A79,[5]進出口值表查詢結果!$C$11:$F$68,3,0),-[4]整車!$B$22)</f>
        <v>0</v>
      </c>
      <c r="Z79" s="406">
        <f t="shared" si="14"/>
        <v>0</v>
      </c>
      <c r="AA79" s="406">
        <f t="shared" si="15"/>
        <v>0</v>
      </c>
    </row>
    <row r="80" spans="1:27">
      <c r="A80" s="448" t="s">
        <v>281</v>
      </c>
      <c r="B80" s="412">
        <v>196</v>
      </c>
      <c r="C80" s="412">
        <v>121426</v>
      </c>
      <c r="D80" s="412">
        <v>465</v>
      </c>
      <c r="E80" s="412">
        <v>135577</v>
      </c>
      <c r="F80" s="412">
        <v>339</v>
      </c>
      <c r="G80" s="412">
        <v>203320</v>
      </c>
      <c r="H80" s="412">
        <v>0</v>
      </c>
      <c r="I80" s="412">
        <v>0</v>
      </c>
      <c r="J80" s="413">
        <v>150</v>
      </c>
      <c r="K80" s="427">
        <v>22219</v>
      </c>
      <c r="L80" s="412">
        <v>231</v>
      </c>
      <c r="M80" s="412">
        <v>33277</v>
      </c>
      <c r="N80" s="426">
        <v>537</v>
      </c>
      <c r="O80" s="426">
        <v>318626</v>
      </c>
      <c r="P80" s="412">
        <v>0</v>
      </c>
      <c r="Q80" s="412">
        <v>0</v>
      </c>
      <c r="R80" s="412">
        <v>290</v>
      </c>
      <c r="S80" s="412">
        <v>103057</v>
      </c>
      <c r="T80" s="412"/>
      <c r="U80" s="412"/>
      <c r="V80" s="412">
        <f>_xlfn.IFNA(VLOOKUP(A80,[3]進出口值表查詢結果!$C$11:$F$68,4,0),-[4]整車!$B$22)</f>
        <v>117</v>
      </c>
      <c r="W80" s="412">
        <f>_xlfn.IFNA(VLOOKUP(A80,[3]進出口值表查詢結果!$C$11:$F$68,3,0),-[4]整車!$B$22)</f>
        <v>105789</v>
      </c>
      <c r="X80" s="412">
        <f>_xlfn.IFNA(VLOOKUP(A80,[5]進出口值表查詢結果!$C$11:$F$68,4,0),-[4]整車!$B$22)</f>
        <v>461</v>
      </c>
      <c r="Y80" s="412">
        <f>_xlfn.IFNA(VLOOKUP(A80,[5]進出口值表查詢結果!$C$11:$F$68,3,0),-[4]整車!$B$22)</f>
        <v>211371</v>
      </c>
      <c r="Z80" s="406">
        <f t="shared" si="14"/>
        <v>2786</v>
      </c>
      <c r="AA80" s="406">
        <f t="shared" si="15"/>
        <v>1254662</v>
      </c>
    </row>
    <row r="81" spans="1:27">
      <c r="A81" s="448" t="s">
        <v>283</v>
      </c>
      <c r="B81" s="412"/>
      <c r="C81" s="412"/>
      <c r="D81" s="412"/>
      <c r="E81" s="412"/>
      <c r="F81" s="412">
        <v>55</v>
      </c>
      <c r="G81" s="412">
        <v>13342</v>
      </c>
      <c r="H81" s="412">
        <v>0</v>
      </c>
      <c r="I81" s="412">
        <v>0</v>
      </c>
      <c r="J81" s="413" t="s">
        <v>57</v>
      </c>
      <c r="K81" s="416" t="s">
        <v>57</v>
      </c>
      <c r="L81" s="412">
        <v>0</v>
      </c>
      <c r="M81" s="412">
        <v>0</v>
      </c>
      <c r="N81" s="412">
        <v>0</v>
      </c>
      <c r="O81" s="412">
        <v>0</v>
      </c>
      <c r="P81" s="412">
        <v>45</v>
      </c>
      <c r="Q81" s="412">
        <v>21552</v>
      </c>
      <c r="R81" s="412">
        <v>0</v>
      </c>
      <c r="S81" s="412">
        <v>0</v>
      </c>
      <c r="T81" s="412"/>
      <c r="U81" s="412"/>
      <c r="V81" s="412">
        <f>_xlfn.IFNA(VLOOKUP(A81,[3]進出口值表查詢結果!$C$11:$F$68,4,0),-[4]整車!$B$22)</f>
        <v>0</v>
      </c>
      <c r="W81" s="412">
        <f>_xlfn.IFNA(VLOOKUP(A81,[3]進出口值表查詢結果!$C$11:$F$68,3,0),-[4]整車!$B$22)</f>
        <v>0</v>
      </c>
      <c r="X81" s="412">
        <f>_xlfn.IFNA(VLOOKUP(A81,[5]進出口值表查詢結果!$C$11:$F$68,4,0),-[4]整車!$B$22)</f>
        <v>0</v>
      </c>
      <c r="Y81" s="412">
        <f>_xlfn.IFNA(VLOOKUP(A81,[5]進出口值表查詢結果!$C$11:$F$68,3,0),-[4]整車!$B$22)</f>
        <v>0</v>
      </c>
      <c r="Z81" s="406">
        <f t="shared" si="14"/>
        <v>100</v>
      </c>
      <c r="AA81" s="406">
        <f t="shared" si="15"/>
        <v>34894</v>
      </c>
    </row>
    <row r="82" spans="1:27">
      <c r="A82" s="417" t="s">
        <v>282</v>
      </c>
      <c r="B82" s="412"/>
      <c r="C82" s="412"/>
      <c r="D82" s="412"/>
      <c r="E82" s="412"/>
      <c r="F82" s="412">
        <v>0</v>
      </c>
      <c r="G82" s="412"/>
      <c r="H82" s="412">
        <v>0</v>
      </c>
      <c r="I82" s="412">
        <v>0</v>
      </c>
      <c r="J82" s="413" t="s">
        <v>57</v>
      </c>
      <c r="K82" s="416" t="s">
        <v>57</v>
      </c>
      <c r="L82" s="412">
        <v>0</v>
      </c>
      <c r="M82" s="412">
        <v>0</v>
      </c>
      <c r="N82" s="412">
        <v>0</v>
      </c>
      <c r="O82" s="412">
        <v>0</v>
      </c>
      <c r="P82" s="412">
        <v>0</v>
      </c>
      <c r="Q82" s="412">
        <v>0</v>
      </c>
      <c r="R82" s="412">
        <v>0</v>
      </c>
      <c r="S82" s="412">
        <v>0</v>
      </c>
      <c r="T82" s="412"/>
      <c r="U82" s="412"/>
      <c r="V82" s="412">
        <f>_xlfn.IFNA(VLOOKUP(A82,[3]進出口值表查詢結果!$C$11:$F$68,4,0),-[4]整車!$B$22)</f>
        <v>0</v>
      </c>
      <c r="W82" s="412">
        <f>_xlfn.IFNA(VLOOKUP(A82,[3]進出口值表查詢結果!$C$11:$F$68,3,0),-[4]整車!$B$22)</f>
        <v>0</v>
      </c>
      <c r="X82" s="412">
        <f>_xlfn.IFNA(VLOOKUP(A82,[5]進出口值表查詢結果!$C$11:$F$68,4,0),-[4]整車!$B$22)</f>
        <v>0</v>
      </c>
      <c r="Y82" s="412">
        <f>_xlfn.IFNA(VLOOKUP(A82,[5]進出口值表查詢結果!$C$11:$F$68,3,0),-[4]整車!$B$22)</f>
        <v>0</v>
      </c>
      <c r="Z82" s="406">
        <f t="shared" si="14"/>
        <v>0</v>
      </c>
      <c r="AA82" s="406">
        <f t="shared" si="15"/>
        <v>0</v>
      </c>
    </row>
    <row r="83" spans="1:27">
      <c r="A83" s="417" t="s">
        <v>284</v>
      </c>
      <c r="B83" s="412"/>
      <c r="C83" s="412"/>
      <c r="D83" s="412"/>
      <c r="E83" s="412"/>
      <c r="F83" s="412">
        <v>0</v>
      </c>
      <c r="G83" s="412"/>
      <c r="H83" s="412">
        <v>0</v>
      </c>
      <c r="I83" s="412">
        <v>0</v>
      </c>
      <c r="J83" s="413" t="s">
        <v>57</v>
      </c>
      <c r="K83" s="416">
        <v>0</v>
      </c>
      <c r="L83" s="412">
        <v>0</v>
      </c>
      <c r="M83" s="412">
        <v>0</v>
      </c>
      <c r="N83" s="412">
        <v>0</v>
      </c>
      <c r="O83" s="412">
        <v>0</v>
      </c>
      <c r="P83" s="412">
        <v>0</v>
      </c>
      <c r="Q83" s="412">
        <v>0</v>
      </c>
      <c r="R83" s="412">
        <v>0</v>
      </c>
      <c r="S83" s="412">
        <v>0</v>
      </c>
      <c r="T83" s="412">
        <v>0</v>
      </c>
      <c r="U83" s="412">
        <v>0</v>
      </c>
      <c r="V83" s="412">
        <f>_xlfn.IFNA(VLOOKUP(A83,[3]進出口值表查詢結果!$C$11:$F$68,4,0),-[4]整車!$B$22)</f>
        <v>0</v>
      </c>
      <c r="W83" s="412">
        <f>_xlfn.IFNA(VLOOKUP(A83,[3]進出口值表查詢結果!$C$11:$F$68,3,0),-[4]整車!$B$22)</f>
        <v>0</v>
      </c>
      <c r="X83" s="412">
        <f>_xlfn.IFNA(VLOOKUP(A83,[5]進出口值表查詢結果!$C$11:$F$68,4,0),-[4]整車!$B$22)</f>
        <v>0</v>
      </c>
      <c r="Y83" s="412">
        <f>_xlfn.IFNA(VLOOKUP(A83,[5]進出口值表查詢結果!$C$11:$F$68,3,0),-[4]整車!$B$22)</f>
        <v>0</v>
      </c>
      <c r="Z83" s="406">
        <f t="shared" si="14"/>
        <v>0</v>
      </c>
      <c r="AA83" s="406">
        <f t="shared" si="15"/>
        <v>0</v>
      </c>
    </row>
    <row r="84" spans="1:27">
      <c r="A84" s="415"/>
      <c r="B84" s="412"/>
      <c r="C84" s="412"/>
      <c r="D84" s="412"/>
      <c r="E84" s="412"/>
      <c r="F84" s="412"/>
      <c r="G84" s="412"/>
      <c r="H84" s="412"/>
      <c r="I84" s="412"/>
      <c r="J84" s="413"/>
      <c r="K84" s="414"/>
      <c r="L84" s="412"/>
      <c r="M84" s="412"/>
      <c r="N84" s="412"/>
      <c r="O84" s="412"/>
      <c r="P84" s="412"/>
      <c r="Q84" s="412"/>
      <c r="R84" s="412"/>
      <c r="S84" s="412"/>
      <c r="T84" s="412"/>
      <c r="U84" s="412"/>
      <c r="V84" s="412"/>
      <c r="W84" s="412"/>
      <c r="X84" s="412"/>
      <c r="Y84" s="412"/>
      <c r="Z84" s="406"/>
      <c r="AA84" s="406"/>
    </row>
    <row r="85" spans="1:27">
      <c r="A85" s="432" t="s">
        <v>46</v>
      </c>
      <c r="B85" s="433">
        <f t="shared" ref="B85:Y85" si="16">SUM(B86:B95)</f>
        <v>4580</v>
      </c>
      <c r="C85" s="433">
        <f t="shared" si="16"/>
        <v>4189345</v>
      </c>
      <c r="D85" s="433">
        <f t="shared" si="16"/>
        <v>4981</v>
      </c>
      <c r="E85" s="433">
        <f t="shared" si="16"/>
        <v>3563822</v>
      </c>
      <c r="F85" s="433">
        <f t="shared" si="16"/>
        <v>4938</v>
      </c>
      <c r="G85" s="433">
        <f t="shared" si="16"/>
        <v>4345204</v>
      </c>
      <c r="H85" s="433">
        <f t="shared" si="16"/>
        <v>4040</v>
      </c>
      <c r="I85" s="433">
        <f t="shared" si="16"/>
        <v>2474863</v>
      </c>
      <c r="J85" s="434">
        <f t="shared" si="16"/>
        <v>3564</v>
      </c>
      <c r="K85" s="435">
        <f>SUM(K86:K95)</f>
        <v>3664756</v>
      </c>
      <c r="L85" s="433">
        <f t="shared" si="16"/>
        <v>6992</v>
      </c>
      <c r="M85" s="433">
        <f t="shared" si="16"/>
        <v>7057607</v>
      </c>
      <c r="N85" s="433">
        <f t="shared" si="16"/>
        <v>9419</v>
      </c>
      <c r="O85" s="433">
        <f t="shared" si="16"/>
        <v>9080258</v>
      </c>
      <c r="P85" s="433">
        <f t="shared" si="16"/>
        <v>18596</v>
      </c>
      <c r="Q85" s="433">
        <f t="shared" si="16"/>
        <v>13272347</v>
      </c>
      <c r="R85" s="433">
        <f t="shared" si="16"/>
        <v>16559</v>
      </c>
      <c r="S85" s="433">
        <f t="shared" si="16"/>
        <v>10409447</v>
      </c>
      <c r="T85" s="433">
        <f t="shared" si="16"/>
        <v>9960</v>
      </c>
      <c r="U85" s="433">
        <f t="shared" si="16"/>
        <v>6716352</v>
      </c>
      <c r="V85" s="433">
        <f>SUM(V86:V95)</f>
        <v>10701</v>
      </c>
      <c r="W85" s="433">
        <f>SUM(W86:W95)</f>
        <v>9725369</v>
      </c>
      <c r="X85" s="433">
        <f t="shared" si="16"/>
        <v>14699</v>
      </c>
      <c r="Y85" s="433">
        <f t="shared" si="16"/>
        <v>10190062</v>
      </c>
      <c r="Z85" s="419">
        <f t="shared" ref="Z85:Z95" si="17">SUM(B85,D85,F85,H85,J85,L85,N85,P85,R85,T85,V85,X85)</f>
        <v>109029</v>
      </c>
      <c r="AA85" s="419">
        <f t="shared" ref="AA85:AA95" si="18">SUM(C85,E85,G85,I85,K85,M85,O85,Q85,S85,U85,W85,Y85)</f>
        <v>84689432</v>
      </c>
    </row>
    <row r="86" spans="1:27">
      <c r="A86" s="448" t="s">
        <v>170</v>
      </c>
      <c r="B86" s="412">
        <v>4150</v>
      </c>
      <c r="C86" s="412">
        <v>3694908</v>
      </c>
      <c r="D86" s="412">
        <v>4032</v>
      </c>
      <c r="E86" s="412">
        <v>2636975</v>
      </c>
      <c r="F86" s="412">
        <v>4087</v>
      </c>
      <c r="G86" s="412">
        <v>3599502</v>
      </c>
      <c r="H86" s="412">
        <v>3562</v>
      </c>
      <c r="I86" s="412">
        <v>1835676</v>
      </c>
      <c r="J86" s="413">
        <v>2839</v>
      </c>
      <c r="K86" s="414">
        <v>2636423</v>
      </c>
      <c r="L86" s="412">
        <v>5737</v>
      </c>
      <c r="M86" s="412">
        <v>5468499</v>
      </c>
      <c r="N86" s="426">
        <v>7440</v>
      </c>
      <c r="O86" s="426">
        <v>6804533</v>
      </c>
      <c r="P86" s="412">
        <v>15662</v>
      </c>
      <c r="Q86" s="412">
        <v>10198676</v>
      </c>
      <c r="R86" s="412">
        <v>14530</v>
      </c>
      <c r="S86" s="412">
        <v>8126261</v>
      </c>
      <c r="T86" s="412">
        <v>8369</v>
      </c>
      <c r="U86" s="412">
        <v>5188023</v>
      </c>
      <c r="V86" s="412">
        <f>_xlfn.IFNA(VLOOKUP(A86,[3]進出口值表查詢結果!$C$11:$F$68,4,0),-[4]整車!$B$22)</f>
        <v>8737</v>
      </c>
      <c r="W86" s="412">
        <f>_xlfn.IFNA(VLOOKUP(A86,[3]進出口值表查詢結果!$C$11:$F$68,3,0),-[4]整車!$B$22)</f>
        <v>7518300</v>
      </c>
      <c r="X86" s="412">
        <f>_xlfn.IFNA(VLOOKUP(A86,[5]進出口值表查詢結果!$C$11:$F$68,4,0),-[4]整車!$B$22)</f>
        <v>12512</v>
      </c>
      <c r="Y86" s="412">
        <f>_xlfn.IFNA(VLOOKUP(A86,[5]進出口值表查詢結果!$C$11:$F$68,3,0),-[4]整車!$B$22)</f>
        <v>8168473</v>
      </c>
      <c r="Z86" s="406">
        <f t="shared" si="17"/>
        <v>91657</v>
      </c>
      <c r="AA86" s="406">
        <f t="shared" si="18"/>
        <v>65876249</v>
      </c>
    </row>
    <row r="87" spans="1:27">
      <c r="A87" s="448" t="s">
        <v>285</v>
      </c>
      <c r="B87" s="412"/>
      <c r="C87" s="412"/>
      <c r="D87" s="412"/>
      <c r="E87" s="412"/>
      <c r="F87" s="412">
        <v>0</v>
      </c>
      <c r="G87" s="412"/>
      <c r="H87" s="412">
        <v>0</v>
      </c>
      <c r="I87" s="412">
        <v>0</v>
      </c>
      <c r="J87" s="413">
        <v>0</v>
      </c>
      <c r="K87" s="416">
        <v>0</v>
      </c>
      <c r="L87" s="412">
        <v>0</v>
      </c>
      <c r="M87" s="412">
        <v>0</v>
      </c>
      <c r="N87" s="412">
        <v>0</v>
      </c>
      <c r="O87" s="412">
        <v>0</v>
      </c>
      <c r="P87" s="412">
        <v>0</v>
      </c>
      <c r="Q87" s="412">
        <v>0</v>
      </c>
      <c r="R87" s="412">
        <v>0</v>
      </c>
      <c r="S87" s="412">
        <v>0</v>
      </c>
      <c r="T87" s="412"/>
      <c r="U87" s="412"/>
      <c r="V87" s="412">
        <f>_xlfn.IFNA(VLOOKUP(A87,[3]進出口值表查詢結果!$C$11:$F$68,4,0),-[4]整車!$B$22)</f>
        <v>0</v>
      </c>
      <c r="W87" s="412">
        <f>_xlfn.IFNA(VLOOKUP(A87,[3]進出口值表查詢結果!$C$11:$F$68,3,0),-[4]整車!$B$22)</f>
        <v>0</v>
      </c>
      <c r="X87" s="412">
        <f>_xlfn.IFNA(VLOOKUP(A87,[5]進出口值表查詢結果!$C$11:$F$68,4,0),-[4]整車!$B$22)</f>
        <v>0</v>
      </c>
      <c r="Y87" s="412">
        <f>_xlfn.IFNA(VLOOKUP(A87,[5]進出口值表查詢結果!$C$11:$F$68,3,0),-[4]整車!$B$22)</f>
        <v>0</v>
      </c>
      <c r="Z87" s="406">
        <f t="shared" si="17"/>
        <v>0</v>
      </c>
      <c r="AA87" s="406">
        <f t="shared" si="18"/>
        <v>0</v>
      </c>
    </row>
    <row r="88" spans="1:27">
      <c r="A88" s="448" t="s">
        <v>169</v>
      </c>
      <c r="B88" s="412">
        <v>399</v>
      </c>
      <c r="C88" s="412">
        <v>445420</v>
      </c>
      <c r="D88" s="412">
        <v>924</v>
      </c>
      <c r="E88" s="412">
        <v>877548</v>
      </c>
      <c r="F88" s="412">
        <v>851</v>
      </c>
      <c r="G88" s="412">
        <v>745702</v>
      </c>
      <c r="H88" s="412">
        <v>478</v>
      </c>
      <c r="I88" s="412">
        <v>639187</v>
      </c>
      <c r="J88" s="413">
        <v>694</v>
      </c>
      <c r="K88" s="414">
        <v>961243</v>
      </c>
      <c r="L88" s="412">
        <v>1089</v>
      </c>
      <c r="M88" s="412">
        <v>1332104</v>
      </c>
      <c r="N88" s="426">
        <v>1942</v>
      </c>
      <c r="O88" s="426">
        <v>2269776</v>
      </c>
      <c r="P88" s="412">
        <v>2862</v>
      </c>
      <c r="Q88" s="412">
        <v>2963505</v>
      </c>
      <c r="R88" s="412">
        <v>2009</v>
      </c>
      <c r="S88" s="412">
        <v>2248234</v>
      </c>
      <c r="T88" s="412">
        <v>1565</v>
      </c>
      <c r="U88" s="412">
        <v>1482993</v>
      </c>
      <c r="V88" s="412">
        <f>_xlfn.IFNA(VLOOKUP(A88,[3]進出口值表查詢結果!$C$11:$F$68,4,0),-[4]整車!$B$22)</f>
        <v>1783</v>
      </c>
      <c r="W88" s="412">
        <f>_xlfn.IFNA(VLOOKUP(A88,[3]進出口值表查詢結果!$C$11:$F$68,3,0),-[4]整車!$B$22)</f>
        <v>1858681</v>
      </c>
      <c r="X88" s="412">
        <f>_xlfn.IFNA(VLOOKUP(A88,[5]進出口值表查詢結果!$C$11:$F$68,4,0),-[4]整車!$B$22)</f>
        <v>2182</v>
      </c>
      <c r="Y88" s="412">
        <f>_xlfn.IFNA(VLOOKUP(A88,[5]進出口值表查詢結果!$C$11:$F$68,3,0),-[4]整車!$B$22)</f>
        <v>2014871</v>
      </c>
      <c r="Z88" s="406">
        <f t="shared" si="17"/>
        <v>16778</v>
      </c>
      <c r="AA88" s="406">
        <f t="shared" si="18"/>
        <v>17839264</v>
      </c>
    </row>
    <row r="89" spans="1:27">
      <c r="A89" s="448" t="s">
        <v>288</v>
      </c>
      <c r="B89" s="412"/>
      <c r="C89" s="412"/>
      <c r="D89" s="412"/>
      <c r="E89" s="412"/>
      <c r="F89" s="412">
        <v>0</v>
      </c>
      <c r="G89" s="412"/>
      <c r="H89" s="412">
        <v>0</v>
      </c>
      <c r="I89" s="412">
        <v>0</v>
      </c>
      <c r="J89" s="413" t="s">
        <v>57</v>
      </c>
      <c r="K89" s="416">
        <v>0</v>
      </c>
      <c r="L89" s="412">
        <v>0</v>
      </c>
      <c r="M89" s="412">
        <v>0</v>
      </c>
      <c r="N89" s="412">
        <v>0</v>
      </c>
      <c r="O89" s="412">
        <v>0</v>
      </c>
      <c r="P89" s="412">
        <v>0</v>
      </c>
      <c r="Q89" s="412">
        <v>0</v>
      </c>
      <c r="R89" s="412">
        <v>0</v>
      </c>
      <c r="S89" s="412">
        <v>0</v>
      </c>
      <c r="T89" s="412"/>
      <c r="U89" s="412"/>
      <c r="V89" s="412">
        <f>_xlfn.IFNA(VLOOKUP(A89,[3]進出口值表查詢結果!$C$11:$F$68,4,0),-[4]整車!$B$22)</f>
        <v>0</v>
      </c>
      <c r="W89" s="412">
        <f>_xlfn.IFNA(VLOOKUP(A89,[3]進出口值表查詢結果!$C$11:$F$68,3,0),-[4]整車!$B$22)</f>
        <v>0</v>
      </c>
      <c r="X89" s="412">
        <f>_xlfn.IFNA(VLOOKUP(A89,[5]進出口值表查詢結果!$C$11:$F$68,4,0),-[4]整車!$B$22)</f>
        <v>0</v>
      </c>
      <c r="Y89" s="412">
        <f>_xlfn.IFNA(VLOOKUP(A89,[5]進出口值表查詢結果!$C$11:$F$68,3,0),-[4]整車!$B$22)</f>
        <v>0</v>
      </c>
      <c r="Z89" s="406">
        <f t="shared" si="17"/>
        <v>0</v>
      </c>
      <c r="AA89" s="406">
        <f t="shared" si="18"/>
        <v>0</v>
      </c>
    </row>
    <row r="90" spans="1:27">
      <c r="A90" s="448" t="s">
        <v>287</v>
      </c>
      <c r="B90" s="412">
        <v>5</v>
      </c>
      <c r="C90" s="412">
        <v>13029</v>
      </c>
      <c r="D90" s="412">
        <v>25</v>
      </c>
      <c r="E90" s="412">
        <v>49299</v>
      </c>
      <c r="F90" s="412">
        <v>0</v>
      </c>
      <c r="G90" s="412"/>
      <c r="H90" s="412">
        <v>0</v>
      </c>
      <c r="I90" s="412">
        <v>0</v>
      </c>
      <c r="J90" s="413">
        <v>31</v>
      </c>
      <c r="K90" s="414">
        <v>67090</v>
      </c>
      <c r="L90" s="412">
        <v>166</v>
      </c>
      <c r="M90" s="412">
        <v>257004</v>
      </c>
      <c r="N90" s="426">
        <v>2</v>
      </c>
      <c r="O90" s="412">
        <v>2535</v>
      </c>
      <c r="P90" s="412">
        <v>72</v>
      </c>
      <c r="Q90" s="412">
        <v>110166</v>
      </c>
      <c r="R90" s="412">
        <v>20</v>
      </c>
      <c r="S90" s="412">
        <v>34952</v>
      </c>
      <c r="T90" s="412">
        <v>26</v>
      </c>
      <c r="U90" s="412">
        <v>45336</v>
      </c>
      <c r="V90" s="412">
        <f>_xlfn.IFNA(VLOOKUP(A90,[3]進出口值表查詢結果!$C$11:$F$68,4,0),-[4]整車!$B$22)</f>
        <v>156</v>
      </c>
      <c r="W90" s="412">
        <f>_xlfn.IFNA(VLOOKUP(A90,[3]進出口值表查詢結果!$C$11:$F$68,3,0),-[4]整車!$B$22)</f>
        <v>316499</v>
      </c>
      <c r="X90" s="412">
        <f>_xlfn.IFNA(VLOOKUP(A90,[5]進出口值表查詢結果!$C$11:$F$68,4,0),-[4]整車!$B$22)</f>
        <v>5</v>
      </c>
      <c r="Y90" s="412">
        <f>_xlfn.IFNA(VLOOKUP(A90,[5]進出口值表查詢結果!$C$11:$F$68,3,0),-[4]整車!$B$22)</f>
        <v>6718</v>
      </c>
      <c r="Z90" s="406">
        <f t="shared" si="17"/>
        <v>508</v>
      </c>
      <c r="AA90" s="406">
        <f t="shared" si="18"/>
        <v>902628</v>
      </c>
    </row>
    <row r="91" spans="1:27">
      <c r="A91" s="448" t="s">
        <v>289</v>
      </c>
      <c r="B91" s="412"/>
      <c r="C91" s="412"/>
      <c r="D91" s="412"/>
      <c r="E91" s="412"/>
      <c r="F91" s="412">
        <v>0</v>
      </c>
      <c r="G91" s="412"/>
      <c r="H91" s="412">
        <v>0</v>
      </c>
      <c r="I91" s="412">
        <v>0</v>
      </c>
      <c r="J91" s="413" t="s">
        <v>57</v>
      </c>
      <c r="K91" s="416">
        <v>0</v>
      </c>
      <c r="L91" s="412">
        <v>0</v>
      </c>
      <c r="M91" s="412">
        <v>0</v>
      </c>
      <c r="N91" s="412">
        <v>0</v>
      </c>
      <c r="O91" s="412">
        <v>0</v>
      </c>
      <c r="P91" s="412">
        <v>0</v>
      </c>
      <c r="Q91" s="412">
        <v>0</v>
      </c>
      <c r="R91" s="412">
        <v>0</v>
      </c>
      <c r="S91" s="412">
        <v>0</v>
      </c>
      <c r="T91" s="412"/>
      <c r="U91" s="412"/>
      <c r="V91" s="412">
        <f>_xlfn.IFNA(VLOOKUP(A91,[3]進出口值表查詢結果!$C$11:$F$68,4,0),-[4]整車!$B$22)</f>
        <v>0</v>
      </c>
      <c r="W91" s="412">
        <f>_xlfn.IFNA(VLOOKUP(A91,[3]進出口值表查詢結果!$C$11:$F$68,3,0),-[4]整車!$B$22)</f>
        <v>0</v>
      </c>
      <c r="X91" s="412">
        <f>_xlfn.IFNA(VLOOKUP(A91,[5]進出口值表查詢結果!$C$11:$F$68,4,0),-[4]整車!$B$22)</f>
        <v>0</v>
      </c>
      <c r="Y91" s="412">
        <f>_xlfn.IFNA(VLOOKUP(A91,[5]進出口值表查詢結果!$C$11:$F$68,3,0),-[4]整車!$B$22)</f>
        <v>0</v>
      </c>
      <c r="Z91" s="406">
        <f t="shared" si="17"/>
        <v>0</v>
      </c>
      <c r="AA91" s="406">
        <f t="shared" si="18"/>
        <v>0</v>
      </c>
    </row>
    <row r="92" spans="1:27">
      <c r="A92" s="448" t="s">
        <v>392</v>
      </c>
      <c r="B92" s="412">
        <v>26</v>
      </c>
      <c r="C92" s="412">
        <v>35988</v>
      </c>
      <c r="D92" s="412"/>
      <c r="E92" s="412"/>
      <c r="F92" s="412">
        <v>0</v>
      </c>
      <c r="G92" s="412"/>
      <c r="H92" s="412">
        <v>0</v>
      </c>
      <c r="I92" s="412">
        <v>0</v>
      </c>
      <c r="J92" s="413" t="s">
        <v>57</v>
      </c>
      <c r="K92" s="416">
        <v>0</v>
      </c>
      <c r="L92" s="412">
        <v>0</v>
      </c>
      <c r="M92" s="412">
        <v>0</v>
      </c>
      <c r="N92" s="412">
        <v>0</v>
      </c>
      <c r="O92" s="412">
        <v>0</v>
      </c>
      <c r="P92" s="412">
        <v>0</v>
      </c>
      <c r="Q92" s="412">
        <v>0</v>
      </c>
      <c r="R92" s="412">
        <v>0</v>
      </c>
      <c r="S92" s="412">
        <v>0</v>
      </c>
      <c r="T92" s="412"/>
      <c r="U92" s="412"/>
      <c r="V92" s="412">
        <f>_xlfn.IFNA(VLOOKUP(A92,[3]進出口值表查詢結果!$C$11:$F$68,4,0),-[4]整車!$B$22)</f>
        <v>25</v>
      </c>
      <c r="W92" s="412">
        <f>_xlfn.IFNA(VLOOKUP(A92,[3]進出口值表查詢結果!$C$11:$F$68,3,0),-[4]整車!$B$22)</f>
        <v>31889</v>
      </c>
      <c r="X92" s="412">
        <f>_xlfn.IFNA(VLOOKUP(A92,[5]進出口值表查詢結果!$C$11:$F$68,4,0),-[4]整車!$B$22)</f>
        <v>0</v>
      </c>
      <c r="Y92" s="412">
        <f>_xlfn.IFNA(VLOOKUP(A92,[5]進出口值表查詢結果!$C$11:$F$68,3,0),-[4]整車!$B$22)</f>
        <v>0</v>
      </c>
      <c r="Z92" s="406">
        <f t="shared" si="17"/>
        <v>51</v>
      </c>
      <c r="AA92" s="406">
        <f t="shared" si="18"/>
        <v>67877</v>
      </c>
    </row>
    <row r="93" spans="1:27">
      <c r="A93" s="448" t="s">
        <v>291</v>
      </c>
      <c r="B93" s="412"/>
      <c r="C93" s="412"/>
      <c r="D93" s="412"/>
      <c r="E93" s="412"/>
      <c r="F93" s="412">
        <v>0</v>
      </c>
      <c r="G93" s="412"/>
      <c r="H93" s="412">
        <v>0</v>
      </c>
      <c r="I93" s="412">
        <v>0</v>
      </c>
      <c r="J93" s="413" t="s">
        <v>57</v>
      </c>
      <c r="K93" s="416">
        <v>0</v>
      </c>
      <c r="L93" s="412">
        <v>0</v>
      </c>
      <c r="M93" s="412">
        <v>0</v>
      </c>
      <c r="N93" s="426">
        <v>35</v>
      </c>
      <c r="O93" s="426">
        <v>3414</v>
      </c>
      <c r="P93" s="412">
        <v>0</v>
      </c>
      <c r="Q93" s="412">
        <v>0</v>
      </c>
      <c r="R93" s="412">
        <v>0</v>
      </c>
      <c r="S93" s="412">
        <v>0</v>
      </c>
      <c r="T93" s="412"/>
      <c r="U93" s="412"/>
      <c r="V93" s="412">
        <f>_xlfn.IFNA(VLOOKUP(A93,[3]進出口值表查詢結果!$C$11:$F$68,4,0),-[4]整車!$B$22)</f>
        <v>0</v>
      </c>
      <c r="W93" s="412">
        <f>_xlfn.IFNA(VLOOKUP(A93,[3]進出口值表查詢結果!$C$11:$F$68,3,0),-[4]整車!$B$22)</f>
        <v>0</v>
      </c>
      <c r="X93" s="412">
        <f>_xlfn.IFNA(VLOOKUP(A93,[5]進出口值表查詢結果!$C$11:$F$68,4,0),-[4]整車!$B$22)</f>
        <v>0</v>
      </c>
      <c r="Y93" s="412">
        <f>_xlfn.IFNA(VLOOKUP(A93,[5]進出口值表查詢結果!$C$11:$F$68,3,0),-[4]整車!$B$22)</f>
        <v>0</v>
      </c>
      <c r="Z93" s="406">
        <f t="shared" si="17"/>
        <v>35</v>
      </c>
      <c r="AA93" s="406">
        <f t="shared" si="18"/>
        <v>3414</v>
      </c>
    </row>
    <row r="94" spans="1:27">
      <c r="A94" s="448" t="s">
        <v>290</v>
      </c>
      <c r="B94" s="412"/>
      <c r="C94" s="412"/>
      <c r="D94" s="412"/>
      <c r="E94" s="412"/>
      <c r="F94" s="412">
        <v>0</v>
      </c>
      <c r="G94" s="412"/>
      <c r="H94" s="412">
        <v>0</v>
      </c>
      <c r="I94" s="412">
        <v>0</v>
      </c>
      <c r="J94" s="413" t="s">
        <v>57</v>
      </c>
      <c r="K94" s="416">
        <v>0</v>
      </c>
      <c r="L94" s="412">
        <v>0</v>
      </c>
      <c r="M94" s="412">
        <v>0</v>
      </c>
      <c r="N94" s="412">
        <v>0</v>
      </c>
      <c r="O94" s="412">
        <v>0</v>
      </c>
      <c r="P94" s="412">
        <v>0</v>
      </c>
      <c r="Q94" s="412">
        <v>0</v>
      </c>
      <c r="R94" s="412">
        <v>0</v>
      </c>
      <c r="S94" s="412">
        <v>0</v>
      </c>
      <c r="T94" s="412"/>
      <c r="U94" s="412"/>
      <c r="V94" s="412">
        <f>_xlfn.IFNA(VLOOKUP(A94,[3]進出口值表查詢結果!$C$11:$F$68,4,0),-[4]整車!$B$22)</f>
        <v>0</v>
      </c>
      <c r="W94" s="412">
        <f>_xlfn.IFNA(VLOOKUP(A94,[3]進出口值表查詢結果!$C$11:$F$68,3,0),-[4]整車!$B$22)</f>
        <v>0</v>
      </c>
      <c r="X94" s="412">
        <f>_xlfn.IFNA(VLOOKUP(A94,[5]進出口值表查詢結果!$C$11:$F$68,4,0),-[4]整車!$B$22)</f>
        <v>0</v>
      </c>
      <c r="Y94" s="412">
        <f>_xlfn.IFNA(VLOOKUP(A94,[5]進出口值表查詢結果!$C$11:$F$68,3,0),-[4]整車!$B$22)</f>
        <v>0</v>
      </c>
      <c r="Z94" s="406">
        <f t="shared" si="17"/>
        <v>0</v>
      </c>
      <c r="AA94" s="406">
        <f t="shared" si="18"/>
        <v>0</v>
      </c>
    </row>
    <row r="95" spans="1:27">
      <c r="A95" s="450" t="s">
        <v>292</v>
      </c>
      <c r="B95" s="406"/>
      <c r="C95" s="406"/>
      <c r="D95" s="406"/>
      <c r="E95" s="412"/>
      <c r="F95" s="406">
        <v>0</v>
      </c>
      <c r="G95" s="406"/>
      <c r="H95" s="412">
        <v>0</v>
      </c>
      <c r="I95" s="412">
        <v>0</v>
      </c>
      <c r="J95" s="399" t="s">
        <v>57</v>
      </c>
      <c r="K95" s="416">
        <v>0</v>
      </c>
      <c r="L95" s="406">
        <v>0</v>
      </c>
      <c r="M95" s="406">
        <v>0</v>
      </c>
      <c r="N95" s="406">
        <v>0</v>
      </c>
      <c r="O95" s="406">
        <v>0</v>
      </c>
      <c r="P95" s="412">
        <v>0</v>
      </c>
      <c r="Q95" s="412">
        <v>0</v>
      </c>
      <c r="R95" s="412">
        <v>0</v>
      </c>
      <c r="S95" s="412">
        <v>0</v>
      </c>
      <c r="T95" s="406"/>
      <c r="U95" s="406"/>
      <c r="V95" s="412">
        <f>_xlfn.IFNA(VLOOKUP(A95,[3]進出口值表查詢結果!$C$11:$F$68,4,0),-[4]整車!$B$22)</f>
        <v>0</v>
      </c>
      <c r="W95" s="412">
        <f>_xlfn.IFNA(VLOOKUP(A95,[3]進出口值表查詢結果!$C$11:$F$68,3,0),-[4]整車!$B$22)</f>
        <v>0</v>
      </c>
      <c r="X95" s="412">
        <f>_xlfn.IFNA(VLOOKUP(A95,[5]進出口值表查詢結果!$C$11:$F$68,4,0),-[4]整車!$B$22)</f>
        <v>0</v>
      </c>
      <c r="Y95" s="412">
        <f>_xlfn.IFNA(VLOOKUP(A95,[5]進出口值表查詢結果!$C$11:$F$68,3,0),-[4]整車!$B$22)</f>
        <v>0</v>
      </c>
      <c r="Z95" s="406">
        <f t="shared" si="17"/>
        <v>0</v>
      </c>
      <c r="AA95" s="406">
        <f t="shared" si="18"/>
        <v>0</v>
      </c>
    </row>
    <row r="96" spans="1:27">
      <c r="A96" s="405"/>
      <c r="B96" s="406"/>
      <c r="C96" s="406"/>
      <c r="D96" s="406"/>
      <c r="E96" s="406"/>
      <c r="F96" s="406"/>
      <c r="G96" s="406"/>
      <c r="H96" s="406"/>
      <c r="I96" s="406"/>
      <c r="J96" s="399"/>
      <c r="K96" s="400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</row>
    <row r="97" spans="1:27">
      <c r="A97" s="432" t="s">
        <v>139</v>
      </c>
      <c r="B97" s="433">
        <f t="shared" ref="B97:Y97" si="19">SUM(B98:B100)</f>
        <v>52798</v>
      </c>
      <c r="C97" s="433">
        <f t="shared" si="19"/>
        <v>33121696</v>
      </c>
      <c r="D97" s="433">
        <f t="shared" si="19"/>
        <v>50400</v>
      </c>
      <c r="E97" s="433">
        <f t="shared" si="19"/>
        <v>31534279</v>
      </c>
      <c r="F97" s="433">
        <f t="shared" si="19"/>
        <v>40988</v>
      </c>
      <c r="G97" s="433">
        <f t="shared" si="19"/>
        <v>23973578</v>
      </c>
      <c r="H97" s="433">
        <f t="shared" si="19"/>
        <v>42311</v>
      </c>
      <c r="I97" s="433">
        <f t="shared" si="19"/>
        <v>22157100</v>
      </c>
      <c r="J97" s="434">
        <f t="shared" si="19"/>
        <v>68862</v>
      </c>
      <c r="K97" s="435">
        <f t="shared" si="19"/>
        <v>39539255</v>
      </c>
      <c r="L97" s="433">
        <f t="shared" si="19"/>
        <v>61547</v>
      </c>
      <c r="M97" s="433">
        <f t="shared" si="19"/>
        <v>41765283</v>
      </c>
      <c r="N97" s="433">
        <f t="shared" si="19"/>
        <v>57860</v>
      </c>
      <c r="O97" s="433">
        <f t="shared" si="19"/>
        <v>47576440</v>
      </c>
      <c r="P97" s="433">
        <f t="shared" si="19"/>
        <v>70020</v>
      </c>
      <c r="Q97" s="433">
        <f t="shared" si="19"/>
        <v>47975910</v>
      </c>
      <c r="R97" s="433">
        <f t="shared" si="19"/>
        <v>57029</v>
      </c>
      <c r="S97" s="433">
        <f t="shared" si="19"/>
        <v>32139611</v>
      </c>
      <c r="T97" s="433">
        <f t="shared" si="19"/>
        <v>68638</v>
      </c>
      <c r="U97" s="433">
        <f t="shared" si="19"/>
        <v>38723065</v>
      </c>
      <c r="V97" s="433">
        <f>SUM(V98:V100)</f>
        <v>76863</v>
      </c>
      <c r="W97" s="433">
        <f>SUM(W98:W100)</f>
        <v>36987555</v>
      </c>
      <c r="X97" s="433">
        <f t="shared" si="19"/>
        <v>64518</v>
      </c>
      <c r="Y97" s="433">
        <f t="shared" si="19"/>
        <v>35209517</v>
      </c>
      <c r="Z97" s="419">
        <f t="shared" ref="Z97:AA100" si="20">SUM(B97,D97,F97,H97,J97,L97,N97,P97,R97,T97,V97,X97)</f>
        <v>711834</v>
      </c>
      <c r="AA97" s="419">
        <f t="shared" si="20"/>
        <v>430703289</v>
      </c>
    </row>
    <row r="98" spans="1:27">
      <c r="A98" s="448" t="s">
        <v>158</v>
      </c>
      <c r="B98" s="412">
        <v>48120</v>
      </c>
      <c r="C98" s="412">
        <v>29498633</v>
      </c>
      <c r="D98" s="412">
        <v>44184</v>
      </c>
      <c r="E98" s="412">
        <v>25012824</v>
      </c>
      <c r="F98" s="412">
        <v>37364</v>
      </c>
      <c r="G98" s="412">
        <v>20911414</v>
      </c>
      <c r="H98" s="412">
        <v>40429</v>
      </c>
      <c r="I98" s="412">
        <v>20039545</v>
      </c>
      <c r="J98" s="413">
        <v>65721</v>
      </c>
      <c r="K98" s="414">
        <v>36235280</v>
      </c>
      <c r="L98" s="412">
        <v>57262</v>
      </c>
      <c r="M98" s="412">
        <v>37300973</v>
      </c>
      <c r="N98" s="412">
        <v>52826</v>
      </c>
      <c r="O98" s="412">
        <v>41788643</v>
      </c>
      <c r="P98" s="412">
        <v>65538</v>
      </c>
      <c r="Q98" s="412">
        <v>42663542</v>
      </c>
      <c r="R98" s="412">
        <v>54118</v>
      </c>
      <c r="S98" s="412">
        <v>29005811</v>
      </c>
      <c r="T98" s="412">
        <v>65331</v>
      </c>
      <c r="U98" s="412">
        <v>34634631</v>
      </c>
      <c r="V98" s="412">
        <f>_xlfn.IFNA(VLOOKUP(A98,[3]進出口值表查詢結果!$C$11:$F$68,4,0),-[4]整車!$B$22)</f>
        <v>73370</v>
      </c>
      <c r="W98" s="412">
        <f>_xlfn.IFNA(VLOOKUP(A98,[3]進出口值表查詢結果!$C$11:$F$68,3,0),-[4]整車!$B$22)</f>
        <v>33547174</v>
      </c>
      <c r="X98" s="412">
        <f>_xlfn.IFNA(VLOOKUP(A98,[5]進出口值表查詢結果!$C$11:$F$68,4,0),-[4]整車!$B$22)</f>
        <v>60970</v>
      </c>
      <c r="Y98" s="412">
        <f>_xlfn.IFNA(VLOOKUP(A98,[5]進出口值表查詢結果!$C$11:$F$68,3,0),-[4]整車!$B$22)</f>
        <v>32188211</v>
      </c>
      <c r="Z98" s="406">
        <f t="shared" si="20"/>
        <v>665233</v>
      </c>
      <c r="AA98" s="406">
        <f t="shared" si="20"/>
        <v>382826681</v>
      </c>
    </row>
    <row r="99" spans="1:27">
      <c r="A99" s="448" t="s">
        <v>168</v>
      </c>
      <c r="B99" s="412">
        <v>4285</v>
      </c>
      <c r="C99" s="412">
        <v>3224729</v>
      </c>
      <c r="D99" s="412">
        <v>5520</v>
      </c>
      <c r="E99" s="412">
        <v>5948302</v>
      </c>
      <c r="F99" s="412">
        <v>3453</v>
      </c>
      <c r="G99" s="412">
        <v>2889944</v>
      </c>
      <c r="H99" s="412">
        <v>1520</v>
      </c>
      <c r="I99" s="412">
        <v>1622558</v>
      </c>
      <c r="J99" s="413">
        <v>2611</v>
      </c>
      <c r="K99" s="414">
        <v>2499831</v>
      </c>
      <c r="L99" s="412">
        <v>3403</v>
      </c>
      <c r="M99" s="412">
        <v>3630698</v>
      </c>
      <c r="N99" s="412">
        <v>3856</v>
      </c>
      <c r="O99" s="412">
        <v>4296622</v>
      </c>
      <c r="P99" s="412">
        <v>3208</v>
      </c>
      <c r="Q99" s="412">
        <v>3679701</v>
      </c>
      <c r="R99" s="412">
        <v>2427</v>
      </c>
      <c r="S99" s="412">
        <v>2612605</v>
      </c>
      <c r="T99" s="412">
        <v>2276</v>
      </c>
      <c r="U99" s="412">
        <v>3152428</v>
      </c>
      <c r="V99" s="412">
        <f>_xlfn.IFNA(VLOOKUP(A99,[3]進出口值表查詢結果!$C$11:$F$68,4,0),-[4]整車!$B$22)</f>
        <v>2267</v>
      </c>
      <c r="W99" s="412">
        <f>_xlfn.IFNA(VLOOKUP(A99,[3]進出口值表查詢結果!$C$11:$F$68,3,0),-[4]整車!$B$22)</f>
        <v>2558579</v>
      </c>
      <c r="X99" s="412">
        <f>_xlfn.IFNA(VLOOKUP(A99,[5]進出口值表查詢結果!$C$11:$F$68,4,0),-[4]整車!$B$22)</f>
        <v>3014</v>
      </c>
      <c r="Y99" s="412">
        <f>_xlfn.IFNA(VLOOKUP(A99,[5]進出口值表查詢結果!$C$11:$F$68,3,0),-[4]整車!$B$22)</f>
        <v>2345835</v>
      </c>
      <c r="Z99" s="406">
        <f t="shared" si="20"/>
        <v>37840</v>
      </c>
      <c r="AA99" s="406">
        <f t="shared" si="20"/>
        <v>38461832</v>
      </c>
    </row>
    <row r="100" spans="1:27">
      <c r="A100" s="448" t="s">
        <v>191</v>
      </c>
      <c r="B100" s="412">
        <v>393</v>
      </c>
      <c r="C100" s="412">
        <v>398334</v>
      </c>
      <c r="D100" s="412">
        <v>696</v>
      </c>
      <c r="E100" s="412">
        <v>573153</v>
      </c>
      <c r="F100" s="412">
        <v>171</v>
      </c>
      <c r="G100" s="412">
        <v>172220</v>
      </c>
      <c r="H100" s="412">
        <v>362</v>
      </c>
      <c r="I100" s="412">
        <v>494997</v>
      </c>
      <c r="J100" s="413">
        <v>530</v>
      </c>
      <c r="K100" s="416">
        <v>804144</v>
      </c>
      <c r="L100" s="412">
        <v>882</v>
      </c>
      <c r="M100" s="412">
        <v>833612</v>
      </c>
      <c r="N100" s="412">
        <v>1178</v>
      </c>
      <c r="O100" s="412">
        <v>1491175</v>
      </c>
      <c r="P100" s="412">
        <v>1274</v>
      </c>
      <c r="Q100" s="412">
        <v>1632667</v>
      </c>
      <c r="R100" s="412">
        <v>484</v>
      </c>
      <c r="S100" s="412">
        <v>521195</v>
      </c>
      <c r="T100" s="412">
        <v>1031</v>
      </c>
      <c r="U100" s="412">
        <v>936006</v>
      </c>
      <c r="V100" s="412">
        <f>_xlfn.IFNA(VLOOKUP(A100,[3]進出口值表查詢結果!$C$11:$F$68,4,0),-[4]整車!$B$22)</f>
        <v>1226</v>
      </c>
      <c r="W100" s="412">
        <f>_xlfn.IFNA(VLOOKUP(A100,[3]進出口值表查詢結果!$C$11:$F$68,3,0),-[4]整車!$B$22)</f>
        <v>881802</v>
      </c>
      <c r="X100" s="412">
        <f>_xlfn.IFNA(VLOOKUP(A100,[5]進出口值表查詢結果!$C$11:$F$68,4,0),-[4]整車!$B$22)</f>
        <v>534</v>
      </c>
      <c r="Y100" s="412">
        <f>_xlfn.IFNA(VLOOKUP(A100,[5]進出口值表查詢結果!$C$11:$F$68,3,0),-[4]整車!$B$22)</f>
        <v>675471</v>
      </c>
      <c r="Z100" s="406">
        <f t="shared" si="20"/>
        <v>8761</v>
      </c>
      <c r="AA100" s="406">
        <f t="shared" si="20"/>
        <v>9414776</v>
      </c>
    </row>
    <row r="101" spans="1:27">
      <c r="A101" s="415"/>
      <c r="B101" s="412"/>
      <c r="C101" s="412"/>
      <c r="D101" s="412"/>
      <c r="E101" s="412"/>
      <c r="F101" s="412"/>
      <c r="G101" s="412"/>
      <c r="H101" s="412"/>
      <c r="I101" s="412"/>
      <c r="J101" s="413"/>
      <c r="K101" s="414"/>
      <c r="L101" s="412"/>
      <c r="M101" s="412"/>
      <c r="N101" s="412"/>
      <c r="O101" s="412"/>
      <c r="P101" s="412"/>
      <c r="Q101" s="412"/>
      <c r="R101" s="412"/>
      <c r="S101" s="412"/>
      <c r="T101" s="412"/>
      <c r="U101" s="412"/>
      <c r="V101" s="412"/>
      <c r="W101" s="412"/>
      <c r="X101" s="412"/>
      <c r="Y101" s="412"/>
      <c r="Z101" s="406"/>
      <c r="AA101" s="406"/>
    </row>
    <row r="102" spans="1:27">
      <c r="A102" s="432" t="s">
        <v>44</v>
      </c>
      <c r="B102" s="433">
        <f t="shared" ref="B102:Y102" si="21">SUM(B103:B134)</f>
        <v>1934</v>
      </c>
      <c r="C102" s="433">
        <f t="shared" si="21"/>
        <v>1731089</v>
      </c>
      <c r="D102" s="433">
        <f t="shared" si="21"/>
        <v>1633</v>
      </c>
      <c r="E102" s="433">
        <f t="shared" si="21"/>
        <v>1772448</v>
      </c>
      <c r="F102" s="433">
        <f t="shared" si="21"/>
        <v>1822</v>
      </c>
      <c r="G102" s="433">
        <f t="shared" si="21"/>
        <v>2077067</v>
      </c>
      <c r="H102" s="433">
        <f t="shared" si="21"/>
        <v>906</v>
      </c>
      <c r="I102" s="433">
        <f t="shared" si="21"/>
        <v>1075357</v>
      </c>
      <c r="J102" s="434">
        <f t="shared" si="21"/>
        <v>1957</v>
      </c>
      <c r="K102" s="435">
        <f t="shared" si="21"/>
        <v>3078550</v>
      </c>
      <c r="L102" s="433">
        <f t="shared" si="21"/>
        <v>3212</v>
      </c>
      <c r="M102" s="433">
        <f t="shared" si="21"/>
        <v>4353020</v>
      </c>
      <c r="N102" s="433">
        <f t="shared" si="21"/>
        <v>3748</v>
      </c>
      <c r="O102" s="433">
        <f t="shared" si="21"/>
        <v>4915548</v>
      </c>
      <c r="P102" s="433">
        <f t="shared" si="21"/>
        <v>2931</v>
      </c>
      <c r="Q102" s="433">
        <f t="shared" si="21"/>
        <v>4038698</v>
      </c>
      <c r="R102" s="433">
        <f t="shared" si="21"/>
        <v>2759</v>
      </c>
      <c r="S102" s="433">
        <f t="shared" si="21"/>
        <v>3387332</v>
      </c>
      <c r="T102" s="433">
        <f t="shared" si="21"/>
        <v>2949</v>
      </c>
      <c r="U102" s="433">
        <f t="shared" si="21"/>
        <v>3052841</v>
      </c>
      <c r="V102" s="433">
        <f>SUM(V103:V134)</f>
        <v>1812</v>
      </c>
      <c r="W102" s="433">
        <f>SUM(W103:W134)</f>
        <v>2019548</v>
      </c>
      <c r="X102" s="433">
        <f t="shared" si="21"/>
        <v>2688</v>
      </c>
      <c r="Y102" s="433">
        <f t="shared" si="21"/>
        <v>2319383</v>
      </c>
      <c r="Z102" s="419">
        <f t="shared" ref="Z102:Z134" si="22">SUM(B102,D102,F102,H102,J102,L102,N102,P102,R102,T102,V102,X102)</f>
        <v>28351</v>
      </c>
      <c r="AA102" s="419">
        <f t="shared" ref="AA102:AA134" si="23">SUM(C102,E102,G102,I102,K102,M102,O102,Q102,S102,U102,W102,Y102)</f>
        <v>33820881</v>
      </c>
    </row>
    <row r="103" spans="1:27">
      <c r="A103" s="448" t="s">
        <v>293</v>
      </c>
      <c r="B103" s="412"/>
      <c r="C103" s="412"/>
      <c r="D103" s="412"/>
      <c r="E103" s="412"/>
      <c r="F103" s="412">
        <v>0</v>
      </c>
      <c r="G103" s="412"/>
      <c r="H103" s="412">
        <v>0</v>
      </c>
      <c r="I103" s="412">
        <v>0</v>
      </c>
      <c r="J103" s="413" t="s">
        <v>57</v>
      </c>
      <c r="K103" s="416" t="s">
        <v>57</v>
      </c>
      <c r="L103" s="412"/>
      <c r="M103" s="412"/>
      <c r="N103" s="412"/>
      <c r="O103" s="412"/>
      <c r="P103" s="412">
        <v>0</v>
      </c>
      <c r="Q103" s="412">
        <v>0</v>
      </c>
      <c r="R103" s="412">
        <v>0</v>
      </c>
      <c r="S103" s="412">
        <v>0</v>
      </c>
      <c r="T103" s="412"/>
      <c r="U103" s="412"/>
      <c r="V103" s="412">
        <f>_xlfn.IFNA(VLOOKUP(A103,[3]進出口值表查詢結果!$C$11:$F$68,4,0),-[4]整車!$B$22)</f>
        <v>0</v>
      </c>
      <c r="W103" s="412">
        <f>_xlfn.IFNA(VLOOKUP(A103,[3]進出口值表查詢結果!$C$11:$F$68,3,0),-[4]整車!$B$22)</f>
        <v>0</v>
      </c>
      <c r="X103" s="412">
        <f>_xlfn.IFNA(VLOOKUP(A103,[5]進出口值表查詢結果!$C$11:$F$68,4,0),-[4]整車!$B$22)</f>
        <v>0</v>
      </c>
      <c r="Y103" s="412">
        <f>_xlfn.IFNA(VLOOKUP(A103,[5]進出口值表查詢結果!$C$11:$F$68,3,0),-[4]整車!$B$22)</f>
        <v>0</v>
      </c>
      <c r="Z103" s="406">
        <f t="shared" si="22"/>
        <v>0</v>
      </c>
      <c r="AA103" s="406">
        <f t="shared" si="23"/>
        <v>0</v>
      </c>
    </row>
    <row r="104" spans="1:27">
      <c r="A104" s="448" t="s">
        <v>294</v>
      </c>
      <c r="B104" s="412"/>
      <c r="C104" s="412"/>
      <c r="D104" s="412"/>
      <c r="E104" s="412"/>
      <c r="F104" s="412">
        <v>0</v>
      </c>
      <c r="G104" s="412"/>
      <c r="H104" s="412">
        <v>0</v>
      </c>
      <c r="I104" s="412">
        <v>0</v>
      </c>
      <c r="J104" s="413" t="s">
        <v>57</v>
      </c>
      <c r="K104" s="416" t="s">
        <v>57</v>
      </c>
      <c r="L104" s="412"/>
      <c r="M104" s="412"/>
      <c r="N104" s="412"/>
      <c r="O104" s="412"/>
      <c r="P104" s="412">
        <v>0</v>
      </c>
      <c r="Q104" s="412">
        <v>0</v>
      </c>
      <c r="R104" s="412">
        <v>0</v>
      </c>
      <c r="S104" s="412">
        <v>0</v>
      </c>
      <c r="T104" s="412"/>
      <c r="U104" s="412"/>
      <c r="V104" s="412">
        <f>_xlfn.IFNA(VLOOKUP(A104,[3]進出口值表查詢結果!$C$11:$F$68,4,0),-[4]整車!$B$22)</f>
        <v>0</v>
      </c>
      <c r="W104" s="412">
        <f>_xlfn.IFNA(VLOOKUP(A104,[3]進出口值表查詢結果!$C$11:$F$68,3,0),-[4]整車!$B$22)</f>
        <v>0</v>
      </c>
      <c r="X104" s="412">
        <f>_xlfn.IFNA(VLOOKUP(A104,[5]進出口值表查詢結果!$C$11:$F$68,4,0),-[4]整車!$B$22)</f>
        <v>0</v>
      </c>
      <c r="Y104" s="412">
        <f>_xlfn.IFNA(VLOOKUP(A104,[5]進出口值表查詢結果!$C$11:$F$68,3,0),-[4]整車!$B$22)</f>
        <v>0</v>
      </c>
      <c r="Z104" s="406">
        <f t="shared" si="22"/>
        <v>0</v>
      </c>
      <c r="AA104" s="406">
        <f t="shared" si="23"/>
        <v>0</v>
      </c>
    </row>
    <row r="105" spans="1:27">
      <c r="A105" s="448" t="s">
        <v>184</v>
      </c>
      <c r="B105" s="412">
        <v>382</v>
      </c>
      <c r="C105" s="412">
        <v>382841</v>
      </c>
      <c r="D105" s="412">
        <v>506</v>
      </c>
      <c r="E105" s="412">
        <v>765722</v>
      </c>
      <c r="F105" s="412">
        <v>527</v>
      </c>
      <c r="G105" s="412">
        <v>600067</v>
      </c>
      <c r="H105" s="412">
        <v>281</v>
      </c>
      <c r="I105" s="412">
        <v>404903</v>
      </c>
      <c r="J105" s="413">
        <v>848</v>
      </c>
      <c r="K105" s="414">
        <v>1410992</v>
      </c>
      <c r="L105" s="412">
        <v>1653</v>
      </c>
      <c r="M105" s="412">
        <v>2346012</v>
      </c>
      <c r="N105" s="426">
        <v>944</v>
      </c>
      <c r="O105" s="426">
        <v>1389114</v>
      </c>
      <c r="P105" s="412">
        <v>509</v>
      </c>
      <c r="Q105" s="412">
        <v>808506</v>
      </c>
      <c r="R105" s="412">
        <v>533</v>
      </c>
      <c r="S105" s="412">
        <v>864334</v>
      </c>
      <c r="T105" s="412">
        <v>159</v>
      </c>
      <c r="U105" s="412">
        <v>215147</v>
      </c>
      <c r="V105" s="412">
        <f>_xlfn.IFNA(VLOOKUP(A105,[3]進出口值表查詢結果!$C$11:$F$68,4,0),-[4]整車!$B$22)</f>
        <v>323</v>
      </c>
      <c r="W105" s="412">
        <f>_xlfn.IFNA(VLOOKUP(A105,[3]進出口值表查詢結果!$C$11:$F$68,3,0),-[4]整車!$B$22)</f>
        <v>284126</v>
      </c>
      <c r="X105" s="412">
        <f>_xlfn.IFNA(VLOOKUP(A105,[5]進出口值表查詢結果!$C$11:$F$68,4,0),-[4]整車!$B$22)</f>
        <v>146</v>
      </c>
      <c r="Y105" s="412">
        <f>_xlfn.IFNA(VLOOKUP(A105,[5]進出口值表查詢結果!$C$11:$F$68,3,0),-[4]整車!$B$22)</f>
        <v>145591</v>
      </c>
      <c r="Z105" s="406">
        <f t="shared" si="22"/>
        <v>6811</v>
      </c>
      <c r="AA105" s="406">
        <f t="shared" si="23"/>
        <v>9617355</v>
      </c>
    </row>
    <row r="106" spans="1:27">
      <c r="A106" s="448" t="s">
        <v>296</v>
      </c>
      <c r="B106" s="412">
        <v>192</v>
      </c>
      <c r="C106" s="412">
        <v>147251</v>
      </c>
      <c r="D106" s="412">
        <v>186</v>
      </c>
      <c r="E106" s="412">
        <v>185042</v>
      </c>
      <c r="F106" s="412">
        <v>10</v>
      </c>
      <c r="G106" s="412">
        <v>16229</v>
      </c>
      <c r="H106" s="412">
        <v>0</v>
      </c>
      <c r="I106" s="412">
        <v>0</v>
      </c>
      <c r="J106" s="413" t="s">
        <v>57</v>
      </c>
      <c r="K106" s="416" t="s">
        <v>57</v>
      </c>
      <c r="L106" s="412">
        <v>204</v>
      </c>
      <c r="M106" s="412">
        <v>355563</v>
      </c>
      <c r="N106" s="426">
        <v>92</v>
      </c>
      <c r="O106" s="426">
        <v>125017</v>
      </c>
      <c r="P106" s="412">
        <v>232</v>
      </c>
      <c r="Q106" s="412">
        <v>213453</v>
      </c>
      <c r="R106" s="412">
        <v>211</v>
      </c>
      <c r="S106" s="412">
        <v>248506</v>
      </c>
      <c r="T106" s="412">
        <v>234</v>
      </c>
      <c r="U106" s="412">
        <v>172701</v>
      </c>
      <c r="V106" s="412">
        <f>_xlfn.IFNA(VLOOKUP(A106,[3]進出口值表查詢結果!$C$11:$F$68,4,0),-[4]整車!$B$22)</f>
        <v>169</v>
      </c>
      <c r="W106" s="412">
        <f>_xlfn.IFNA(VLOOKUP(A106,[3]進出口值表查詢結果!$C$11:$F$68,3,0),-[4]整車!$B$22)</f>
        <v>193761</v>
      </c>
      <c r="X106" s="412">
        <f>_xlfn.IFNA(VLOOKUP(A106,[5]進出口值表查詢結果!$C$11:$F$68,4,0),-[4]整車!$B$22)</f>
        <v>364</v>
      </c>
      <c r="Y106" s="412">
        <f>_xlfn.IFNA(VLOOKUP(A106,[5]進出口值表查詢結果!$C$11:$F$68,3,0),-[4]整車!$B$22)</f>
        <v>300945</v>
      </c>
      <c r="Z106" s="406">
        <f t="shared" si="22"/>
        <v>1894</v>
      </c>
      <c r="AA106" s="406">
        <f t="shared" si="23"/>
        <v>1958468</v>
      </c>
    </row>
    <row r="107" spans="1:27">
      <c r="A107" s="448" t="s">
        <v>297</v>
      </c>
      <c r="B107" s="412">
        <v>781</v>
      </c>
      <c r="C107" s="412">
        <v>548150</v>
      </c>
      <c r="D107" s="412">
        <v>111</v>
      </c>
      <c r="E107" s="412">
        <v>89240</v>
      </c>
      <c r="F107" s="412">
        <v>351</v>
      </c>
      <c r="G107" s="412">
        <v>470294</v>
      </c>
      <c r="H107" s="412">
        <v>198</v>
      </c>
      <c r="I107" s="412">
        <v>307652</v>
      </c>
      <c r="J107" s="413">
        <v>229</v>
      </c>
      <c r="K107" s="414">
        <v>430170</v>
      </c>
      <c r="L107" s="412">
        <v>510</v>
      </c>
      <c r="M107" s="412">
        <v>633446</v>
      </c>
      <c r="N107" s="426">
        <v>1151</v>
      </c>
      <c r="O107" s="426">
        <v>1551960</v>
      </c>
      <c r="P107" s="412">
        <v>889</v>
      </c>
      <c r="Q107" s="412">
        <v>1212809</v>
      </c>
      <c r="R107" s="412">
        <v>540</v>
      </c>
      <c r="S107" s="412">
        <v>582846</v>
      </c>
      <c r="T107" s="412">
        <v>602</v>
      </c>
      <c r="U107" s="412">
        <v>676489</v>
      </c>
      <c r="V107" s="412">
        <f>_xlfn.IFNA(VLOOKUP(A107,[3]進出口值表查詢結果!$C$11:$F$68,4,0),-[4]整車!$B$22)</f>
        <v>546</v>
      </c>
      <c r="W107" s="412">
        <f>_xlfn.IFNA(VLOOKUP(A107,[3]進出口值表查詢結果!$C$11:$F$68,3,0),-[4]整車!$B$22)</f>
        <v>727903</v>
      </c>
      <c r="X107" s="412">
        <f>_xlfn.IFNA(VLOOKUP(A107,[5]進出口值表查詢結果!$C$11:$F$68,4,0),-[4]整車!$B$22)</f>
        <v>233</v>
      </c>
      <c r="Y107" s="412">
        <f>_xlfn.IFNA(VLOOKUP(A107,[5]進出口值表查詢結果!$C$11:$F$68,3,0),-[4]整車!$B$22)</f>
        <v>261722</v>
      </c>
      <c r="Z107" s="406">
        <f t="shared" si="22"/>
        <v>6141</v>
      </c>
      <c r="AA107" s="406">
        <f t="shared" si="23"/>
        <v>7492681</v>
      </c>
    </row>
    <row r="108" spans="1:27">
      <c r="A108" s="448" t="s">
        <v>298</v>
      </c>
      <c r="B108" s="412">
        <v>17</v>
      </c>
      <c r="C108" s="412">
        <v>25258</v>
      </c>
      <c r="D108" s="412"/>
      <c r="E108" s="412"/>
      <c r="F108" s="412">
        <v>35</v>
      </c>
      <c r="G108" s="412">
        <v>25788</v>
      </c>
      <c r="H108" s="412">
        <v>12</v>
      </c>
      <c r="I108" s="412">
        <v>16694</v>
      </c>
      <c r="J108" s="413">
        <v>206</v>
      </c>
      <c r="K108" s="416">
        <v>450652</v>
      </c>
      <c r="L108" s="412">
        <v>105</v>
      </c>
      <c r="M108" s="412">
        <v>123626</v>
      </c>
      <c r="N108" s="412">
        <v>201</v>
      </c>
      <c r="O108" s="426">
        <v>350913</v>
      </c>
      <c r="P108" s="412">
        <v>238</v>
      </c>
      <c r="Q108" s="412">
        <v>267808</v>
      </c>
      <c r="R108" s="412">
        <v>35</v>
      </c>
      <c r="S108" s="412">
        <v>51563</v>
      </c>
      <c r="T108" s="412">
        <v>445</v>
      </c>
      <c r="U108" s="412">
        <v>486920</v>
      </c>
      <c r="V108" s="412">
        <f>_xlfn.IFNA(VLOOKUP(A108,[3]進出口值表查詢結果!$C$11:$F$68,4,0),-[4]整車!$B$22)</f>
        <v>432</v>
      </c>
      <c r="W108" s="412">
        <f>_xlfn.IFNA(VLOOKUP(A108,[3]進出口值表查詢結果!$C$11:$F$68,3,0),-[4]整車!$B$22)</f>
        <v>333448</v>
      </c>
      <c r="X108" s="412">
        <f>_xlfn.IFNA(VLOOKUP(A108,[5]進出口值表查詢結果!$C$11:$F$68,4,0),-[4]整車!$B$22)</f>
        <v>408</v>
      </c>
      <c r="Y108" s="412">
        <f>_xlfn.IFNA(VLOOKUP(A108,[5]進出口值表查詢結果!$C$11:$F$68,3,0),-[4]整車!$B$22)</f>
        <v>492827</v>
      </c>
      <c r="Z108" s="406">
        <f t="shared" si="22"/>
        <v>2134</v>
      </c>
      <c r="AA108" s="406">
        <f t="shared" si="23"/>
        <v>2625497</v>
      </c>
    </row>
    <row r="109" spans="1:27">
      <c r="A109" s="448" t="s">
        <v>393</v>
      </c>
      <c r="B109" s="412">
        <v>21</v>
      </c>
      <c r="C109" s="412">
        <v>26824</v>
      </c>
      <c r="D109" s="412"/>
      <c r="E109" s="412"/>
      <c r="F109" s="412">
        <v>99</v>
      </c>
      <c r="G109" s="412">
        <v>93761</v>
      </c>
      <c r="H109" s="412">
        <v>0</v>
      </c>
      <c r="I109" s="412">
        <v>0</v>
      </c>
      <c r="J109" s="413">
        <v>106</v>
      </c>
      <c r="K109" s="414">
        <v>83461</v>
      </c>
      <c r="L109" s="412">
        <v>38</v>
      </c>
      <c r="M109" s="412">
        <v>42862</v>
      </c>
      <c r="N109" s="426">
        <v>99</v>
      </c>
      <c r="O109" s="426">
        <v>102704</v>
      </c>
      <c r="P109" s="412">
        <v>90</v>
      </c>
      <c r="Q109" s="412">
        <v>90308</v>
      </c>
      <c r="R109" s="412">
        <v>58</v>
      </c>
      <c r="S109" s="412">
        <v>70380</v>
      </c>
      <c r="T109" s="412">
        <v>106</v>
      </c>
      <c r="U109" s="412">
        <v>106953</v>
      </c>
      <c r="V109" s="412">
        <f>_xlfn.IFNA(VLOOKUP(A109,[3]進出口值表查詢結果!$C$11:$F$68,4,0),-[4]整車!$B$22)</f>
        <v>50</v>
      </c>
      <c r="W109" s="412">
        <f>_xlfn.IFNA(VLOOKUP(A109,[3]進出口值表查詢結果!$C$11:$F$68,3,0),-[4]整車!$B$22)</f>
        <v>61248</v>
      </c>
      <c r="X109" s="412">
        <f>_xlfn.IFNA(VLOOKUP(A109,[5]進出口值表查詢結果!$C$11:$F$68,4,0),-[4]整車!$B$22)</f>
        <v>24</v>
      </c>
      <c r="Y109" s="412">
        <f>_xlfn.IFNA(VLOOKUP(A109,[5]進出口值表查詢結果!$C$11:$F$68,3,0),-[4]整車!$B$22)</f>
        <v>4829</v>
      </c>
      <c r="Z109" s="406">
        <f t="shared" si="22"/>
        <v>691</v>
      </c>
      <c r="AA109" s="406">
        <f t="shared" si="23"/>
        <v>683330</v>
      </c>
    </row>
    <row r="110" spans="1:27">
      <c r="A110" s="448" t="s">
        <v>299</v>
      </c>
      <c r="B110" s="412"/>
      <c r="C110" s="412"/>
      <c r="D110" s="412">
        <v>26</v>
      </c>
      <c r="E110" s="412">
        <v>36509</v>
      </c>
      <c r="F110" s="412">
        <v>69</v>
      </c>
      <c r="G110" s="412">
        <v>58115</v>
      </c>
      <c r="H110" s="412">
        <v>0</v>
      </c>
      <c r="I110" s="412">
        <v>0</v>
      </c>
      <c r="J110" s="413" t="s">
        <v>57</v>
      </c>
      <c r="K110" s="416" t="s">
        <v>57</v>
      </c>
      <c r="L110" s="412"/>
      <c r="M110" s="412"/>
      <c r="N110" s="412"/>
      <c r="O110" s="412"/>
      <c r="P110" s="412">
        <v>0</v>
      </c>
      <c r="Q110" s="412">
        <v>0</v>
      </c>
      <c r="R110" s="412">
        <v>0</v>
      </c>
      <c r="S110" s="412">
        <v>0</v>
      </c>
      <c r="T110" s="412"/>
      <c r="U110" s="412"/>
      <c r="V110" s="412">
        <f>_xlfn.IFNA(VLOOKUP(A110,[3]進出口值表查詢結果!$C$11:$F$68,4,0),-[4]整車!$B$22)</f>
        <v>0</v>
      </c>
      <c r="W110" s="412">
        <f>_xlfn.IFNA(VLOOKUP(A110,[3]進出口值表查詢結果!$C$11:$F$68,3,0),-[4]整車!$B$22)</f>
        <v>0</v>
      </c>
      <c r="X110" s="412">
        <f>_xlfn.IFNA(VLOOKUP(A110,[5]進出口值表查詢結果!$C$11:$F$68,4,0),-[4]整車!$B$22)</f>
        <v>0</v>
      </c>
      <c r="Y110" s="412">
        <f>_xlfn.IFNA(VLOOKUP(A110,[5]進出口值表查詢結果!$C$11:$F$68,3,0),-[4]整車!$B$22)</f>
        <v>0</v>
      </c>
      <c r="Z110" s="406">
        <f t="shared" si="22"/>
        <v>95</v>
      </c>
      <c r="AA110" s="406">
        <f t="shared" si="23"/>
        <v>94624</v>
      </c>
    </row>
    <row r="111" spans="1:27">
      <c r="A111" s="448" t="s">
        <v>300</v>
      </c>
      <c r="B111" s="412">
        <v>38</v>
      </c>
      <c r="C111" s="412">
        <v>57613</v>
      </c>
      <c r="D111" s="412">
        <v>239</v>
      </c>
      <c r="E111" s="412">
        <v>192071</v>
      </c>
      <c r="F111" s="412">
        <v>218</v>
      </c>
      <c r="G111" s="412">
        <v>140890</v>
      </c>
      <c r="H111" s="412">
        <v>5</v>
      </c>
      <c r="I111" s="412">
        <v>10500</v>
      </c>
      <c r="J111" s="413">
        <v>175</v>
      </c>
      <c r="K111" s="416">
        <v>220849</v>
      </c>
      <c r="L111" s="412">
        <v>319</v>
      </c>
      <c r="M111" s="412">
        <v>305430</v>
      </c>
      <c r="N111" s="426">
        <v>392</v>
      </c>
      <c r="O111" s="426">
        <v>586309</v>
      </c>
      <c r="P111" s="412">
        <v>106</v>
      </c>
      <c r="Q111" s="412">
        <v>196069</v>
      </c>
      <c r="R111" s="412">
        <v>435</v>
      </c>
      <c r="S111" s="412">
        <v>558493</v>
      </c>
      <c r="T111" s="412">
        <v>345</v>
      </c>
      <c r="U111" s="412">
        <v>422823</v>
      </c>
      <c r="V111" s="412">
        <f>_xlfn.IFNA(VLOOKUP(A111,[3]進出口值表查詢結果!$C$11:$F$68,4,0),-[4]整車!$B$22)</f>
        <v>81</v>
      </c>
      <c r="W111" s="412">
        <f>_xlfn.IFNA(VLOOKUP(A111,[3]進出口值表查詢結果!$C$11:$F$68,3,0),-[4]整車!$B$22)</f>
        <v>132131</v>
      </c>
      <c r="X111" s="412">
        <f>_xlfn.IFNA(VLOOKUP(A111,[5]進出口值表查詢結果!$C$11:$F$68,4,0),-[4]整車!$B$22)</f>
        <v>22</v>
      </c>
      <c r="Y111" s="412">
        <f>_xlfn.IFNA(VLOOKUP(A111,[5]進出口值表查詢結果!$C$11:$F$68,3,0),-[4]整車!$B$22)</f>
        <v>32015</v>
      </c>
      <c r="Z111" s="406">
        <f t="shared" si="22"/>
        <v>2375</v>
      </c>
      <c r="AA111" s="406">
        <f t="shared" si="23"/>
        <v>2855193</v>
      </c>
    </row>
    <row r="112" spans="1:27">
      <c r="A112" s="448" t="s">
        <v>302</v>
      </c>
      <c r="B112" s="412">
        <v>271</v>
      </c>
      <c r="C112" s="412">
        <v>335554</v>
      </c>
      <c r="D112" s="412">
        <v>333</v>
      </c>
      <c r="E112" s="412">
        <v>314324</v>
      </c>
      <c r="F112" s="412">
        <v>378</v>
      </c>
      <c r="G112" s="412">
        <v>429439</v>
      </c>
      <c r="H112" s="412">
        <v>379</v>
      </c>
      <c r="I112" s="412">
        <v>273535</v>
      </c>
      <c r="J112" s="413">
        <v>257</v>
      </c>
      <c r="K112" s="414">
        <v>307852</v>
      </c>
      <c r="L112" s="412">
        <v>224</v>
      </c>
      <c r="M112" s="412">
        <v>305162</v>
      </c>
      <c r="N112" s="426">
        <v>431</v>
      </c>
      <c r="O112" s="426">
        <v>330830</v>
      </c>
      <c r="P112" s="412">
        <v>626</v>
      </c>
      <c r="Q112" s="412">
        <v>920976</v>
      </c>
      <c r="R112" s="412">
        <v>781</v>
      </c>
      <c r="S112" s="412">
        <v>864845</v>
      </c>
      <c r="T112" s="412">
        <v>613</v>
      </c>
      <c r="U112" s="412">
        <v>641240</v>
      </c>
      <c r="V112" s="412">
        <f>_xlfn.IFNA(VLOOKUP(A112,[3]進出口值表查詢結果!$C$11:$F$68,4,0),-[4]整車!$B$22)</f>
        <v>188</v>
      </c>
      <c r="W112" s="412">
        <f>_xlfn.IFNA(VLOOKUP(A112,[3]進出口值表查詢結果!$C$11:$F$68,3,0),-[4]整車!$B$22)</f>
        <v>254834</v>
      </c>
      <c r="X112" s="412">
        <f>_xlfn.IFNA(VLOOKUP(A112,[5]進出口值表查詢結果!$C$11:$F$68,4,0),-[4]整車!$B$22)</f>
        <v>933</v>
      </c>
      <c r="Y112" s="412">
        <f>_xlfn.IFNA(VLOOKUP(A112,[5]進出口值表查詢結果!$C$11:$F$68,3,0),-[4]整車!$B$22)</f>
        <v>495836</v>
      </c>
      <c r="Z112" s="406">
        <f t="shared" si="22"/>
        <v>5414</v>
      </c>
      <c r="AA112" s="406">
        <f t="shared" si="23"/>
        <v>5474427</v>
      </c>
    </row>
    <row r="113" spans="1:27">
      <c r="A113" s="448" t="s">
        <v>303</v>
      </c>
      <c r="B113" s="412"/>
      <c r="C113" s="412"/>
      <c r="D113" s="412">
        <v>64</v>
      </c>
      <c r="E113" s="412">
        <v>60093</v>
      </c>
      <c r="F113" s="412">
        <v>13</v>
      </c>
      <c r="G113" s="412">
        <v>12413</v>
      </c>
      <c r="H113" s="412">
        <v>0</v>
      </c>
      <c r="I113" s="412">
        <v>0</v>
      </c>
      <c r="J113" s="413">
        <v>52</v>
      </c>
      <c r="K113" s="416">
        <v>77514</v>
      </c>
      <c r="L113" s="412">
        <v>0</v>
      </c>
      <c r="M113" s="412">
        <v>0</v>
      </c>
      <c r="N113" s="426">
        <v>105</v>
      </c>
      <c r="O113" s="426">
        <v>127620</v>
      </c>
      <c r="P113" s="412">
        <v>125</v>
      </c>
      <c r="Q113" s="412">
        <v>149169</v>
      </c>
      <c r="R113" s="412">
        <v>27</v>
      </c>
      <c r="S113" s="412">
        <v>36039</v>
      </c>
      <c r="T113" s="412">
        <v>211</v>
      </c>
      <c r="U113" s="412">
        <v>20138</v>
      </c>
      <c r="V113" s="412">
        <f>_xlfn.IFNA(VLOOKUP(A113,[3]進出口值表查詢結果!$C$11:$F$68,4,0),-[4]整車!$B$22)</f>
        <v>0</v>
      </c>
      <c r="W113" s="412">
        <f>_xlfn.IFNA(VLOOKUP(A113,[3]進出口值表查詢結果!$C$11:$F$68,3,0),-[4]整車!$B$22)</f>
        <v>0</v>
      </c>
      <c r="X113" s="412">
        <f>_xlfn.IFNA(VLOOKUP(A113,[5]進出口值表查詢結果!$C$11:$F$68,4,0),-[4]整車!$B$22)</f>
        <v>38</v>
      </c>
      <c r="Y113" s="412">
        <f>_xlfn.IFNA(VLOOKUP(A113,[5]進出口值表查詢結果!$C$11:$F$68,3,0),-[4]整車!$B$22)</f>
        <v>41358</v>
      </c>
      <c r="Z113" s="406">
        <f t="shared" si="22"/>
        <v>635</v>
      </c>
      <c r="AA113" s="406">
        <f t="shared" si="23"/>
        <v>524344</v>
      </c>
    </row>
    <row r="114" spans="1:27">
      <c r="A114" s="448" t="s">
        <v>304</v>
      </c>
      <c r="B114" s="412"/>
      <c r="C114" s="412"/>
      <c r="D114" s="412"/>
      <c r="E114" s="412"/>
      <c r="F114" s="412">
        <v>0</v>
      </c>
      <c r="G114" s="412"/>
      <c r="H114" s="412">
        <v>0</v>
      </c>
      <c r="I114" s="412">
        <v>0</v>
      </c>
      <c r="J114" s="413" t="s">
        <v>57</v>
      </c>
      <c r="K114" s="416" t="s">
        <v>57</v>
      </c>
      <c r="L114" s="412">
        <v>0</v>
      </c>
      <c r="M114" s="412">
        <v>0</v>
      </c>
      <c r="N114" s="412">
        <v>0</v>
      </c>
      <c r="O114" s="412">
        <v>0</v>
      </c>
      <c r="P114" s="412">
        <v>0</v>
      </c>
      <c r="Q114" s="412">
        <v>0</v>
      </c>
      <c r="R114" s="412">
        <v>65</v>
      </c>
      <c r="S114" s="412">
        <v>16882</v>
      </c>
      <c r="T114" s="412"/>
      <c r="U114" s="412"/>
      <c r="V114" s="412">
        <f>_xlfn.IFNA(VLOOKUP(A114,[3]進出口值表查詢結果!$C$11:$F$68,4,0),-[4]整車!$B$22)</f>
        <v>0</v>
      </c>
      <c r="W114" s="412">
        <f>_xlfn.IFNA(VLOOKUP(A114,[3]進出口值表查詢結果!$C$11:$F$68,3,0),-[4]整車!$B$22)</f>
        <v>0</v>
      </c>
      <c r="X114" s="412">
        <f>_xlfn.IFNA(VLOOKUP(A114,[5]進出口值表查詢結果!$C$11:$F$68,4,0),-[4]整車!$B$22)</f>
        <v>0</v>
      </c>
      <c r="Y114" s="412">
        <f>_xlfn.IFNA(VLOOKUP(A114,[5]進出口值表查詢結果!$C$11:$F$68,3,0),-[4]整車!$B$22)</f>
        <v>0</v>
      </c>
      <c r="Z114" s="406">
        <f t="shared" si="22"/>
        <v>65</v>
      </c>
      <c r="AA114" s="406">
        <f t="shared" si="23"/>
        <v>16882</v>
      </c>
    </row>
    <row r="115" spans="1:27">
      <c r="A115" s="448" t="s">
        <v>182</v>
      </c>
      <c r="B115" s="412"/>
      <c r="C115" s="412"/>
      <c r="D115" s="412"/>
      <c r="E115" s="412"/>
      <c r="F115" s="412">
        <v>0</v>
      </c>
      <c r="G115" s="412"/>
      <c r="H115" s="412">
        <v>0</v>
      </c>
      <c r="I115" s="412">
        <v>0</v>
      </c>
      <c r="J115" s="413" t="s">
        <v>57</v>
      </c>
      <c r="K115" s="416" t="s">
        <v>57</v>
      </c>
      <c r="L115" s="412">
        <v>0</v>
      </c>
      <c r="M115" s="412">
        <v>0</v>
      </c>
      <c r="N115" s="426">
        <v>36</v>
      </c>
      <c r="O115" s="426">
        <v>54902</v>
      </c>
      <c r="P115" s="412">
        <v>0</v>
      </c>
      <c r="Q115" s="412">
        <v>0</v>
      </c>
      <c r="R115" s="412">
        <v>59</v>
      </c>
      <c r="S115" s="412">
        <v>60292</v>
      </c>
      <c r="T115" s="412">
        <v>13</v>
      </c>
      <c r="U115" s="412">
        <v>24991</v>
      </c>
      <c r="V115" s="412">
        <f>_xlfn.IFNA(VLOOKUP(A115,[3]進出口值表查詢結果!$C$11:$F$68,4,0),-[4]整車!$B$22)</f>
        <v>0</v>
      </c>
      <c r="W115" s="412">
        <f>_xlfn.IFNA(VLOOKUP(A115,[3]進出口值表查詢結果!$C$11:$F$68,3,0),-[4]整車!$B$22)</f>
        <v>0</v>
      </c>
      <c r="X115" s="412">
        <f>_xlfn.IFNA(VLOOKUP(A115,[5]進出口值表查詢結果!$C$11:$F$68,4,0),-[4]整車!$B$22)</f>
        <v>90</v>
      </c>
      <c r="Y115" s="412">
        <f>_xlfn.IFNA(VLOOKUP(A115,[5]進出口值表查詢結果!$C$11:$F$68,3,0),-[4]整車!$B$22)</f>
        <v>155913</v>
      </c>
      <c r="Z115" s="406">
        <f t="shared" si="22"/>
        <v>198</v>
      </c>
      <c r="AA115" s="406">
        <f t="shared" si="23"/>
        <v>296098</v>
      </c>
    </row>
    <row r="116" spans="1:27">
      <c r="A116" s="448" t="s">
        <v>305</v>
      </c>
      <c r="B116" s="412"/>
      <c r="C116" s="412"/>
      <c r="D116" s="412">
        <v>58</v>
      </c>
      <c r="E116" s="412">
        <v>17155</v>
      </c>
      <c r="F116" s="412">
        <v>0</v>
      </c>
      <c r="G116" s="412"/>
      <c r="H116" s="412">
        <v>0</v>
      </c>
      <c r="I116" s="412">
        <v>0</v>
      </c>
      <c r="J116" s="413" t="s">
        <v>57</v>
      </c>
      <c r="K116" s="416" t="s">
        <v>57</v>
      </c>
      <c r="L116" s="412">
        <v>66</v>
      </c>
      <c r="M116" s="412">
        <v>91388</v>
      </c>
      <c r="N116" s="426">
        <v>93</v>
      </c>
      <c r="O116" s="426">
        <v>28161</v>
      </c>
      <c r="P116" s="412">
        <v>1</v>
      </c>
      <c r="Q116" s="412">
        <v>1898</v>
      </c>
      <c r="R116" s="412">
        <v>0</v>
      </c>
      <c r="S116" s="412">
        <v>0</v>
      </c>
      <c r="T116" s="412">
        <v>70</v>
      </c>
      <c r="U116" s="412">
        <v>76661</v>
      </c>
      <c r="V116" s="412">
        <f>_xlfn.IFNA(VLOOKUP(A116,[3]進出口值表查詢結果!$C$11:$F$68,4,0),-[4]整車!$B$22)</f>
        <v>0</v>
      </c>
      <c r="W116" s="412">
        <f>_xlfn.IFNA(VLOOKUP(A116,[3]進出口值表查詢結果!$C$11:$F$68,3,0),-[4]整車!$B$22)</f>
        <v>0</v>
      </c>
      <c r="X116" s="412">
        <f>_xlfn.IFNA(VLOOKUP(A116,[5]進出口值表查詢結果!$C$11:$F$68,4,0),-[4]整車!$B$22)</f>
        <v>0</v>
      </c>
      <c r="Y116" s="412">
        <f>_xlfn.IFNA(VLOOKUP(A116,[5]進出口值表查詢結果!$C$11:$F$68,3,0),-[4]整車!$B$22)</f>
        <v>0</v>
      </c>
      <c r="Z116" s="406">
        <f t="shared" si="22"/>
        <v>288</v>
      </c>
      <c r="AA116" s="406">
        <f t="shared" si="23"/>
        <v>215263</v>
      </c>
    </row>
    <row r="117" spans="1:27">
      <c r="A117" s="448" t="s">
        <v>306</v>
      </c>
      <c r="B117" s="412">
        <v>91</v>
      </c>
      <c r="C117" s="412">
        <v>105365</v>
      </c>
      <c r="D117" s="412"/>
      <c r="E117" s="412"/>
      <c r="F117" s="412">
        <v>0</v>
      </c>
      <c r="G117" s="412"/>
      <c r="H117" s="412">
        <v>0</v>
      </c>
      <c r="I117" s="412">
        <v>0</v>
      </c>
      <c r="J117" s="413" t="s">
        <v>57</v>
      </c>
      <c r="K117" s="416" t="s">
        <v>57</v>
      </c>
      <c r="L117" s="412">
        <v>0</v>
      </c>
      <c r="M117" s="412">
        <v>0</v>
      </c>
      <c r="N117" s="426">
        <v>92</v>
      </c>
      <c r="O117" s="426">
        <v>98850</v>
      </c>
      <c r="P117" s="412">
        <v>0</v>
      </c>
      <c r="Q117" s="412">
        <v>0</v>
      </c>
      <c r="R117" s="412">
        <v>0</v>
      </c>
      <c r="S117" s="412">
        <v>0</v>
      </c>
      <c r="T117" s="412"/>
      <c r="U117" s="412"/>
      <c r="V117" s="412">
        <f>_xlfn.IFNA(VLOOKUP(A117,[3]進出口值表查詢結果!$C$11:$F$68,4,0),-[4]整車!$B$22)</f>
        <v>22</v>
      </c>
      <c r="W117" s="412">
        <f>_xlfn.IFNA(VLOOKUP(A117,[3]進出口值表查詢結果!$C$11:$F$68,3,0),-[4]整車!$B$22)</f>
        <v>28492</v>
      </c>
      <c r="X117" s="412">
        <f>_xlfn.IFNA(VLOOKUP(A117,[5]進出口值表查詢結果!$C$11:$F$68,4,0),-[4]整車!$B$22)</f>
        <v>0</v>
      </c>
      <c r="Y117" s="412">
        <f>_xlfn.IFNA(VLOOKUP(A117,[5]進出口值表查詢結果!$C$11:$F$68,3,0),-[4]整車!$B$22)</f>
        <v>0</v>
      </c>
      <c r="Z117" s="406">
        <f t="shared" si="22"/>
        <v>205</v>
      </c>
      <c r="AA117" s="406">
        <f t="shared" si="23"/>
        <v>232707</v>
      </c>
    </row>
    <row r="118" spans="1:27">
      <c r="A118" s="448" t="s">
        <v>307</v>
      </c>
      <c r="B118" s="412"/>
      <c r="C118" s="412"/>
      <c r="D118" s="412"/>
      <c r="E118" s="412"/>
      <c r="F118" s="412">
        <v>0</v>
      </c>
      <c r="G118" s="412"/>
      <c r="H118" s="412">
        <v>0</v>
      </c>
      <c r="I118" s="412">
        <v>0</v>
      </c>
      <c r="J118" s="413" t="s">
        <v>57</v>
      </c>
      <c r="K118" s="416" t="s">
        <v>57</v>
      </c>
      <c r="L118" s="412">
        <v>0</v>
      </c>
      <c r="M118" s="412">
        <v>0</v>
      </c>
      <c r="N118" s="412">
        <v>0</v>
      </c>
      <c r="O118" s="412">
        <v>0</v>
      </c>
      <c r="P118" s="412">
        <v>0</v>
      </c>
      <c r="Q118" s="412">
        <v>0</v>
      </c>
      <c r="R118" s="412">
        <v>4</v>
      </c>
      <c r="S118" s="412">
        <v>4008</v>
      </c>
      <c r="T118" s="412"/>
      <c r="U118" s="412"/>
      <c r="V118" s="412">
        <f>_xlfn.IFNA(VLOOKUP(A118,[3]進出口值表查詢結果!$C$11:$F$68,4,0),-[4]整車!$B$22)</f>
        <v>0</v>
      </c>
      <c r="W118" s="412">
        <f>_xlfn.IFNA(VLOOKUP(A118,[3]進出口值表查詢結果!$C$11:$F$68,3,0),-[4]整車!$B$22)</f>
        <v>0</v>
      </c>
      <c r="X118" s="412">
        <f>_xlfn.IFNA(VLOOKUP(A118,[5]進出口值表查詢結果!$C$11:$F$68,4,0),-[4]整車!$B$22)</f>
        <v>0</v>
      </c>
      <c r="Y118" s="412">
        <f>_xlfn.IFNA(VLOOKUP(A118,[5]進出口值表查詢結果!$C$11:$F$68,3,0),-[4]整車!$B$22)</f>
        <v>0</v>
      </c>
      <c r="Z118" s="406">
        <f t="shared" si="22"/>
        <v>4</v>
      </c>
      <c r="AA118" s="406">
        <f t="shared" si="23"/>
        <v>4008</v>
      </c>
    </row>
    <row r="119" spans="1:27">
      <c r="A119" s="448" t="s">
        <v>308</v>
      </c>
      <c r="B119" s="412"/>
      <c r="C119" s="412"/>
      <c r="D119" s="412"/>
      <c r="E119" s="412"/>
      <c r="F119" s="412">
        <v>0</v>
      </c>
      <c r="G119" s="412"/>
      <c r="H119" s="412">
        <v>0</v>
      </c>
      <c r="I119" s="412">
        <v>0</v>
      </c>
      <c r="J119" s="413" t="s">
        <v>57</v>
      </c>
      <c r="K119" s="416" t="s">
        <v>57</v>
      </c>
      <c r="L119" s="412">
        <v>0</v>
      </c>
      <c r="M119" s="412">
        <v>0</v>
      </c>
      <c r="N119" s="412">
        <v>0</v>
      </c>
      <c r="O119" s="412">
        <v>0</v>
      </c>
      <c r="P119" s="412">
        <v>0</v>
      </c>
      <c r="Q119" s="412">
        <v>0</v>
      </c>
      <c r="R119" s="412">
        <v>0</v>
      </c>
      <c r="S119" s="412">
        <v>0</v>
      </c>
      <c r="T119" s="412"/>
      <c r="U119" s="412"/>
      <c r="V119" s="412">
        <f>_xlfn.IFNA(VLOOKUP(A119,[3]進出口值表查詢結果!$C$11:$F$68,4,0),-[4]整車!$B$22)</f>
        <v>0</v>
      </c>
      <c r="W119" s="412">
        <f>_xlfn.IFNA(VLOOKUP(A119,[3]進出口值表查詢結果!$C$11:$F$68,3,0),-[4]整車!$B$22)</f>
        <v>0</v>
      </c>
      <c r="X119" s="412">
        <f>_xlfn.IFNA(VLOOKUP(A119,[5]進出口值表查詢結果!$C$11:$F$68,4,0),-[4]整車!$B$22)</f>
        <v>0</v>
      </c>
      <c r="Y119" s="412">
        <f>_xlfn.IFNA(VLOOKUP(A119,[5]進出口值表查詢結果!$C$11:$F$68,3,0),-[4]整車!$B$22)</f>
        <v>0</v>
      </c>
      <c r="Z119" s="406">
        <f t="shared" si="22"/>
        <v>0</v>
      </c>
      <c r="AA119" s="406">
        <f t="shared" si="23"/>
        <v>0</v>
      </c>
    </row>
    <row r="120" spans="1:27">
      <c r="A120" s="448" t="s">
        <v>394</v>
      </c>
      <c r="B120" s="412">
        <v>30</v>
      </c>
      <c r="C120" s="412">
        <v>47684</v>
      </c>
      <c r="D120" s="412">
        <v>18</v>
      </c>
      <c r="E120" s="412">
        <v>21652</v>
      </c>
      <c r="F120" s="412">
        <v>40</v>
      </c>
      <c r="G120" s="412">
        <v>80054</v>
      </c>
      <c r="H120" s="412">
        <v>31</v>
      </c>
      <c r="I120" s="412">
        <v>62073</v>
      </c>
      <c r="J120" s="413" t="s">
        <v>57</v>
      </c>
      <c r="K120" s="416" t="s">
        <v>57</v>
      </c>
      <c r="L120" s="412">
        <v>93</v>
      </c>
      <c r="M120" s="412">
        <v>149531</v>
      </c>
      <c r="N120" s="426">
        <v>44</v>
      </c>
      <c r="O120" s="426">
        <v>69675</v>
      </c>
      <c r="P120" s="412">
        <v>115</v>
      </c>
      <c r="Q120" s="412">
        <v>177702</v>
      </c>
      <c r="R120" s="412">
        <v>11</v>
      </c>
      <c r="S120" s="412">
        <v>29144</v>
      </c>
      <c r="T120" s="412">
        <v>86</v>
      </c>
      <c r="U120" s="412">
        <v>116179</v>
      </c>
      <c r="V120" s="412">
        <f>_xlfn.IFNA(VLOOKUP(A120,[3]進出口值表查詢結果!$C$11:$F$68,4,0),-[4]整車!$B$22)</f>
        <v>1</v>
      </c>
      <c r="W120" s="412">
        <f>_xlfn.IFNA(VLOOKUP(A120,[3]進出口值表查詢結果!$C$11:$F$68,3,0),-[4]整車!$B$22)</f>
        <v>3605</v>
      </c>
      <c r="X120" s="412">
        <f>_xlfn.IFNA(VLOOKUP(A120,[5]進出口值表查詢結果!$C$11:$F$68,4,0),-[4]整車!$B$22)</f>
        <v>246</v>
      </c>
      <c r="Y120" s="412">
        <f>_xlfn.IFNA(VLOOKUP(A120,[5]進出口值表查詢結果!$C$11:$F$68,3,0),-[4]整車!$B$22)</f>
        <v>224562</v>
      </c>
      <c r="Z120" s="406">
        <f t="shared" si="22"/>
        <v>715</v>
      </c>
      <c r="AA120" s="406">
        <f t="shared" si="23"/>
        <v>981861</v>
      </c>
    </row>
    <row r="121" spans="1:27">
      <c r="A121" s="448" t="s">
        <v>309</v>
      </c>
      <c r="B121" s="412"/>
      <c r="C121" s="412"/>
      <c r="D121" s="412"/>
      <c r="E121" s="412"/>
      <c r="F121" s="412">
        <v>0</v>
      </c>
      <c r="G121" s="412"/>
      <c r="H121" s="412">
        <v>0</v>
      </c>
      <c r="I121" s="412">
        <v>0</v>
      </c>
      <c r="J121" s="413" t="s">
        <v>57</v>
      </c>
      <c r="K121" s="416" t="s">
        <v>57</v>
      </c>
      <c r="L121" s="412">
        <v>0</v>
      </c>
      <c r="M121" s="412">
        <v>0</v>
      </c>
      <c r="N121" s="412">
        <v>0</v>
      </c>
      <c r="O121" s="412">
        <v>0</v>
      </c>
      <c r="P121" s="412">
        <v>0</v>
      </c>
      <c r="Q121" s="412">
        <v>0</v>
      </c>
      <c r="R121" s="412">
        <v>0</v>
      </c>
      <c r="S121" s="412">
        <v>0</v>
      </c>
      <c r="T121" s="412"/>
      <c r="U121" s="412"/>
      <c r="V121" s="412">
        <f>_xlfn.IFNA(VLOOKUP(A121,[3]進出口值表查詢結果!$C$11:$F$68,4,0),-[4]整車!$B$22)</f>
        <v>0</v>
      </c>
      <c r="W121" s="412">
        <f>_xlfn.IFNA(VLOOKUP(A121,[3]進出口值表查詢結果!$C$11:$F$68,3,0),-[4]整車!$B$22)</f>
        <v>0</v>
      </c>
      <c r="X121" s="412">
        <f>_xlfn.IFNA(VLOOKUP(A121,[5]進出口值表查詢結果!$C$11:$F$68,4,0),-[4]整車!$B$22)</f>
        <v>0</v>
      </c>
      <c r="Y121" s="412">
        <f>_xlfn.IFNA(VLOOKUP(A121,[5]進出口值表查詢結果!$C$11:$F$68,3,0),-[4]整車!$B$22)</f>
        <v>0</v>
      </c>
      <c r="Z121" s="406">
        <f t="shared" si="22"/>
        <v>0</v>
      </c>
      <c r="AA121" s="406">
        <f t="shared" si="23"/>
        <v>0</v>
      </c>
    </row>
    <row r="122" spans="1:27">
      <c r="A122" s="448" t="s">
        <v>310</v>
      </c>
      <c r="B122" s="412"/>
      <c r="C122" s="412"/>
      <c r="D122" s="412"/>
      <c r="E122" s="412"/>
      <c r="F122" s="412">
        <v>0</v>
      </c>
      <c r="G122" s="412"/>
      <c r="H122" s="412">
        <v>0</v>
      </c>
      <c r="I122" s="412">
        <v>0</v>
      </c>
      <c r="J122" s="413" t="s">
        <v>57</v>
      </c>
      <c r="K122" s="416" t="s">
        <v>57</v>
      </c>
      <c r="L122" s="412">
        <v>0</v>
      </c>
      <c r="M122" s="412">
        <v>0</v>
      </c>
      <c r="N122" s="412">
        <v>0</v>
      </c>
      <c r="O122" s="412">
        <v>0</v>
      </c>
      <c r="P122" s="412">
        <v>0</v>
      </c>
      <c r="Q122" s="412">
        <v>0</v>
      </c>
      <c r="R122" s="412">
        <v>0</v>
      </c>
      <c r="S122" s="412">
        <v>0</v>
      </c>
      <c r="T122" s="412"/>
      <c r="U122" s="412"/>
      <c r="V122" s="412">
        <f>_xlfn.IFNA(VLOOKUP(A122,[3]進出口值表查詢結果!$C$11:$F$68,4,0),-[4]整車!$B$22)</f>
        <v>0</v>
      </c>
      <c r="W122" s="412">
        <f>_xlfn.IFNA(VLOOKUP(A122,[3]進出口值表查詢結果!$C$11:$F$68,3,0),-[4]整車!$B$22)</f>
        <v>0</v>
      </c>
      <c r="X122" s="412">
        <f>_xlfn.IFNA(VLOOKUP(A122,[5]進出口值表查詢結果!$C$11:$F$68,4,0),-[4]整車!$B$22)</f>
        <v>0</v>
      </c>
      <c r="Y122" s="412">
        <f>_xlfn.IFNA(VLOOKUP(A122,[5]進出口值表查詢結果!$C$11:$F$68,3,0),-[4]整車!$B$22)</f>
        <v>0</v>
      </c>
      <c r="Z122" s="406">
        <f t="shared" si="22"/>
        <v>0</v>
      </c>
      <c r="AA122" s="406">
        <f t="shared" si="23"/>
        <v>0</v>
      </c>
    </row>
    <row r="123" spans="1:27">
      <c r="A123" s="448" t="s">
        <v>311</v>
      </c>
      <c r="B123" s="412"/>
      <c r="C123" s="412"/>
      <c r="D123" s="412"/>
      <c r="E123" s="412"/>
      <c r="F123" s="412">
        <v>0</v>
      </c>
      <c r="G123" s="412"/>
      <c r="H123" s="412">
        <v>0</v>
      </c>
      <c r="I123" s="412">
        <v>0</v>
      </c>
      <c r="J123" s="413" t="s">
        <v>57</v>
      </c>
      <c r="K123" s="416" t="s">
        <v>57</v>
      </c>
      <c r="L123" s="412">
        <v>0</v>
      </c>
      <c r="M123" s="412">
        <v>0</v>
      </c>
      <c r="N123" s="412">
        <v>0</v>
      </c>
      <c r="O123" s="412">
        <v>0</v>
      </c>
      <c r="P123" s="412">
        <v>0</v>
      </c>
      <c r="Q123" s="412">
        <v>0</v>
      </c>
      <c r="R123" s="412">
        <v>0</v>
      </c>
      <c r="S123" s="412">
        <v>0</v>
      </c>
      <c r="T123" s="412"/>
      <c r="U123" s="412"/>
      <c r="V123" s="412">
        <f>_xlfn.IFNA(VLOOKUP(A123,[3]進出口值表查詢結果!$C$11:$F$68,4,0),-[4]整車!$B$22)</f>
        <v>0</v>
      </c>
      <c r="W123" s="412">
        <f>_xlfn.IFNA(VLOOKUP(A123,[3]進出口值表查詢結果!$C$11:$F$68,3,0),-[4]整車!$B$22)</f>
        <v>0</v>
      </c>
      <c r="X123" s="412">
        <f>_xlfn.IFNA(VLOOKUP(A123,[5]進出口值表查詢結果!$C$11:$F$68,4,0),-[4]整車!$B$22)</f>
        <v>0</v>
      </c>
      <c r="Y123" s="412">
        <f>_xlfn.IFNA(VLOOKUP(A123,[5]進出口值表查詢結果!$C$11:$F$68,3,0),-[4]整車!$B$22)</f>
        <v>0</v>
      </c>
      <c r="Z123" s="406">
        <f t="shared" si="22"/>
        <v>0</v>
      </c>
      <c r="AA123" s="406">
        <f t="shared" si="23"/>
        <v>0</v>
      </c>
    </row>
    <row r="124" spans="1:27">
      <c r="A124" s="448" t="s">
        <v>312</v>
      </c>
      <c r="B124" s="412"/>
      <c r="C124" s="412"/>
      <c r="D124" s="412"/>
      <c r="E124" s="412"/>
      <c r="F124" s="412">
        <v>0</v>
      </c>
      <c r="G124" s="412"/>
      <c r="H124" s="412">
        <v>0</v>
      </c>
      <c r="I124" s="412">
        <v>0</v>
      </c>
      <c r="J124" s="413" t="s">
        <v>57</v>
      </c>
      <c r="K124" s="416" t="s">
        <v>57</v>
      </c>
      <c r="L124" s="412">
        <v>0</v>
      </c>
      <c r="M124" s="412">
        <v>0</v>
      </c>
      <c r="N124" s="412">
        <v>0</v>
      </c>
      <c r="O124" s="412">
        <v>0</v>
      </c>
      <c r="P124" s="412">
        <v>0</v>
      </c>
      <c r="Q124" s="412">
        <v>0</v>
      </c>
      <c r="R124" s="412">
        <v>0</v>
      </c>
      <c r="S124" s="412">
        <v>0</v>
      </c>
      <c r="T124" s="412"/>
      <c r="U124" s="412"/>
      <c r="V124" s="412">
        <f>_xlfn.IFNA(VLOOKUP(A124,[3]進出口值表查詢結果!$C$11:$F$68,4,0),-[4]整車!$B$22)</f>
        <v>0</v>
      </c>
      <c r="W124" s="412">
        <f>_xlfn.IFNA(VLOOKUP(A124,[3]進出口值表查詢結果!$C$11:$F$68,3,0),-[4]整車!$B$22)</f>
        <v>0</v>
      </c>
      <c r="X124" s="412">
        <f>_xlfn.IFNA(VLOOKUP(A124,[5]進出口值表查詢結果!$C$11:$F$68,4,0),-[4]整車!$B$22)</f>
        <v>0</v>
      </c>
      <c r="Y124" s="412">
        <f>_xlfn.IFNA(VLOOKUP(A124,[5]進出口值表查詢結果!$C$11:$F$68,3,0),-[4]整車!$B$22)</f>
        <v>0</v>
      </c>
      <c r="Z124" s="406">
        <f t="shared" si="22"/>
        <v>0</v>
      </c>
      <c r="AA124" s="406">
        <f t="shared" si="23"/>
        <v>0</v>
      </c>
    </row>
    <row r="125" spans="1:27">
      <c r="A125" s="448" t="s">
        <v>313</v>
      </c>
      <c r="B125" s="412"/>
      <c r="C125" s="412"/>
      <c r="D125" s="412"/>
      <c r="E125" s="412"/>
      <c r="F125" s="412">
        <v>0</v>
      </c>
      <c r="G125" s="412"/>
      <c r="H125" s="412">
        <v>0</v>
      </c>
      <c r="I125" s="412">
        <v>0</v>
      </c>
      <c r="J125" s="413" t="s">
        <v>57</v>
      </c>
      <c r="K125" s="416" t="s">
        <v>57</v>
      </c>
      <c r="L125" s="412">
        <v>0</v>
      </c>
      <c r="M125" s="412">
        <v>0</v>
      </c>
      <c r="N125" s="412">
        <v>0</v>
      </c>
      <c r="O125" s="412">
        <v>0</v>
      </c>
      <c r="P125" s="412">
        <v>0</v>
      </c>
      <c r="Q125" s="412">
        <v>0</v>
      </c>
      <c r="R125" s="412">
        <v>0</v>
      </c>
      <c r="S125" s="412">
        <v>0</v>
      </c>
      <c r="T125" s="412"/>
      <c r="U125" s="412"/>
      <c r="V125" s="412">
        <f>_xlfn.IFNA(VLOOKUP(A125,[3]進出口值表查詢結果!$C$11:$F$68,4,0),-[4]整車!$B$22)</f>
        <v>0</v>
      </c>
      <c r="W125" s="412">
        <f>_xlfn.IFNA(VLOOKUP(A125,[3]進出口值表查詢結果!$C$11:$F$68,3,0),-[4]整車!$B$22)</f>
        <v>0</v>
      </c>
      <c r="X125" s="412">
        <f>_xlfn.IFNA(VLOOKUP(A125,[5]進出口值表查詢結果!$C$11:$F$68,4,0),-[4]整車!$B$22)</f>
        <v>0</v>
      </c>
      <c r="Y125" s="412">
        <f>_xlfn.IFNA(VLOOKUP(A125,[5]進出口值表查詢結果!$C$11:$F$68,3,0),-[4]整車!$B$22)</f>
        <v>0</v>
      </c>
      <c r="Z125" s="406">
        <f t="shared" si="22"/>
        <v>0</v>
      </c>
      <c r="AA125" s="406">
        <f t="shared" si="23"/>
        <v>0</v>
      </c>
    </row>
    <row r="126" spans="1:27">
      <c r="A126" s="448" t="s">
        <v>188</v>
      </c>
      <c r="B126" s="412"/>
      <c r="C126" s="412"/>
      <c r="D126" s="412"/>
      <c r="E126" s="412"/>
      <c r="F126" s="412">
        <v>0</v>
      </c>
      <c r="G126" s="412"/>
      <c r="H126" s="412">
        <v>0</v>
      </c>
      <c r="I126" s="412">
        <v>0</v>
      </c>
      <c r="J126" s="413" t="s">
        <v>57</v>
      </c>
      <c r="K126" s="416" t="s">
        <v>57</v>
      </c>
      <c r="L126" s="412">
        <v>0</v>
      </c>
      <c r="M126" s="412">
        <v>0</v>
      </c>
      <c r="N126" s="412">
        <v>0</v>
      </c>
      <c r="O126" s="412">
        <v>0</v>
      </c>
      <c r="P126" s="412">
        <v>0</v>
      </c>
      <c r="Q126" s="412">
        <v>0</v>
      </c>
      <c r="R126" s="412">
        <v>0</v>
      </c>
      <c r="S126" s="412">
        <v>0</v>
      </c>
      <c r="T126" s="412"/>
      <c r="U126" s="412"/>
      <c r="V126" s="412">
        <f>_xlfn.IFNA(VLOOKUP(A126,[3]進出口值表查詢結果!$C$11:$F$68,4,0),-[4]整車!$B$22)</f>
        <v>0</v>
      </c>
      <c r="W126" s="412">
        <f>_xlfn.IFNA(VLOOKUP(A126,[3]進出口值表查詢結果!$C$11:$F$68,3,0),-[4]整車!$B$22)</f>
        <v>0</v>
      </c>
      <c r="X126" s="412">
        <f>_xlfn.IFNA(VLOOKUP(A126,[5]進出口值表查詢結果!$C$11:$F$68,4,0),-[4]整車!$B$22)</f>
        <v>0</v>
      </c>
      <c r="Y126" s="412">
        <f>_xlfn.IFNA(VLOOKUP(A126,[5]進出口值表查詢結果!$C$11:$F$68,3,0),-[4]整車!$B$22)</f>
        <v>0</v>
      </c>
      <c r="Z126" s="406">
        <f t="shared" si="22"/>
        <v>0</v>
      </c>
      <c r="AA126" s="406">
        <f t="shared" si="23"/>
        <v>0</v>
      </c>
    </row>
    <row r="127" spans="1:27">
      <c r="A127" s="448" t="s">
        <v>314</v>
      </c>
      <c r="B127" s="412">
        <v>111</v>
      </c>
      <c r="C127" s="412">
        <v>54549</v>
      </c>
      <c r="D127" s="412">
        <v>92</v>
      </c>
      <c r="E127" s="412">
        <v>90640</v>
      </c>
      <c r="F127" s="412">
        <v>82</v>
      </c>
      <c r="G127" s="412">
        <v>150017</v>
      </c>
      <c r="H127" s="412">
        <v>0</v>
      </c>
      <c r="I127" s="412">
        <v>0</v>
      </c>
      <c r="J127" s="413">
        <v>84</v>
      </c>
      <c r="K127" s="414">
        <v>97060</v>
      </c>
      <c r="L127" s="412">
        <v>0</v>
      </c>
      <c r="M127" s="412">
        <v>0</v>
      </c>
      <c r="N127" s="426">
        <v>68</v>
      </c>
      <c r="O127" s="426">
        <v>99493</v>
      </c>
      <c r="P127" s="412">
        <v>0</v>
      </c>
      <c r="Q127" s="412">
        <v>0</v>
      </c>
      <c r="R127" s="412">
        <v>0</v>
      </c>
      <c r="S127" s="412">
        <v>0</v>
      </c>
      <c r="T127" s="412">
        <v>65</v>
      </c>
      <c r="U127" s="412">
        <v>92599</v>
      </c>
      <c r="V127" s="412">
        <f>_xlfn.IFNA(VLOOKUP(A127,[3]進出口值表查詢結果!$C$11:$F$68,4,0),-[4]整車!$B$22)</f>
        <v>0</v>
      </c>
      <c r="W127" s="412">
        <f>_xlfn.IFNA(VLOOKUP(A127,[3]進出口值表查詢結果!$C$11:$F$68,3,0),-[4]整車!$B$22)</f>
        <v>0</v>
      </c>
      <c r="X127" s="412">
        <f>_xlfn.IFNA(VLOOKUP(A127,[5]進出口值表查詢結果!$C$11:$F$68,4,0),-[4]整車!$B$22)</f>
        <v>184</v>
      </c>
      <c r="Y127" s="412">
        <f>_xlfn.IFNA(VLOOKUP(A127,[5]進出口值表查詢結果!$C$11:$F$68,3,0),-[4]整車!$B$22)</f>
        <v>163785</v>
      </c>
      <c r="Z127" s="406">
        <f t="shared" si="22"/>
        <v>686</v>
      </c>
      <c r="AA127" s="406">
        <f t="shared" si="23"/>
        <v>748143</v>
      </c>
    </row>
    <row r="128" spans="1:27">
      <c r="A128" s="448" t="s">
        <v>315</v>
      </c>
      <c r="B128" s="412"/>
      <c r="C128" s="412"/>
      <c r="D128" s="412"/>
      <c r="E128" s="412"/>
      <c r="F128" s="412">
        <v>0</v>
      </c>
      <c r="G128" s="412"/>
      <c r="H128" s="412">
        <v>0</v>
      </c>
      <c r="I128" s="412">
        <v>0</v>
      </c>
      <c r="J128" s="413" t="s">
        <v>57</v>
      </c>
      <c r="K128" s="416" t="s">
        <v>57</v>
      </c>
      <c r="L128" s="412">
        <v>0</v>
      </c>
      <c r="M128" s="412">
        <v>0</v>
      </c>
      <c r="N128" s="412">
        <v>0</v>
      </c>
      <c r="O128" s="412">
        <v>0</v>
      </c>
      <c r="P128" s="412">
        <v>0</v>
      </c>
      <c r="Q128" s="412">
        <v>0</v>
      </c>
      <c r="R128" s="412">
        <v>0</v>
      </c>
      <c r="S128" s="412">
        <v>0</v>
      </c>
      <c r="T128" s="412"/>
      <c r="U128" s="412"/>
      <c r="V128" s="412">
        <f>_xlfn.IFNA(VLOOKUP(A128,[3]進出口值表查詢結果!$C$11:$F$68,4,0),-[4]整車!$B$22)</f>
        <v>0</v>
      </c>
      <c r="W128" s="412">
        <f>_xlfn.IFNA(VLOOKUP(A128,[3]進出口值表查詢結果!$C$11:$F$68,3,0),-[4]整車!$B$22)</f>
        <v>0</v>
      </c>
      <c r="X128" s="412">
        <f>_xlfn.IFNA(VLOOKUP(A128,[5]進出口值表查詢結果!$C$11:$F$68,4,0),-[4]整車!$B$22)</f>
        <v>0</v>
      </c>
      <c r="Y128" s="412">
        <f>_xlfn.IFNA(VLOOKUP(A128,[5]進出口值表查詢結果!$C$11:$F$68,3,0),-[4]整車!$B$22)</f>
        <v>0</v>
      </c>
      <c r="Z128" s="406">
        <f t="shared" si="22"/>
        <v>0</v>
      </c>
      <c r="AA128" s="406">
        <f t="shared" si="23"/>
        <v>0</v>
      </c>
    </row>
    <row r="129" spans="1:27">
      <c r="A129" s="448" t="s">
        <v>316</v>
      </c>
      <c r="B129" s="412"/>
      <c r="C129" s="412"/>
      <c r="D129" s="412"/>
      <c r="E129" s="412"/>
      <c r="F129" s="412">
        <v>0</v>
      </c>
      <c r="G129" s="412"/>
      <c r="H129" s="412">
        <v>0</v>
      </c>
      <c r="I129" s="412">
        <v>0</v>
      </c>
      <c r="J129" s="413" t="s">
        <v>57</v>
      </c>
      <c r="K129" s="416" t="s">
        <v>57</v>
      </c>
      <c r="L129" s="412">
        <v>0</v>
      </c>
      <c r="M129" s="412">
        <v>0</v>
      </c>
      <c r="N129" s="412">
        <v>0</v>
      </c>
      <c r="O129" s="412">
        <v>0</v>
      </c>
      <c r="P129" s="412">
        <v>0</v>
      </c>
      <c r="Q129" s="412">
        <v>0</v>
      </c>
      <c r="R129" s="412">
        <v>0</v>
      </c>
      <c r="S129" s="412">
        <v>0</v>
      </c>
      <c r="T129" s="412"/>
      <c r="U129" s="412"/>
      <c r="V129" s="412">
        <f>_xlfn.IFNA(VLOOKUP(A129,[3]進出口值表查詢結果!$C$11:$F$68,4,0),-[4]整車!$B$22)</f>
        <v>0</v>
      </c>
      <c r="W129" s="412">
        <f>_xlfn.IFNA(VLOOKUP(A129,[3]進出口值表查詢結果!$C$11:$F$68,3,0),-[4]整車!$B$22)</f>
        <v>0</v>
      </c>
      <c r="X129" s="412">
        <f>_xlfn.IFNA(VLOOKUP(A129,[5]進出口值表查詢結果!$C$11:$F$68,4,0),-[4]整車!$B$22)</f>
        <v>0</v>
      </c>
      <c r="Y129" s="412">
        <f>_xlfn.IFNA(VLOOKUP(A129,[5]進出口值表查詢結果!$C$11:$F$68,3,0),-[4]整車!$B$22)</f>
        <v>0</v>
      </c>
      <c r="Z129" s="406">
        <f t="shared" si="22"/>
        <v>0</v>
      </c>
      <c r="AA129" s="406">
        <f t="shared" si="23"/>
        <v>0</v>
      </c>
    </row>
    <row r="130" spans="1:27">
      <c r="A130" s="411" t="s">
        <v>317</v>
      </c>
      <c r="B130" s="412"/>
      <c r="C130" s="412"/>
      <c r="D130" s="412"/>
      <c r="E130" s="412"/>
      <c r="F130" s="412">
        <v>0</v>
      </c>
      <c r="G130" s="412"/>
      <c r="H130" s="412">
        <v>0</v>
      </c>
      <c r="I130" s="412">
        <v>0</v>
      </c>
      <c r="J130" s="413" t="s">
        <v>57</v>
      </c>
      <c r="K130" s="416" t="s">
        <v>57</v>
      </c>
      <c r="L130" s="412">
        <v>0</v>
      </c>
      <c r="M130" s="412">
        <v>0</v>
      </c>
      <c r="N130" s="412">
        <v>0</v>
      </c>
      <c r="O130" s="412">
        <v>0</v>
      </c>
      <c r="P130" s="412">
        <v>0</v>
      </c>
      <c r="Q130" s="412">
        <v>0</v>
      </c>
      <c r="R130" s="412">
        <v>0</v>
      </c>
      <c r="S130" s="412">
        <v>0</v>
      </c>
      <c r="T130" s="412"/>
      <c r="U130" s="412"/>
      <c r="V130" s="412">
        <f>_xlfn.IFNA(VLOOKUP(A130,[3]進出口值表查詢結果!$C$11:$F$68,4,0),-[4]整車!$B$22)</f>
        <v>0</v>
      </c>
      <c r="W130" s="412">
        <f>_xlfn.IFNA(VLOOKUP(A130,[3]進出口值表查詢結果!$C$11:$F$68,3,0),-[4]整車!$B$22)</f>
        <v>0</v>
      </c>
      <c r="X130" s="412">
        <f>_xlfn.IFNA(VLOOKUP(A130,[5]進出口值表查詢結果!$C$11:$F$68,4,0),-[4]整車!$B$22)</f>
        <v>0</v>
      </c>
      <c r="Y130" s="412">
        <f>_xlfn.IFNA(VLOOKUP(A130,[5]進出口值表查詢結果!$C$11:$F$68,3,0),-[4]整車!$B$22)</f>
        <v>0</v>
      </c>
      <c r="Z130" s="406">
        <f t="shared" si="22"/>
        <v>0</v>
      </c>
      <c r="AA130" s="406">
        <f t="shared" si="23"/>
        <v>0</v>
      </c>
    </row>
    <row r="131" spans="1:27">
      <c r="A131" s="448" t="s">
        <v>318</v>
      </c>
      <c r="B131" s="412"/>
      <c r="C131" s="412"/>
      <c r="D131" s="412"/>
      <c r="E131" s="412"/>
      <c r="F131" s="412">
        <v>0</v>
      </c>
      <c r="G131" s="412"/>
      <c r="H131" s="412">
        <v>0</v>
      </c>
      <c r="I131" s="412">
        <v>0</v>
      </c>
      <c r="J131" s="413" t="s">
        <v>57</v>
      </c>
      <c r="K131" s="416" t="s">
        <v>57</v>
      </c>
      <c r="L131" s="412">
        <v>0</v>
      </c>
      <c r="M131" s="412">
        <v>0</v>
      </c>
      <c r="N131" s="412">
        <v>0</v>
      </c>
      <c r="O131" s="412">
        <v>0</v>
      </c>
      <c r="P131" s="412">
        <v>0</v>
      </c>
      <c r="Q131" s="412">
        <v>0</v>
      </c>
      <c r="R131" s="412">
        <v>0</v>
      </c>
      <c r="S131" s="412">
        <v>0</v>
      </c>
      <c r="T131" s="412"/>
      <c r="U131" s="412"/>
      <c r="V131" s="412">
        <f>_xlfn.IFNA(VLOOKUP(A131,[3]進出口值表查詢結果!$C$11:$F$68,4,0),-[4]整車!$B$22)</f>
        <v>0</v>
      </c>
      <c r="W131" s="412">
        <f>_xlfn.IFNA(VLOOKUP(A131,[3]進出口值表查詢結果!$C$11:$F$68,3,0),-[4]整車!$B$22)</f>
        <v>0</v>
      </c>
      <c r="X131" s="412">
        <f>_xlfn.IFNA(VLOOKUP(A131,[5]進出口值表查詢結果!$C$11:$F$68,4,0),-[4]整車!$B$22)</f>
        <v>0</v>
      </c>
      <c r="Y131" s="412">
        <f>_xlfn.IFNA(VLOOKUP(A131,[5]進出口值表查詢結果!$C$11:$F$68,3,0),-[4]整車!$B$22)</f>
        <v>0</v>
      </c>
      <c r="Z131" s="406">
        <f t="shared" si="22"/>
        <v>0</v>
      </c>
      <c r="AA131" s="406">
        <f t="shared" si="23"/>
        <v>0</v>
      </c>
    </row>
    <row r="132" spans="1:27">
      <c r="A132" s="448" t="s">
        <v>319</v>
      </c>
      <c r="B132" s="412"/>
      <c r="C132" s="412"/>
      <c r="D132" s="412"/>
      <c r="E132" s="412"/>
      <c r="F132" s="412">
        <v>0</v>
      </c>
      <c r="G132" s="412"/>
      <c r="H132" s="412">
        <v>0</v>
      </c>
      <c r="I132" s="412">
        <v>0</v>
      </c>
      <c r="J132" s="413" t="s">
        <v>57</v>
      </c>
      <c r="K132" s="416" t="s">
        <v>57</v>
      </c>
      <c r="L132" s="412">
        <v>0</v>
      </c>
      <c r="M132" s="412">
        <v>0</v>
      </c>
      <c r="N132" s="412">
        <v>0</v>
      </c>
      <c r="O132" s="412">
        <v>0</v>
      </c>
      <c r="P132" s="412">
        <v>0</v>
      </c>
      <c r="Q132" s="412">
        <v>0</v>
      </c>
      <c r="R132" s="412">
        <v>0</v>
      </c>
      <c r="S132" s="412">
        <v>0</v>
      </c>
      <c r="T132" s="412"/>
      <c r="U132" s="412"/>
      <c r="V132" s="412">
        <f>_xlfn.IFNA(VLOOKUP(A132,[3]進出口值表查詢結果!$C$11:$F$68,4,0),-[4]整車!$B$22)</f>
        <v>0</v>
      </c>
      <c r="W132" s="412">
        <f>_xlfn.IFNA(VLOOKUP(A132,[3]進出口值表查詢結果!$C$11:$F$68,3,0),-[4]整車!$B$22)</f>
        <v>0</v>
      </c>
      <c r="X132" s="412">
        <f>_xlfn.IFNA(VLOOKUP(A132,[5]進出口值表查詢結果!$C$11:$F$68,4,0),-[4]整車!$B$22)</f>
        <v>0</v>
      </c>
      <c r="Y132" s="412">
        <f>_xlfn.IFNA(VLOOKUP(A132,[5]進出口值表查詢結果!$C$11:$F$68,3,0),-[4]整車!$B$22)</f>
        <v>0</v>
      </c>
      <c r="Z132" s="406">
        <f t="shared" si="22"/>
        <v>0</v>
      </c>
      <c r="AA132" s="406">
        <f t="shared" si="23"/>
        <v>0</v>
      </c>
    </row>
    <row r="133" spans="1:27">
      <c r="A133" s="448" t="s">
        <v>320</v>
      </c>
      <c r="B133" s="412"/>
      <c r="C133" s="412"/>
      <c r="D133" s="412"/>
      <c r="E133" s="412"/>
      <c r="F133" s="412">
        <v>0</v>
      </c>
      <c r="G133" s="412"/>
      <c r="H133" s="412">
        <v>0</v>
      </c>
      <c r="I133" s="412">
        <v>0</v>
      </c>
      <c r="J133" s="413" t="s">
        <v>57</v>
      </c>
      <c r="K133" s="416" t="s">
        <v>57</v>
      </c>
      <c r="L133" s="412">
        <v>0</v>
      </c>
      <c r="M133" s="412">
        <v>0</v>
      </c>
      <c r="N133" s="412">
        <v>0</v>
      </c>
      <c r="O133" s="412">
        <v>0</v>
      </c>
      <c r="P133" s="412">
        <v>0</v>
      </c>
      <c r="Q133" s="412">
        <v>0</v>
      </c>
      <c r="R133" s="412">
        <v>0</v>
      </c>
      <c r="S133" s="412">
        <v>0</v>
      </c>
      <c r="T133" s="412"/>
      <c r="U133" s="412"/>
      <c r="V133" s="412">
        <f>_xlfn.IFNA(VLOOKUP(A133,[3]進出口值表查詢結果!$C$11:$F$68,4,0),-[4]整車!$B$22)</f>
        <v>0</v>
      </c>
      <c r="W133" s="412">
        <f>_xlfn.IFNA(VLOOKUP(A133,[3]進出口值表查詢結果!$C$11:$F$68,3,0),-[4]整車!$B$22)</f>
        <v>0</v>
      </c>
      <c r="X133" s="412">
        <f>_xlfn.IFNA(VLOOKUP(A133,[5]進出口值表查詢結果!$C$11:$F$68,4,0),-[4]整車!$B$22)</f>
        <v>0</v>
      </c>
      <c r="Y133" s="412">
        <f>_xlfn.IFNA(VLOOKUP(A133,[5]進出口值表查詢結果!$C$11:$F$68,3,0),-[4]整車!$B$22)</f>
        <v>0</v>
      </c>
      <c r="Z133" s="406">
        <f t="shared" si="22"/>
        <v>0</v>
      </c>
      <c r="AA133" s="406">
        <f t="shared" si="23"/>
        <v>0</v>
      </c>
    </row>
    <row r="134" spans="1:27">
      <c r="A134" s="448" t="s">
        <v>321</v>
      </c>
      <c r="B134" s="412"/>
      <c r="C134" s="412"/>
      <c r="D134" s="412"/>
      <c r="E134" s="412"/>
      <c r="F134" s="412">
        <v>0</v>
      </c>
      <c r="G134" s="412"/>
      <c r="H134" s="412">
        <v>0</v>
      </c>
      <c r="I134" s="412">
        <v>0</v>
      </c>
      <c r="J134" s="413" t="s">
        <v>57</v>
      </c>
      <c r="K134" s="436" t="s">
        <v>57</v>
      </c>
      <c r="L134" s="412">
        <v>0</v>
      </c>
      <c r="M134" s="412">
        <v>0</v>
      </c>
      <c r="N134" s="412">
        <v>0</v>
      </c>
      <c r="O134" s="412">
        <v>0</v>
      </c>
      <c r="P134" s="412">
        <v>0</v>
      </c>
      <c r="Q134" s="412">
        <v>0</v>
      </c>
      <c r="R134" s="412">
        <v>0</v>
      </c>
      <c r="S134" s="412">
        <v>0</v>
      </c>
      <c r="T134" s="412"/>
      <c r="U134" s="412"/>
      <c r="V134" s="412">
        <f>_xlfn.IFNA(VLOOKUP(A134,[3]進出口值表查詢結果!$C$11:$F$68,4,0),-[4]整車!$B$22)</f>
        <v>0</v>
      </c>
      <c r="W134" s="412">
        <f>_xlfn.IFNA(VLOOKUP(A134,[3]進出口值表查詢結果!$C$11:$F$68,3,0),-[4]整車!$B$22)</f>
        <v>0</v>
      </c>
      <c r="X134" s="412">
        <f>_xlfn.IFNA(VLOOKUP(A134,[5]進出口值表查詢結果!$C$11:$F$68,4,0),-[4]整車!$B$22)</f>
        <v>0</v>
      </c>
      <c r="Y134" s="412">
        <f>_xlfn.IFNA(VLOOKUP(A134,[5]進出口值表查詢結果!$C$11:$F$68,3,0),-[4]整車!$B$22)</f>
        <v>0</v>
      </c>
      <c r="Z134" s="406">
        <f t="shared" si="22"/>
        <v>0</v>
      </c>
      <c r="AA134" s="406">
        <f t="shared" si="23"/>
        <v>0</v>
      </c>
    </row>
    <row r="135" spans="1:27">
      <c r="A135" s="415"/>
      <c r="B135" s="412"/>
      <c r="C135" s="412"/>
      <c r="D135" s="412"/>
      <c r="E135" s="412"/>
      <c r="F135" s="412"/>
      <c r="G135" s="412"/>
      <c r="H135" s="412"/>
      <c r="I135" s="412"/>
      <c r="J135" s="413"/>
      <c r="K135" s="414"/>
      <c r="L135" s="412"/>
      <c r="M135" s="412"/>
      <c r="N135" s="412"/>
      <c r="O135" s="412"/>
      <c r="P135" s="412"/>
      <c r="Q135" s="412"/>
      <c r="R135" s="412"/>
      <c r="S135" s="412"/>
      <c r="T135" s="412"/>
      <c r="U135" s="412"/>
      <c r="V135" s="412"/>
      <c r="W135" s="412"/>
      <c r="X135" s="412"/>
      <c r="Y135" s="412"/>
      <c r="Z135" s="406"/>
      <c r="AA135" s="406"/>
    </row>
    <row r="136" spans="1:27">
      <c r="A136" s="432" t="s">
        <v>140</v>
      </c>
      <c r="B136" s="433">
        <f t="shared" ref="B136:M136" si="24">SUM(B137:B150)</f>
        <v>391</v>
      </c>
      <c r="C136" s="433">
        <f t="shared" si="24"/>
        <v>601333</v>
      </c>
      <c r="D136" s="433">
        <f t="shared" si="24"/>
        <v>195</v>
      </c>
      <c r="E136" s="433">
        <f t="shared" si="24"/>
        <v>250399</v>
      </c>
      <c r="F136" s="433">
        <f t="shared" si="24"/>
        <v>714</v>
      </c>
      <c r="G136" s="433">
        <f t="shared" si="24"/>
        <v>599636</v>
      </c>
      <c r="H136" s="433">
        <f t="shared" si="24"/>
        <v>1024</v>
      </c>
      <c r="I136" s="433">
        <f t="shared" si="24"/>
        <v>190726</v>
      </c>
      <c r="J136" s="434">
        <f t="shared" si="24"/>
        <v>1213</v>
      </c>
      <c r="K136" s="435">
        <f t="shared" si="24"/>
        <v>446610</v>
      </c>
      <c r="L136" s="433">
        <f t="shared" si="24"/>
        <v>517</v>
      </c>
      <c r="M136" s="433">
        <f t="shared" si="24"/>
        <v>504422</v>
      </c>
      <c r="N136" s="433">
        <f>SUM(N137:N150)</f>
        <v>1680</v>
      </c>
      <c r="O136" s="433">
        <f>SUM(O137:O150)</f>
        <v>1034923</v>
      </c>
      <c r="P136" s="433">
        <f>SUM(P137:P149)</f>
        <v>1055</v>
      </c>
      <c r="Q136" s="433">
        <f>SUM(Q137:Q149)</f>
        <v>1060011</v>
      </c>
      <c r="R136" s="433">
        <f t="shared" ref="R136:Y136" si="25">SUM(R137:R150)</f>
        <v>1394</v>
      </c>
      <c r="S136" s="433">
        <f t="shared" si="25"/>
        <v>1001461</v>
      </c>
      <c r="T136" s="433">
        <f t="shared" si="25"/>
        <v>2073</v>
      </c>
      <c r="U136" s="433">
        <f t="shared" si="25"/>
        <v>1401961</v>
      </c>
      <c r="V136" s="433">
        <f>SUM(V137:V150)</f>
        <v>747</v>
      </c>
      <c r="W136" s="433">
        <f>SUM(W137:W150)</f>
        <v>547003</v>
      </c>
      <c r="X136" s="433">
        <f t="shared" si="25"/>
        <v>325</v>
      </c>
      <c r="Y136" s="433">
        <f t="shared" si="25"/>
        <v>457417</v>
      </c>
      <c r="Z136" s="419">
        <f t="shared" ref="Z136:Z167" si="26">SUM(B136,D136,F136,H136,J136,L136,N136,P136,R136,T136,V136,X136)</f>
        <v>11328</v>
      </c>
      <c r="AA136" s="419">
        <f t="shared" ref="AA136:AA167" si="27">SUM(C136,E136,G136,I136,K136,M136,O136,Q136,S136,U136,W136,Y136)</f>
        <v>8095902</v>
      </c>
    </row>
    <row r="137" spans="1:27">
      <c r="A137" s="453" t="s">
        <v>218</v>
      </c>
      <c r="B137" s="412">
        <v>7</v>
      </c>
      <c r="C137" s="412">
        <v>13229</v>
      </c>
      <c r="D137" s="412">
        <v>3</v>
      </c>
      <c r="E137" s="412">
        <v>2398</v>
      </c>
      <c r="F137" s="412">
        <v>74</v>
      </c>
      <c r="G137" s="412">
        <v>133887</v>
      </c>
      <c r="H137" s="412">
        <v>96</v>
      </c>
      <c r="I137" s="412">
        <v>168964</v>
      </c>
      <c r="J137" s="413"/>
      <c r="K137" s="414"/>
      <c r="L137" s="412">
        <v>198</v>
      </c>
      <c r="M137" s="412">
        <v>94268</v>
      </c>
      <c r="N137" s="412">
        <v>356</v>
      </c>
      <c r="O137" s="412">
        <v>453280</v>
      </c>
      <c r="P137" s="412">
        <v>591</v>
      </c>
      <c r="Q137" s="412">
        <v>597186</v>
      </c>
      <c r="R137" s="412">
        <v>397</v>
      </c>
      <c r="S137" s="412">
        <v>182473</v>
      </c>
      <c r="T137" s="412">
        <v>225</v>
      </c>
      <c r="U137" s="412">
        <v>224164</v>
      </c>
      <c r="V137" s="412">
        <f>_xlfn.IFNA(VLOOKUP(A137,[3]進出口值表查詢結果!$C$11:$F$68,4,0),-[4]整車!$B$22)</f>
        <v>121</v>
      </c>
      <c r="W137" s="412">
        <f>_xlfn.IFNA(VLOOKUP(A137,[3]進出口值表查詢結果!$C$11:$F$68,3,0),-[4]整車!$B$22)</f>
        <v>63501</v>
      </c>
      <c r="X137" s="412">
        <f>_xlfn.IFNA(VLOOKUP(A137,[5]進出口值表查詢結果!$C$11:$F$68,4,0),-[4]整車!$B$22)</f>
        <v>123</v>
      </c>
      <c r="Y137" s="412">
        <f>_xlfn.IFNA(VLOOKUP(A137,[5]進出口值表查詢結果!$C$11:$F$68,3,0),-[4]整車!$B$22)</f>
        <v>156263</v>
      </c>
      <c r="Z137" s="406">
        <f t="shared" si="26"/>
        <v>2191</v>
      </c>
      <c r="AA137" s="406">
        <f t="shared" si="27"/>
        <v>2089613</v>
      </c>
    </row>
    <row r="138" spans="1:27">
      <c r="A138" s="448" t="s">
        <v>162</v>
      </c>
      <c r="B138" s="412"/>
      <c r="C138" s="412"/>
      <c r="D138" s="412"/>
      <c r="E138" s="412"/>
      <c r="F138" s="412">
        <v>0</v>
      </c>
      <c r="G138" s="412"/>
      <c r="H138" s="412">
        <v>0</v>
      </c>
      <c r="I138" s="412">
        <v>0</v>
      </c>
      <c r="J138" s="413"/>
      <c r="K138" s="414"/>
      <c r="L138" s="412">
        <v>0</v>
      </c>
      <c r="M138" s="412">
        <v>0</v>
      </c>
      <c r="N138" s="412">
        <v>123</v>
      </c>
      <c r="O138" s="412">
        <v>61292</v>
      </c>
      <c r="P138" s="412">
        <v>0</v>
      </c>
      <c r="Q138" s="412">
        <v>0</v>
      </c>
      <c r="R138" s="412">
        <v>0</v>
      </c>
      <c r="S138" s="412">
        <v>0</v>
      </c>
      <c r="T138" s="412">
        <v>84</v>
      </c>
      <c r="U138" s="412">
        <v>105611</v>
      </c>
      <c r="V138" s="412">
        <f>_xlfn.IFNA(VLOOKUP(A138,[3]進出口值表查詢結果!$C$11:$F$68,4,0),-[4]整車!$B$22)</f>
        <v>68</v>
      </c>
      <c r="W138" s="412">
        <f>_xlfn.IFNA(VLOOKUP(A138,[3]進出口值表查詢結果!$C$11:$F$68,3,0),-[4]整車!$B$22)</f>
        <v>64056</v>
      </c>
      <c r="X138" s="412">
        <f>_xlfn.IFNA(VLOOKUP(A138,[5]進出口值表查詢結果!$C$11:$F$68,4,0),-[4]整車!$B$22)</f>
        <v>0</v>
      </c>
      <c r="Y138" s="412">
        <f>_xlfn.IFNA(VLOOKUP(A138,[5]進出口值表查詢結果!$C$11:$F$68,3,0),-[4]整車!$B$22)</f>
        <v>0</v>
      </c>
      <c r="Z138" s="406">
        <f t="shared" si="26"/>
        <v>275</v>
      </c>
      <c r="AA138" s="406">
        <f t="shared" si="27"/>
        <v>230959</v>
      </c>
    </row>
    <row r="139" spans="1:27">
      <c r="A139" s="448" t="s">
        <v>190</v>
      </c>
      <c r="B139" s="412">
        <v>280</v>
      </c>
      <c r="C139" s="412">
        <v>479573</v>
      </c>
      <c r="D139" s="412">
        <v>172</v>
      </c>
      <c r="E139" s="412">
        <v>228214</v>
      </c>
      <c r="F139" s="412">
        <v>600</v>
      </c>
      <c r="G139" s="412">
        <v>459244</v>
      </c>
      <c r="H139" s="412">
        <v>0</v>
      </c>
      <c r="I139" s="412">
        <v>0</v>
      </c>
      <c r="J139" s="413">
        <v>1213</v>
      </c>
      <c r="K139" s="414">
        <v>446610</v>
      </c>
      <c r="L139" s="412">
        <v>165</v>
      </c>
      <c r="M139" s="412">
        <v>220979</v>
      </c>
      <c r="N139" s="412">
        <v>339</v>
      </c>
      <c r="O139" s="412">
        <v>507640</v>
      </c>
      <c r="P139" s="412">
        <v>425</v>
      </c>
      <c r="Q139" s="412">
        <v>413046</v>
      </c>
      <c r="R139" s="412">
        <v>740</v>
      </c>
      <c r="S139" s="412">
        <v>667120</v>
      </c>
      <c r="T139" s="412">
        <v>1704</v>
      </c>
      <c r="U139" s="412">
        <v>1071291</v>
      </c>
      <c r="V139" s="412">
        <f>_xlfn.IFNA(VLOOKUP(A139,[3]進出口值表查詢結果!$C$11:$F$68,4,0),-[4]整車!$B$22)</f>
        <v>552</v>
      </c>
      <c r="W139" s="412">
        <f>_xlfn.IFNA(VLOOKUP(A139,[3]進出口值表查詢結果!$C$11:$F$68,3,0),-[4]整車!$B$22)</f>
        <v>411890</v>
      </c>
      <c r="X139" s="412">
        <f>_xlfn.IFNA(VLOOKUP(A139,[5]進出口值表查詢結果!$C$11:$F$68,4,0),-[4]整車!$B$22)</f>
        <v>108</v>
      </c>
      <c r="Y139" s="412">
        <f>_xlfn.IFNA(VLOOKUP(A139,[5]進出口值表查詢結果!$C$11:$F$68,3,0),-[4]整車!$B$22)</f>
        <v>192722</v>
      </c>
      <c r="Z139" s="406">
        <f t="shared" si="26"/>
        <v>6298</v>
      </c>
      <c r="AA139" s="406">
        <f t="shared" si="27"/>
        <v>5098329</v>
      </c>
    </row>
    <row r="140" spans="1:27">
      <c r="A140" s="448" t="s">
        <v>322</v>
      </c>
      <c r="B140" s="412"/>
      <c r="C140" s="412"/>
      <c r="D140" s="412"/>
      <c r="E140" s="412"/>
      <c r="F140" s="412">
        <v>0</v>
      </c>
      <c r="G140" s="412"/>
      <c r="H140" s="412">
        <v>0</v>
      </c>
      <c r="I140" s="412">
        <v>0</v>
      </c>
      <c r="J140" s="413"/>
      <c r="K140" s="414"/>
      <c r="L140" s="412">
        <v>0</v>
      </c>
      <c r="M140" s="412">
        <v>0</v>
      </c>
      <c r="N140" s="412">
        <v>0</v>
      </c>
      <c r="O140" s="412">
        <v>0</v>
      </c>
      <c r="P140" s="412">
        <v>0</v>
      </c>
      <c r="Q140" s="412">
        <v>0</v>
      </c>
      <c r="R140" s="412">
        <v>0</v>
      </c>
      <c r="S140" s="412">
        <v>0</v>
      </c>
      <c r="T140" s="412"/>
      <c r="U140" s="412"/>
      <c r="V140" s="412">
        <f>_xlfn.IFNA(VLOOKUP(A140,[3]進出口值表查詢結果!$C$11:$F$68,4,0),-[4]整車!$B$22)</f>
        <v>0</v>
      </c>
      <c r="W140" s="412">
        <f>_xlfn.IFNA(VLOOKUP(A140,[3]進出口值表查詢結果!$C$11:$F$68,3,0),-[4]整車!$B$22)</f>
        <v>0</v>
      </c>
      <c r="X140" s="412">
        <f>_xlfn.IFNA(VLOOKUP(A140,[5]進出口值表查詢結果!$C$11:$F$68,4,0),-[4]整車!$B$22)</f>
        <v>0</v>
      </c>
      <c r="Y140" s="412">
        <f>_xlfn.IFNA(VLOOKUP(A140,[5]進出口值表查詢結果!$C$11:$F$68,3,0),-[4]整車!$B$22)</f>
        <v>0</v>
      </c>
      <c r="Z140" s="406">
        <f t="shared" si="26"/>
        <v>0</v>
      </c>
      <c r="AA140" s="406">
        <f t="shared" si="27"/>
        <v>0</v>
      </c>
    </row>
    <row r="141" spans="1:27">
      <c r="A141" s="448" t="s">
        <v>323</v>
      </c>
      <c r="B141" s="412"/>
      <c r="C141" s="412"/>
      <c r="D141" s="412"/>
      <c r="E141" s="412"/>
      <c r="F141" s="412">
        <v>0</v>
      </c>
      <c r="G141" s="412"/>
      <c r="H141" s="412">
        <v>0</v>
      </c>
      <c r="I141" s="412">
        <v>0</v>
      </c>
      <c r="J141" s="413"/>
      <c r="K141" s="414"/>
      <c r="L141" s="412">
        <v>0</v>
      </c>
      <c r="M141" s="412">
        <v>0</v>
      </c>
      <c r="N141" s="412">
        <v>0</v>
      </c>
      <c r="O141" s="412">
        <v>0</v>
      </c>
      <c r="P141" s="412">
        <v>0</v>
      </c>
      <c r="Q141" s="412">
        <v>0</v>
      </c>
      <c r="R141" s="412">
        <v>0</v>
      </c>
      <c r="S141" s="412">
        <v>0</v>
      </c>
      <c r="T141" s="412"/>
      <c r="U141" s="412"/>
      <c r="V141" s="412">
        <f>_xlfn.IFNA(VLOOKUP(A141,[3]進出口值表查詢結果!$C$11:$F$68,4,0),-[4]整車!$B$22)</f>
        <v>0</v>
      </c>
      <c r="W141" s="412">
        <f>_xlfn.IFNA(VLOOKUP(A141,[3]進出口值表查詢結果!$C$11:$F$68,3,0),-[4]整車!$B$22)</f>
        <v>0</v>
      </c>
      <c r="X141" s="412">
        <f>_xlfn.IFNA(VLOOKUP(A141,[5]進出口值表查詢結果!$C$11:$F$68,4,0),-[4]整車!$B$22)</f>
        <v>0</v>
      </c>
      <c r="Y141" s="412">
        <f>_xlfn.IFNA(VLOOKUP(A141,[5]進出口值表查詢結果!$C$11:$F$68,3,0),-[4]整車!$B$22)</f>
        <v>0</v>
      </c>
      <c r="Z141" s="406">
        <f t="shared" si="26"/>
        <v>0</v>
      </c>
      <c r="AA141" s="406">
        <f t="shared" si="27"/>
        <v>0</v>
      </c>
    </row>
    <row r="142" spans="1:27">
      <c r="A142" s="448" t="s">
        <v>324</v>
      </c>
      <c r="B142" s="412">
        <v>77</v>
      </c>
      <c r="C142" s="412">
        <v>80740</v>
      </c>
      <c r="D142" s="412"/>
      <c r="E142" s="412"/>
      <c r="F142" s="412">
        <v>40</v>
      </c>
      <c r="G142" s="412">
        <v>6505</v>
      </c>
      <c r="H142" s="412">
        <v>0</v>
      </c>
      <c r="I142" s="412">
        <v>0</v>
      </c>
      <c r="J142" s="413"/>
      <c r="K142" s="414"/>
      <c r="L142" s="412">
        <v>101</v>
      </c>
      <c r="M142" s="412">
        <v>139946</v>
      </c>
      <c r="N142" s="412">
        <v>0</v>
      </c>
      <c r="O142" s="412">
        <v>0</v>
      </c>
      <c r="P142" s="412">
        <v>0</v>
      </c>
      <c r="Q142" s="412">
        <v>0</v>
      </c>
      <c r="R142" s="412">
        <v>0</v>
      </c>
      <c r="S142" s="412">
        <v>0</v>
      </c>
      <c r="T142" s="412"/>
      <c r="U142" s="412"/>
      <c r="V142" s="412">
        <f>_xlfn.IFNA(VLOOKUP(A142,[3]進出口值表查詢結果!$C$11:$F$68,4,0),-[4]整車!$B$22)</f>
        <v>0</v>
      </c>
      <c r="W142" s="412">
        <f>_xlfn.IFNA(VLOOKUP(A142,[3]進出口值表查詢結果!$C$11:$F$68,3,0),-[4]整車!$B$22)</f>
        <v>0</v>
      </c>
      <c r="X142" s="412">
        <f>_xlfn.IFNA(VLOOKUP(A142,[5]進出口值表查詢結果!$C$11:$F$68,4,0),-[4]整車!$B$22)</f>
        <v>94</v>
      </c>
      <c r="Y142" s="412">
        <f>_xlfn.IFNA(VLOOKUP(A142,[5]進出口值表查詢結果!$C$11:$F$68,3,0),-[4]整車!$B$22)</f>
        <v>108432</v>
      </c>
      <c r="Z142" s="406">
        <f t="shared" si="26"/>
        <v>312</v>
      </c>
      <c r="AA142" s="406">
        <f t="shared" si="27"/>
        <v>335623</v>
      </c>
    </row>
    <row r="143" spans="1:27">
      <c r="A143" s="448" t="s">
        <v>325</v>
      </c>
      <c r="B143" s="412"/>
      <c r="C143" s="412"/>
      <c r="D143" s="412"/>
      <c r="E143" s="412"/>
      <c r="F143" s="412">
        <v>0</v>
      </c>
      <c r="G143" s="412"/>
      <c r="H143" s="412">
        <v>0</v>
      </c>
      <c r="I143" s="412">
        <v>0</v>
      </c>
      <c r="J143" s="413"/>
      <c r="K143" s="414"/>
      <c r="L143" s="412">
        <v>25</v>
      </c>
      <c r="M143" s="412">
        <v>25972</v>
      </c>
      <c r="N143" s="412">
        <v>2</v>
      </c>
      <c r="O143" s="412">
        <v>3989</v>
      </c>
      <c r="P143" s="412">
        <v>6</v>
      </c>
      <c r="Q143" s="412">
        <v>5727</v>
      </c>
      <c r="R143" s="412">
        <v>5</v>
      </c>
      <c r="S143" s="412">
        <v>5843</v>
      </c>
      <c r="T143" s="412"/>
      <c r="U143" s="412"/>
      <c r="V143" s="412">
        <f>_xlfn.IFNA(VLOOKUP(A143,[3]進出口值表查詢結果!$C$11:$F$68,4,0),-[4]整車!$B$22)</f>
        <v>6</v>
      </c>
      <c r="W143" s="412">
        <f>_xlfn.IFNA(VLOOKUP(A143,[3]進出口值表查詢結果!$C$11:$F$68,3,0),-[4]整車!$B$22)</f>
        <v>7556</v>
      </c>
      <c r="X143" s="412">
        <f>_xlfn.IFNA(VLOOKUP(A143,[5]進出口值表查詢結果!$C$11:$F$68,4,0),-[4]整車!$B$22)</f>
        <v>0</v>
      </c>
      <c r="Y143" s="412">
        <f>_xlfn.IFNA(VLOOKUP(A143,[5]進出口值表查詢結果!$C$11:$F$68,3,0),-[4]整車!$B$22)</f>
        <v>0</v>
      </c>
      <c r="Z143" s="406">
        <f t="shared" si="26"/>
        <v>44</v>
      </c>
      <c r="AA143" s="406">
        <f t="shared" si="27"/>
        <v>49087</v>
      </c>
    </row>
    <row r="144" spans="1:27">
      <c r="A144" s="448" t="s">
        <v>326</v>
      </c>
      <c r="B144" s="412"/>
      <c r="C144" s="412"/>
      <c r="D144" s="412"/>
      <c r="E144" s="412"/>
      <c r="F144" s="412">
        <v>0</v>
      </c>
      <c r="G144" s="412"/>
      <c r="H144" s="412">
        <v>0</v>
      </c>
      <c r="I144" s="412">
        <v>0</v>
      </c>
      <c r="J144" s="413"/>
      <c r="K144" s="414"/>
      <c r="L144" s="412">
        <v>0</v>
      </c>
      <c r="M144" s="412">
        <v>0</v>
      </c>
      <c r="N144" s="412">
        <v>0</v>
      </c>
      <c r="O144" s="412">
        <v>0</v>
      </c>
      <c r="P144" s="412">
        <v>0</v>
      </c>
      <c r="Q144" s="412">
        <v>0</v>
      </c>
      <c r="R144" s="412">
        <v>0</v>
      </c>
      <c r="S144" s="412">
        <v>0</v>
      </c>
      <c r="T144" s="412"/>
      <c r="U144" s="412"/>
      <c r="V144" s="412">
        <f>_xlfn.IFNA(VLOOKUP(A144,[3]進出口值表查詢結果!$C$11:$F$68,4,0),-[4]整車!$B$22)</f>
        <v>0</v>
      </c>
      <c r="W144" s="412">
        <f>_xlfn.IFNA(VLOOKUP(A144,[3]進出口值表查詢結果!$C$11:$F$68,3,0),-[4]整車!$B$22)</f>
        <v>0</v>
      </c>
      <c r="X144" s="412">
        <f>_xlfn.IFNA(VLOOKUP(A144,[5]進出口值表查詢結果!$C$11:$F$68,4,0),-[4]整車!$B$22)</f>
        <v>0</v>
      </c>
      <c r="Y144" s="412">
        <f>_xlfn.IFNA(VLOOKUP(A144,[5]進出口值表查詢結果!$C$11:$F$68,3,0),-[4]整車!$B$22)</f>
        <v>0</v>
      </c>
      <c r="Z144" s="406">
        <f t="shared" si="26"/>
        <v>0</v>
      </c>
      <c r="AA144" s="406">
        <f t="shared" si="27"/>
        <v>0</v>
      </c>
    </row>
    <row r="145" spans="1:27">
      <c r="A145" s="448" t="s">
        <v>327</v>
      </c>
      <c r="B145" s="412"/>
      <c r="C145" s="412"/>
      <c r="D145" s="412">
        <v>20</v>
      </c>
      <c r="E145" s="412">
        <v>19787</v>
      </c>
      <c r="F145" s="412">
        <v>0</v>
      </c>
      <c r="G145" s="412"/>
      <c r="H145" s="412">
        <v>0</v>
      </c>
      <c r="I145" s="412">
        <v>0</v>
      </c>
      <c r="J145" s="413"/>
      <c r="K145" s="414"/>
      <c r="L145" s="412">
        <v>0</v>
      </c>
      <c r="M145" s="412">
        <v>0</v>
      </c>
      <c r="N145" s="412">
        <v>0</v>
      </c>
      <c r="O145" s="412">
        <v>0</v>
      </c>
      <c r="P145" s="412">
        <v>0</v>
      </c>
      <c r="Q145" s="412">
        <v>0</v>
      </c>
      <c r="R145" s="412">
        <v>0</v>
      </c>
      <c r="S145" s="412">
        <v>0</v>
      </c>
      <c r="T145" s="412"/>
      <c r="U145" s="412"/>
      <c r="V145" s="412">
        <f>_xlfn.IFNA(VLOOKUP(A145,[3]進出口值表查詢結果!$C$11:$F$68,4,0),-[4]整車!$B$22)</f>
        <v>0</v>
      </c>
      <c r="W145" s="412">
        <f>_xlfn.IFNA(VLOOKUP(A145,[3]進出口值表查詢結果!$C$11:$F$68,3,0),-[4]整車!$B$22)</f>
        <v>0</v>
      </c>
      <c r="X145" s="412">
        <f>_xlfn.IFNA(VLOOKUP(A145,[5]進出口值表查詢結果!$C$11:$F$68,4,0),-[4]整車!$B$22)</f>
        <v>0</v>
      </c>
      <c r="Y145" s="412">
        <f>_xlfn.IFNA(VLOOKUP(A145,[5]進出口值表查詢結果!$C$11:$F$68,3,0),-[4]整車!$B$22)</f>
        <v>0</v>
      </c>
      <c r="Z145" s="406">
        <f t="shared" si="26"/>
        <v>20</v>
      </c>
      <c r="AA145" s="406">
        <f t="shared" si="27"/>
        <v>19787</v>
      </c>
    </row>
    <row r="146" spans="1:27">
      <c r="A146" s="448" t="s">
        <v>328</v>
      </c>
      <c r="B146" s="412"/>
      <c r="C146" s="412"/>
      <c r="D146" s="412"/>
      <c r="E146" s="412"/>
      <c r="F146" s="412">
        <v>0</v>
      </c>
      <c r="G146" s="412"/>
      <c r="H146" s="412">
        <v>0</v>
      </c>
      <c r="I146" s="412">
        <v>0</v>
      </c>
      <c r="J146" s="413"/>
      <c r="K146" s="414"/>
      <c r="L146" s="412">
        <v>0</v>
      </c>
      <c r="M146" s="412">
        <v>0</v>
      </c>
      <c r="N146" s="412">
        <v>0</v>
      </c>
      <c r="O146" s="412">
        <v>0</v>
      </c>
      <c r="P146" s="412">
        <v>0</v>
      </c>
      <c r="Q146" s="412">
        <v>0</v>
      </c>
      <c r="R146" s="412">
        <v>0</v>
      </c>
      <c r="S146" s="412">
        <v>0</v>
      </c>
      <c r="T146" s="412"/>
      <c r="U146" s="412"/>
      <c r="V146" s="412">
        <f>_xlfn.IFNA(VLOOKUP(A146,[3]進出口值表查詢結果!$C$11:$F$68,4,0),-[4]整車!$B$22)</f>
        <v>0</v>
      </c>
      <c r="W146" s="412">
        <f>_xlfn.IFNA(VLOOKUP(A146,[3]進出口值表查詢結果!$C$11:$F$68,3,0),-[4]整車!$B$22)</f>
        <v>0</v>
      </c>
      <c r="X146" s="412">
        <f>_xlfn.IFNA(VLOOKUP(A146,[5]進出口值表查詢結果!$C$11:$F$68,4,0),-[4]整車!$B$22)</f>
        <v>0</v>
      </c>
      <c r="Y146" s="412">
        <f>_xlfn.IFNA(VLOOKUP(A146,[5]進出口值表查詢結果!$C$11:$F$68,3,0),-[4]整車!$B$22)</f>
        <v>0</v>
      </c>
      <c r="Z146" s="406">
        <f t="shared" si="26"/>
        <v>0</v>
      </c>
      <c r="AA146" s="406">
        <f t="shared" si="27"/>
        <v>0</v>
      </c>
    </row>
    <row r="147" spans="1:27">
      <c r="A147" s="448" t="s">
        <v>329</v>
      </c>
      <c r="B147" s="412">
        <v>27</v>
      </c>
      <c r="C147" s="412">
        <v>27791</v>
      </c>
      <c r="D147" s="412"/>
      <c r="E147" s="412"/>
      <c r="F147" s="412">
        <v>0</v>
      </c>
      <c r="G147" s="412"/>
      <c r="H147" s="412">
        <v>16</v>
      </c>
      <c r="I147" s="412">
        <v>12686</v>
      </c>
      <c r="J147" s="413"/>
      <c r="K147" s="414"/>
      <c r="L147" s="412">
        <v>28</v>
      </c>
      <c r="M147" s="412">
        <v>23257</v>
      </c>
      <c r="N147" s="412">
        <v>0</v>
      </c>
      <c r="O147" s="412">
        <v>0</v>
      </c>
      <c r="P147" s="412">
        <v>33</v>
      </c>
      <c r="Q147" s="412">
        <v>44052</v>
      </c>
      <c r="R147" s="412">
        <v>252</v>
      </c>
      <c r="S147" s="412">
        <v>146025</v>
      </c>
      <c r="T147" s="412"/>
      <c r="U147" s="412"/>
      <c r="V147" s="412">
        <f>_xlfn.IFNA(VLOOKUP(A147,[3]進出口值表查詢結果!$C$11:$F$68,4,0),-[4]整車!$B$22)</f>
        <v>0</v>
      </c>
      <c r="W147" s="412">
        <f>_xlfn.IFNA(VLOOKUP(A147,[3]進出口值表查詢結果!$C$11:$F$68,3,0),-[4]整車!$B$22)</f>
        <v>0</v>
      </c>
      <c r="X147" s="412">
        <f>_xlfn.IFNA(VLOOKUP(A147,[5]進出口值表查詢結果!$C$11:$F$68,4,0),-[4]整車!$B$22)</f>
        <v>0</v>
      </c>
      <c r="Y147" s="412">
        <f>_xlfn.IFNA(VLOOKUP(A147,[5]進出口值表查詢結果!$C$11:$F$68,3,0),-[4]整車!$B$22)</f>
        <v>0</v>
      </c>
      <c r="Z147" s="406">
        <f t="shared" si="26"/>
        <v>356</v>
      </c>
      <c r="AA147" s="406">
        <f t="shared" si="27"/>
        <v>253811</v>
      </c>
    </row>
    <row r="148" spans="1:27">
      <c r="A148" s="448" t="s">
        <v>330</v>
      </c>
      <c r="B148" s="412"/>
      <c r="C148" s="412"/>
      <c r="D148" s="412"/>
      <c r="E148" s="412"/>
      <c r="F148" s="412">
        <v>0</v>
      </c>
      <c r="G148" s="412"/>
      <c r="H148" s="412">
        <v>0</v>
      </c>
      <c r="I148" s="412">
        <v>0</v>
      </c>
      <c r="J148" s="413"/>
      <c r="K148" s="414"/>
      <c r="L148" s="412">
        <v>0</v>
      </c>
      <c r="M148" s="412">
        <v>0</v>
      </c>
      <c r="N148" s="412">
        <v>0</v>
      </c>
      <c r="O148" s="412">
        <v>0</v>
      </c>
      <c r="P148" s="412">
        <v>0</v>
      </c>
      <c r="Q148" s="412">
        <v>0</v>
      </c>
      <c r="R148" s="412">
        <v>0</v>
      </c>
      <c r="S148" s="412">
        <v>0</v>
      </c>
      <c r="T148" s="412"/>
      <c r="U148" s="412"/>
      <c r="V148" s="412">
        <f>_xlfn.IFNA(VLOOKUP(A148,[3]進出口值表查詢結果!$C$11:$F$68,4,0),-[4]整車!$B$22)</f>
        <v>0</v>
      </c>
      <c r="W148" s="412">
        <f>_xlfn.IFNA(VLOOKUP(A148,[3]進出口值表查詢結果!$C$11:$F$68,3,0),-[4]整車!$B$22)</f>
        <v>0</v>
      </c>
      <c r="X148" s="412">
        <f>_xlfn.IFNA(VLOOKUP(A148,[5]進出口值表查詢結果!$C$11:$F$68,4,0),-[4]整車!$B$22)</f>
        <v>0</v>
      </c>
      <c r="Y148" s="412">
        <f>_xlfn.IFNA(VLOOKUP(A148,[5]進出口值表查詢結果!$C$11:$F$68,3,0),-[4]整車!$B$22)</f>
        <v>0</v>
      </c>
      <c r="Z148" s="406">
        <f t="shared" si="26"/>
        <v>0</v>
      </c>
      <c r="AA148" s="406">
        <f t="shared" si="27"/>
        <v>0</v>
      </c>
    </row>
    <row r="149" spans="1:27">
      <c r="A149" s="448" t="s">
        <v>331</v>
      </c>
      <c r="B149" s="412"/>
      <c r="C149" s="412"/>
      <c r="D149" s="412"/>
      <c r="E149" s="412"/>
      <c r="F149" s="412">
        <v>0</v>
      </c>
      <c r="G149" s="412"/>
      <c r="H149" s="412">
        <v>0</v>
      </c>
      <c r="I149" s="412">
        <v>0</v>
      </c>
      <c r="J149" s="413"/>
      <c r="K149" s="414"/>
      <c r="L149" s="412">
        <v>0</v>
      </c>
      <c r="M149" s="412">
        <v>0</v>
      </c>
      <c r="N149" s="412">
        <v>0</v>
      </c>
      <c r="O149" s="412">
        <v>0</v>
      </c>
      <c r="P149" s="412">
        <v>0</v>
      </c>
      <c r="Q149" s="412">
        <v>0</v>
      </c>
      <c r="R149" s="412">
        <v>0</v>
      </c>
      <c r="S149" s="412">
        <v>0</v>
      </c>
      <c r="T149" s="412"/>
      <c r="U149" s="412"/>
      <c r="V149" s="412">
        <f>_xlfn.IFNA(VLOOKUP(A149,[3]進出口值表查詢結果!$C$11:$F$68,4,0),-[4]整車!$B$22)</f>
        <v>0</v>
      </c>
      <c r="W149" s="412">
        <f>_xlfn.IFNA(VLOOKUP(A149,[3]進出口值表查詢結果!$C$11:$F$68,3,0),-[4]整車!$B$22)</f>
        <v>0</v>
      </c>
      <c r="X149" s="412">
        <f>_xlfn.IFNA(VLOOKUP(A149,[5]進出口值表查詢結果!$C$11:$F$68,4,0),-[4]整車!$B$22)</f>
        <v>0</v>
      </c>
      <c r="Y149" s="412">
        <f>_xlfn.IFNA(VLOOKUP(A149,[5]進出口值表查詢結果!$C$11:$F$68,3,0),-[4]整車!$B$22)</f>
        <v>0</v>
      </c>
      <c r="Z149" s="406">
        <f t="shared" si="26"/>
        <v>0</v>
      </c>
      <c r="AA149" s="406">
        <f t="shared" si="27"/>
        <v>0</v>
      </c>
    </row>
    <row r="150" spans="1:27">
      <c r="A150" s="448" t="s">
        <v>332</v>
      </c>
      <c r="B150" s="412"/>
      <c r="C150" s="412"/>
      <c r="D150" s="412"/>
      <c r="E150" s="412"/>
      <c r="F150" s="412">
        <v>0</v>
      </c>
      <c r="G150" s="412"/>
      <c r="H150" s="412">
        <v>912</v>
      </c>
      <c r="I150" s="412">
        <v>9076</v>
      </c>
      <c r="J150" s="413"/>
      <c r="K150" s="414"/>
      <c r="L150" s="412">
        <v>0</v>
      </c>
      <c r="M150" s="412">
        <v>0</v>
      </c>
      <c r="N150" s="412">
        <v>860</v>
      </c>
      <c r="O150" s="412">
        <v>8722</v>
      </c>
      <c r="P150" s="412">
        <v>0</v>
      </c>
      <c r="Q150" s="412">
        <v>0</v>
      </c>
      <c r="R150" s="412">
        <v>0</v>
      </c>
      <c r="S150" s="412">
        <v>0</v>
      </c>
      <c r="T150" s="412">
        <v>60</v>
      </c>
      <c r="U150" s="412">
        <v>895</v>
      </c>
      <c r="V150" s="412">
        <f>_xlfn.IFNA(VLOOKUP(A150,[3]進出口值表查詢結果!$C$11:$F$68,4,0),-[4]整車!$B$22)</f>
        <v>0</v>
      </c>
      <c r="W150" s="412">
        <f>_xlfn.IFNA(VLOOKUP(A150,[3]進出口值表查詢結果!$C$11:$F$68,3,0),-[4]整車!$B$22)</f>
        <v>0</v>
      </c>
      <c r="X150" s="412">
        <f>_xlfn.IFNA(VLOOKUP(A150,[5]進出口值表查詢結果!$C$11:$F$68,4,0),-[4]整車!$B$22)</f>
        <v>0</v>
      </c>
      <c r="Y150" s="412">
        <f>_xlfn.IFNA(VLOOKUP(A150,[5]進出口值表查詢結果!$C$11:$F$68,3,0),-[4]整車!$B$22)</f>
        <v>0</v>
      </c>
      <c r="Z150" s="406">
        <f t="shared" si="26"/>
        <v>1832</v>
      </c>
      <c r="AA150" s="406">
        <f t="shared" si="27"/>
        <v>18693</v>
      </c>
    </row>
    <row r="151" spans="1:27">
      <c r="A151" s="454" t="s">
        <v>333</v>
      </c>
      <c r="B151" s="433">
        <f t="shared" ref="B151:Y151" si="28">SUM(B152:B188)</f>
        <v>438</v>
      </c>
      <c r="C151" s="433">
        <f t="shared" si="28"/>
        <v>697135</v>
      </c>
      <c r="D151" s="433">
        <f t="shared" si="28"/>
        <v>255</v>
      </c>
      <c r="E151" s="433">
        <f t="shared" si="28"/>
        <v>237208</v>
      </c>
      <c r="F151" s="433">
        <f t="shared" si="28"/>
        <v>115</v>
      </c>
      <c r="G151" s="433">
        <f t="shared" si="28"/>
        <v>139562</v>
      </c>
      <c r="H151" s="433">
        <f t="shared" si="28"/>
        <v>86</v>
      </c>
      <c r="I151" s="433">
        <f t="shared" si="28"/>
        <v>117092</v>
      </c>
      <c r="J151" s="434">
        <f t="shared" si="28"/>
        <v>613</v>
      </c>
      <c r="K151" s="435">
        <f>SUM(K152:K188)</f>
        <v>1036854</v>
      </c>
      <c r="L151" s="433">
        <f t="shared" si="28"/>
        <v>427</v>
      </c>
      <c r="M151" s="433">
        <f t="shared" si="28"/>
        <v>494605</v>
      </c>
      <c r="N151" s="433">
        <f t="shared" si="28"/>
        <v>849</v>
      </c>
      <c r="O151" s="433">
        <f t="shared" si="28"/>
        <v>1256457</v>
      </c>
      <c r="P151" s="433">
        <f t="shared" si="28"/>
        <v>1223</v>
      </c>
      <c r="Q151" s="433">
        <f t="shared" si="28"/>
        <v>669332</v>
      </c>
      <c r="R151" s="433">
        <f t="shared" si="28"/>
        <v>709</v>
      </c>
      <c r="S151" s="433">
        <f t="shared" si="28"/>
        <v>987195</v>
      </c>
      <c r="T151" s="433">
        <f t="shared" si="28"/>
        <v>318</v>
      </c>
      <c r="U151" s="433">
        <f t="shared" si="28"/>
        <v>309983</v>
      </c>
      <c r="V151" s="433">
        <f>SUM(V152:V188)</f>
        <v>638</v>
      </c>
      <c r="W151" s="433">
        <f>SUM(W152:W188)</f>
        <v>766517</v>
      </c>
      <c r="X151" s="433">
        <f t="shared" si="28"/>
        <v>526</v>
      </c>
      <c r="Y151" s="433">
        <f t="shared" si="28"/>
        <v>550560</v>
      </c>
      <c r="Z151" s="419">
        <f t="shared" si="26"/>
        <v>6197</v>
      </c>
      <c r="AA151" s="419">
        <f t="shared" si="27"/>
        <v>7262500</v>
      </c>
    </row>
    <row r="152" spans="1:27">
      <c r="A152" s="448" t="s">
        <v>179</v>
      </c>
      <c r="B152" s="412">
        <v>384</v>
      </c>
      <c r="C152" s="412">
        <v>666044</v>
      </c>
      <c r="D152" s="412">
        <v>225</v>
      </c>
      <c r="E152" s="412">
        <v>237041</v>
      </c>
      <c r="F152" s="412">
        <v>111</v>
      </c>
      <c r="G152" s="412">
        <v>136011</v>
      </c>
      <c r="H152" s="412">
        <v>36</v>
      </c>
      <c r="I152" s="412">
        <v>67009</v>
      </c>
      <c r="J152" s="413">
        <v>449</v>
      </c>
      <c r="K152" s="414">
        <v>996359</v>
      </c>
      <c r="L152" s="412">
        <v>306</v>
      </c>
      <c r="M152" s="412">
        <v>433512</v>
      </c>
      <c r="N152" s="412">
        <v>849</v>
      </c>
      <c r="O152" s="412">
        <v>1256457</v>
      </c>
      <c r="P152" s="412">
        <v>395</v>
      </c>
      <c r="Q152" s="412">
        <v>604709</v>
      </c>
      <c r="R152" s="412">
        <v>684</v>
      </c>
      <c r="S152" s="412">
        <v>986787</v>
      </c>
      <c r="T152" s="412">
        <v>211</v>
      </c>
      <c r="U152" s="412">
        <v>279759</v>
      </c>
      <c r="V152" s="412">
        <f>_xlfn.IFNA(VLOOKUP(A152,[3]進出口值表查詢結果!$C$11:$F$68,4,0),-[4]整車!$B$22)</f>
        <v>506</v>
      </c>
      <c r="W152" s="412">
        <f>_xlfn.IFNA(VLOOKUP(A152,[3]進出口值表查詢結果!$C$11:$F$68,3,0),-[4]整車!$B$22)</f>
        <v>630607</v>
      </c>
      <c r="X152" s="412">
        <f>_xlfn.IFNA(VLOOKUP(A152,[5]進出口值表查詢結果!$C$11:$F$68,4,0),-[4]整車!$B$22)</f>
        <v>360</v>
      </c>
      <c r="Y152" s="412">
        <f>_xlfn.IFNA(VLOOKUP(A152,[5]進出口值表查詢結果!$C$11:$F$68,3,0),-[4]整車!$B$22)</f>
        <v>482820</v>
      </c>
      <c r="Z152" s="406">
        <f t="shared" si="26"/>
        <v>4516</v>
      </c>
      <c r="AA152" s="406">
        <f t="shared" si="27"/>
        <v>6777115</v>
      </c>
    </row>
    <row r="153" spans="1:27">
      <c r="A153" s="448" t="s">
        <v>335</v>
      </c>
      <c r="B153" s="412">
        <v>1</v>
      </c>
      <c r="C153" s="412">
        <v>2333</v>
      </c>
      <c r="D153" s="412"/>
      <c r="E153" s="412"/>
      <c r="F153" s="412">
        <v>0</v>
      </c>
      <c r="G153" s="412"/>
      <c r="H153" s="412">
        <v>15</v>
      </c>
      <c r="I153" s="412">
        <v>19675</v>
      </c>
      <c r="J153" s="413">
        <v>39</v>
      </c>
      <c r="K153" s="414">
        <v>39292</v>
      </c>
      <c r="L153" s="412">
        <v>0</v>
      </c>
      <c r="M153" s="412">
        <v>0</v>
      </c>
      <c r="N153" s="412">
        <v>0</v>
      </c>
      <c r="O153" s="412">
        <v>0</v>
      </c>
      <c r="P153" s="412">
        <v>0</v>
      </c>
      <c r="Q153" s="412">
        <v>0</v>
      </c>
      <c r="R153" s="412">
        <v>0</v>
      </c>
      <c r="S153" s="412">
        <v>0</v>
      </c>
      <c r="T153" s="412"/>
      <c r="U153" s="412"/>
      <c r="V153" s="412">
        <f>_xlfn.IFNA(VLOOKUP(A153,[3]進出口值表查詢結果!$C$11:$F$68,4,0),-[4]整車!$B$22)</f>
        <v>132</v>
      </c>
      <c r="W153" s="412">
        <f>_xlfn.IFNA(VLOOKUP(A153,[3]進出口值表查詢結果!$C$11:$F$68,3,0),-[4]整車!$B$22)</f>
        <v>135910</v>
      </c>
      <c r="X153" s="412">
        <f>_xlfn.IFNA(VLOOKUP(A153,[5]進出口值表查詢結果!$C$11:$F$68,4,0),-[4]整車!$B$22)</f>
        <v>0</v>
      </c>
      <c r="Y153" s="412">
        <f>_xlfn.IFNA(VLOOKUP(A153,[5]進出口值表查詢結果!$C$11:$F$68,3,0),-[4]整車!$B$22)</f>
        <v>0</v>
      </c>
      <c r="Z153" s="406">
        <f t="shared" si="26"/>
        <v>187</v>
      </c>
      <c r="AA153" s="406">
        <f t="shared" si="27"/>
        <v>197210</v>
      </c>
    </row>
    <row r="154" spans="1:27">
      <c r="A154" s="448" t="s">
        <v>336</v>
      </c>
      <c r="B154" s="412"/>
      <c r="C154" s="412"/>
      <c r="D154" s="412"/>
      <c r="E154" s="412"/>
      <c r="F154" s="412">
        <v>0</v>
      </c>
      <c r="G154" s="412"/>
      <c r="H154" s="412">
        <v>0</v>
      </c>
      <c r="I154" s="412">
        <v>0</v>
      </c>
      <c r="J154" s="413"/>
      <c r="K154" s="414"/>
      <c r="L154" s="412">
        <v>0</v>
      </c>
      <c r="M154" s="412">
        <v>0</v>
      </c>
      <c r="N154" s="412">
        <v>0</v>
      </c>
      <c r="O154" s="412">
        <v>0</v>
      </c>
      <c r="P154" s="412">
        <v>0</v>
      </c>
      <c r="Q154" s="412">
        <v>0</v>
      </c>
      <c r="R154" s="412">
        <v>0</v>
      </c>
      <c r="S154" s="412">
        <v>0</v>
      </c>
      <c r="T154" s="412"/>
      <c r="U154" s="412"/>
      <c r="V154" s="412">
        <f>_xlfn.IFNA(VLOOKUP(A154,[3]進出口值表查詢結果!$C$11:$F$68,4,0),-[4]整車!$B$22)</f>
        <v>0</v>
      </c>
      <c r="W154" s="412">
        <f>_xlfn.IFNA(VLOOKUP(A154,[3]進出口值表查詢結果!$C$11:$F$68,3,0),-[4]整車!$B$22)</f>
        <v>0</v>
      </c>
      <c r="X154" s="412">
        <f>_xlfn.IFNA(VLOOKUP(A154,[5]進出口值表查詢結果!$C$11:$F$68,4,0),-[4]整車!$B$22)</f>
        <v>0</v>
      </c>
      <c r="Y154" s="412">
        <f>_xlfn.IFNA(VLOOKUP(A154,[5]進出口值表查詢結果!$C$11:$F$68,3,0),-[4]整車!$B$22)</f>
        <v>0</v>
      </c>
      <c r="Z154" s="406">
        <f t="shared" si="26"/>
        <v>0</v>
      </c>
      <c r="AA154" s="406">
        <f t="shared" si="27"/>
        <v>0</v>
      </c>
    </row>
    <row r="155" spans="1:27">
      <c r="A155" s="448" t="s">
        <v>337</v>
      </c>
      <c r="B155" s="412"/>
      <c r="C155" s="412"/>
      <c r="D155" s="412"/>
      <c r="E155" s="412"/>
      <c r="F155" s="412">
        <v>0</v>
      </c>
      <c r="G155" s="412"/>
      <c r="H155" s="412">
        <v>0</v>
      </c>
      <c r="I155" s="412">
        <v>0</v>
      </c>
      <c r="J155" s="413"/>
      <c r="K155" s="414"/>
      <c r="L155" s="412">
        <v>0</v>
      </c>
      <c r="M155" s="412">
        <v>0</v>
      </c>
      <c r="N155" s="412">
        <v>0</v>
      </c>
      <c r="O155" s="412">
        <v>0</v>
      </c>
      <c r="P155" s="412">
        <v>0</v>
      </c>
      <c r="Q155" s="412">
        <v>0</v>
      </c>
      <c r="R155" s="412">
        <v>0</v>
      </c>
      <c r="S155" s="412">
        <v>0</v>
      </c>
      <c r="T155" s="412"/>
      <c r="U155" s="412"/>
      <c r="V155" s="412">
        <f>_xlfn.IFNA(VLOOKUP(A155,[3]進出口值表查詢結果!$C$11:$F$68,4,0),-[4]整車!$B$22)</f>
        <v>0</v>
      </c>
      <c r="W155" s="412">
        <f>_xlfn.IFNA(VLOOKUP(A155,[3]進出口值表查詢結果!$C$11:$F$68,3,0),-[4]整車!$B$22)</f>
        <v>0</v>
      </c>
      <c r="X155" s="412">
        <f>_xlfn.IFNA(VLOOKUP(A155,[5]進出口值表查詢結果!$C$11:$F$68,4,0),-[4]整車!$B$22)</f>
        <v>0</v>
      </c>
      <c r="Y155" s="412">
        <f>_xlfn.IFNA(VLOOKUP(A155,[5]進出口值表查詢結果!$C$11:$F$68,3,0),-[4]整車!$B$22)</f>
        <v>0</v>
      </c>
      <c r="Z155" s="406">
        <f t="shared" si="26"/>
        <v>0</v>
      </c>
      <c r="AA155" s="406">
        <f t="shared" si="27"/>
        <v>0</v>
      </c>
    </row>
    <row r="156" spans="1:27">
      <c r="A156" s="448" t="s">
        <v>194</v>
      </c>
      <c r="B156" s="412"/>
      <c r="C156" s="412"/>
      <c r="D156" s="412"/>
      <c r="E156" s="412"/>
      <c r="F156" s="412">
        <v>0</v>
      </c>
      <c r="G156" s="412"/>
      <c r="H156" s="412">
        <v>0</v>
      </c>
      <c r="I156" s="412">
        <v>0</v>
      </c>
      <c r="J156" s="413"/>
      <c r="K156" s="414"/>
      <c r="L156" s="412">
        <v>0</v>
      </c>
      <c r="M156" s="412">
        <v>0</v>
      </c>
      <c r="N156" s="412">
        <v>0</v>
      </c>
      <c r="O156" s="412">
        <v>0</v>
      </c>
      <c r="P156" s="412">
        <v>0</v>
      </c>
      <c r="Q156" s="412">
        <v>0</v>
      </c>
      <c r="R156" s="412">
        <v>0</v>
      </c>
      <c r="S156" s="412">
        <v>0</v>
      </c>
      <c r="T156" s="412"/>
      <c r="U156" s="412"/>
      <c r="V156" s="412">
        <f>_xlfn.IFNA(VLOOKUP(A156,[3]進出口值表查詢結果!$C$11:$F$68,4,0),-[4]整車!$B$22)</f>
        <v>0</v>
      </c>
      <c r="W156" s="412">
        <f>_xlfn.IFNA(VLOOKUP(A156,[3]進出口值表查詢結果!$C$11:$F$68,3,0),-[4]整車!$B$22)</f>
        <v>0</v>
      </c>
      <c r="X156" s="412">
        <f>_xlfn.IFNA(VLOOKUP(A156,[5]進出口值表查詢結果!$C$11:$F$68,4,0),-[4]整車!$B$22)</f>
        <v>0</v>
      </c>
      <c r="Y156" s="412">
        <f>_xlfn.IFNA(VLOOKUP(A156,[5]進出口值表查詢結果!$C$11:$F$68,3,0),-[4]整車!$B$22)</f>
        <v>0</v>
      </c>
      <c r="Z156" s="406">
        <f t="shared" si="26"/>
        <v>0</v>
      </c>
      <c r="AA156" s="406">
        <f t="shared" si="27"/>
        <v>0</v>
      </c>
    </row>
    <row r="157" spans="1:27">
      <c r="A157" s="448" t="s">
        <v>338</v>
      </c>
      <c r="B157" s="412"/>
      <c r="C157" s="412"/>
      <c r="D157" s="412"/>
      <c r="E157" s="412"/>
      <c r="F157" s="412">
        <v>0</v>
      </c>
      <c r="G157" s="412"/>
      <c r="H157" s="412">
        <v>0</v>
      </c>
      <c r="I157" s="412">
        <v>0</v>
      </c>
      <c r="J157" s="413"/>
      <c r="K157" s="414"/>
      <c r="L157" s="412">
        <v>0</v>
      </c>
      <c r="M157" s="412">
        <v>0</v>
      </c>
      <c r="N157" s="412">
        <v>0</v>
      </c>
      <c r="O157" s="412">
        <v>0</v>
      </c>
      <c r="P157" s="412">
        <v>113</v>
      </c>
      <c r="Q157" s="412">
        <v>610</v>
      </c>
      <c r="R157" s="412">
        <v>25</v>
      </c>
      <c r="S157" s="412">
        <v>408</v>
      </c>
      <c r="T157" s="412">
        <v>56</v>
      </c>
      <c r="U157" s="412">
        <v>448</v>
      </c>
      <c r="V157" s="412">
        <f>_xlfn.IFNA(VLOOKUP(A157,[3]進出口值表查詢結果!$C$11:$F$68,4,0),-[4]整車!$B$22)</f>
        <v>0</v>
      </c>
      <c r="W157" s="412">
        <f>_xlfn.IFNA(VLOOKUP(A157,[3]進出口值表查詢結果!$C$11:$F$68,3,0),-[4]整車!$B$22)</f>
        <v>0</v>
      </c>
      <c r="X157" s="412">
        <f>_xlfn.IFNA(VLOOKUP(A157,[5]進出口值表查詢結果!$C$11:$F$75,4,0),-[4]整車!$B$22)</f>
        <v>6</v>
      </c>
      <c r="Y157" s="412">
        <f>_xlfn.IFNA(VLOOKUP(A157,[5]進出口值表查詢結果!$C$11:$F$75,3,0),-[4]整車!$B$22)</f>
        <v>175</v>
      </c>
      <c r="Z157" s="406">
        <f t="shared" si="26"/>
        <v>200</v>
      </c>
      <c r="AA157" s="406">
        <f t="shared" si="27"/>
        <v>1641</v>
      </c>
    </row>
    <row r="158" spans="1:27">
      <c r="A158" s="448" t="s">
        <v>339</v>
      </c>
      <c r="B158" s="412"/>
      <c r="C158" s="412"/>
      <c r="D158" s="412"/>
      <c r="E158" s="412"/>
      <c r="F158" s="412">
        <v>0</v>
      </c>
      <c r="G158" s="412"/>
      <c r="H158" s="412">
        <v>0</v>
      </c>
      <c r="I158" s="412">
        <v>0</v>
      </c>
      <c r="J158" s="413"/>
      <c r="K158" s="414"/>
      <c r="L158" s="412">
        <v>0</v>
      </c>
      <c r="M158" s="412">
        <v>0</v>
      </c>
      <c r="N158" s="412">
        <v>0</v>
      </c>
      <c r="O158" s="412">
        <v>0</v>
      </c>
      <c r="P158" s="412">
        <v>0</v>
      </c>
      <c r="Q158" s="412">
        <v>0</v>
      </c>
      <c r="R158" s="412">
        <v>0</v>
      </c>
      <c r="S158" s="412">
        <v>0</v>
      </c>
      <c r="T158" s="412"/>
      <c r="U158" s="412"/>
      <c r="V158" s="412">
        <f>_xlfn.IFNA(VLOOKUP(A158,[3]進出口值表查詢結果!$C$11:$F$68,4,0),-[4]整車!$B$22)</f>
        <v>0</v>
      </c>
      <c r="W158" s="412">
        <f>_xlfn.IFNA(VLOOKUP(A158,[3]進出口值表查詢結果!$C$11:$F$68,3,0),-[4]整車!$B$22)</f>
        <v>0</v>
      </c>
      <c r="X158" s="412">
        <f>_xlfn.IFNA(VLOOKUP(A158,[5]進出口值表查詢結果!$C$11:$F$75,4,0),-[4]整車!$B$22)</f>
        <v>0</v>
      </c>
      <c r="Y158" s="412">
        <f>_xlfn.IFNA(VLOOKUP(A158,[5]進出口值表查詢結果!$C$11:$F$75,3,0),-[4]整車!$B$22)</f>
        <v>0</v>
      </c>
      <c r="Z158" s="406">
        <f t="shared" si="26"/>
        <v>0</v>
      </c>
      <c r="AA158" s="406">
        <f t="shared" si="27"/>
        <v>0</v>
      </c>
    </row>
    <row r="159" spans="1:27">
      <c r="A159" s="448" t="s">
        <v>340</v>
      </c>
      <c r="B159" s="412"/>
      <c r="C159" s="412"/>
      <c r="D159" s="412"/>
      <c r="E159" s="412"/>
      <c r="F159" s="412">
        <v>0</v>
      </c>
      <c r="G159" s="412"/>
      <c r="H159" s="412">
        <v>0</v>
      </c>
      <c r="I159" s="412">
        <v>0</v>
      </c>
      <c r="J159" s="413"/>
      <c r="K159" s="414"/>
      <c r="L159" s="412">
        <v>0</v>
      </c>
      <c r="M159" s="412">
        <v>0</v>
      </c>
      <c r="N159" s="412">
        <v>0</v>
      </c>
      <c r="O159" s="412">
        <v>0</v>
      </c>
      <c r="P159" s="412">
        <v>0</v>
      </c>
      <c r="Q159" s="412">
        <v>0</v>
      </c>
      <c r="R159" s="412">
        <v>0</v>
      </c>
      <c r="S159" s="412">
        <v>0</v>
      </c>
      <c r="T159" s="412"/>
      <c r="U159" s="412"/>
      <c r="V159" s="412">
        <f>_xlfn.IFNA(VLOOKUP(A159,[3]進出口值表查詢結果!$C$11:$F$68,4,0),-[4]整車!$B$22)</f>
        <v>0</v>
      </c>
      <c r="W159" s="412">
        <f>_xlfn.IFNA(VLOOKUP(A159,[3]進出口值表查詢結果!$C$11:$F$68,3,0),-[4]整車!$B$22)</f>
        <v>0</v>
      </c>
      <c r="X159" s="412">
        <f>_xlfn.IFNA(VLOOKUP(A159,[5]進出口值表查詢結果!$C$11:$F$75,4,0),-[4]整車!$B$22)</f>
        <v>0</v>
      </c>
      <c r="Y159" s="412">
        <f>_xlfn.IFNA(VLOOKUP(A159,[5]進出口值表查詢結果!$C$11:$F$75,3,0),-[4]整車!$B$22)</f>
        <v>0</v>
      </c>
      <c r="Z159" s="406">
        <f t="shared" si="26"/>
        <v>0</v>
      </c>
      <c r="AA159" s="406">
        <f t="shared" si="27"/>
        <v>0</v>
      </c>
    </row>
    <row r="160" spans="1:27">
      <c r="A160" s="448" t="s">
        <v>341</v>
      </c>
      <c r="B160" s="412"/>
      <c r="C160" s="412"/>
      <c r="D160" s="412"/>
      <c r="E160" s="412"/>
      <c r="F160" s="412">
        <v>4</v>
      </c>
      <c r="G160" s="412">
        <v>3551</v>
      </c>
      <c r="H160" s="412">
        <v>0</v>
      </c>
      <c r="I160" s="412">
        <v>0</v>
      </c>
      <c r="J160" s="413"/>
      <c r="K160" s="414"/>
      <c r="L160" s="412">
        <v>0</v>
      </c>
      <c r="M160" s="412">
        <v>0</v>
      </c>
      <c r="N160" s="412">
        <v>0</v>
      </c>
      <c r="O160" s="412">
        <v>0</v>
      </c>
      <c r="P160" s="412">
        <v>155</v>
      </c>
      <c r="Q160" s="412">
        <v>20061</v>
      </c>
      <c r="R160" s="412">
        <v>0</v>
      </c>
      <c r="S160" s="412">
        <v>0</v>
      </c>
      <c r="T160" s="412"/>
      <c r="U160" s="412"/>
      <c r="V160" s="412">
        <f>_xlfn.IFNA(VLOOKUP(A160,[3]進出口值表查詢結果!$C$11:$F$68,4,0),-[4]整車!$B$22)</f>
        <v>0</v>
      </c>
      <c r="W160" s="412">
        <f>_xlfn.IFNA(VLOOKUP(A160,[3]進出口值表查詢結果!$C$11:$F$68,3,0),-[4]整車!$B$22)</f>
        <v>0</v>
      </c>
      <c r="X160" s="412">
        <f>_xlfn.IFNA(VLOOKUP(A160,[5]進出口值表查詢結果!$C$11:$F$75,4,0),-[4]整車!$B$22)</f>
        <v>0</v>
      </c>
      <c r="Y160" s="412">
        <f>_xlfn.IFNA(VLOOKUP(A160,[5]進出口值表查詢結果!$C$11:$F$75,3,0),-[4]整車!$B$22)</f>
        <v>0</v>
      </c>
      <c r="Z160" s="406">
        <f t="shared" si="26"/>
        <v>159</v>
      </c>
      <c r="AA160" s="406">
        <f t="shared" si="27"/>
        <v>23612</v>
      </c>
    </row>
    <row r="161" spans="1:27">
      <c r="A161" s="448" t="s">
        <v>342</v>
      </c>
      <c r="B161" s="412">
        <v>17</v>
      </c>
      <c r="C161" s="412">
        <v>28291</v>
      </c>
      <c r="D161" s="412"/>
      <c r="E161" s="412"/>
      <c r="F161" s="412">
        <v>0</v>
      </c>
      <c r="G161" s="412"/>
      <c r="H161" s="412">
        <v>35</v>
      </c>
      <c r="I161" s="412">
        <v>30408</v>
      </c>
      <c r="J161" s="413"/>
      <c r="K161" s="414"/>
      <c r="L161" s="412">
        <v>39</v>
      </c>
      <c r="M161" s="412">
        <v>54290</v>
      </c>
      <c r="N161" s="412">
        <v>0</v>
      </c>
      <c r="O161" s="412">
        <v>0</v>
      </c>
      <c r="P161" s="412">
        <v>36</v>
      </c>
      <c r="Q161" s="412">
        <v>38326</v>
      </c>
      <c r="R161" s="412">
        <v>0</v>
      </c>
      <c r="S161" s="412">
        <v>0</v>
      </c>
      <c r="T161" s="412">
        <v>41</v>
      </c>
      <c r="U161" s="412">
        <v>29673</v>
      </c>
      <c r="V161" s="412">
        <f>_xlfn.IFNA(VLOOKUP(A161,[3]進出口值表查詢結果!$C$11:$F$68,4,0),-[4]整車!$B$22)</f>
        <v>0</v>
      </c>
      <c r="W161" s="412">
        <f>_xlfn.IFNA(VLOOKUP(A161,[3]進出口值表查詢結果!$C$11:$F$68,3,0),-[4]整車!$B$22)</f>
        <v>0</v>
      </c>
      <c r="X161" s="412">
        <f>_xlfn.IFNA(VLOOKUP(A161,[5]進出口值表查詢結果!$C$11:$F$75,4,0),-[4]整車!$B$22)</f>
        <v>50</v>
      </c>
      <c r="Y161" s="412">
        <f>_xlfn.IFNA(VLOOKUP(A161,[5]進出口值表查詢結果!$C$11:$F$75,3,0),-[4]整車!$B$22)</f>
        <v>63646</v>
      </c>
      <c r="Z161" s="406">
        <f t="shared" si="26"/>
        <v>218</v>
      </c>
      <c r="AA161" s="406">
        <f t="shared" si="27"/>
        <v>244634</v>
      </c>
    </row>
    <row r="162" spans="1:27">
      <c r="A162" s="448" t="s">
        <v>343</v>
      </c>
      <c r="B162" s="412"/>
      <c r="C162" s="412"/>
      <c r="D162" s="412"/>
      <c r="E162" s="412"/>
      <c r="F162" s="412">
        <v>0</v>
      </c>
      <c r="G162" s="412"/>
      <c r="H162" s="412">
        <v>0</v>
      </c>
      <c r="I162" s="412">
        <v>0</v>
      </c>
      <c r="J162" s="413">
        <v>5</v>
      </c>
      <c r="K162" s="414">
        <v>802</v>
      </c>
      <c r="L162" s="412">
        <v>0</v>
      </c>
      <c r="M162" s="412">
        <v>0</v>
      </c>
      <c r="N162" s="412">
        <v>0</v>
      </c>
      <c r="O162" s="412">
        <v>0</v>
      </c>
      <c r="P162" s="412">
        <v>0</v>
      </c>
      <c r="Q162" s="412">
        <v>0</v>
      </c>
      <c r="R162" s="412">
        <v>0</v>
      </c>
      <c r="S162" s="412">
        <v>0</v>
      </c>
      <c r="T162" s="412"/>
      <c r="U162" s="412"/>
      <c r="V162" s="412">
        <f>_xlfn.IFNA(VLOOKUP(A162,[3]進出口值表查詢結果!$C$11:$F$68,4,0),-[4]整車!$B$22)</f>
        <v>0</v>
      </c>
      <c r="W162" s="412">
        <f>_xlfn.IFNA(VLOOKUP(A162,[3]進出口值表查詢結果!$C$11:$F$68,3,0),-[4]整車!$B$22)</f>
        <v>0</v>
      </c>
      <c r="X162" s="412">
        <f>_xlfn.IFNA(VLOOKUP(A162,[5]進出口值表查詢結果!$C$11:$F$75,4,0),-[4]整車!$B$22)</f>
        <v>0</v>
      </c>
      <c r="Y162" s="412">
        <f>_xlfn.IFNA(VLOOKUP(A162,[5]進出口值表查詢結果!$C$11:$F$75,3,0),-[4]整車!$B$22)</f>
        <v>0</v>
      </c>
      <c r="Z162" s="406">
        <f t="shared" si="26"/>
        <v>5</v>
      </c>
      <c r="AA162" s="406">
        <f t="shared" si="27"/>
        <v>802</v>
      </c>
    </row>
    <row r="163" spans="1:27">
      <c r="A163" s="448" t="s">
        <v>344</v>
      </c>
      <c r="B163" s="412"/>
      <c r="C163" s="412"/>
      <c r="D163" s="412"/>
      <c r="E163" s="412"/>
      <c r="F163" s="412">
        <v>0</v>
      </c>
      <c r="G163" s="412"/>
      <c r="H163" s="412">
        <v>0</v>
      </c>
      <c r="I163" s="412">
        <v>0</v>
      </c>
      <c r="J163" s="413">
        <v>120</v>
      </c>
      <c r="K163" s="414">
        <v>401</v>
      </c>
      <c r="L163" s="412">
        <v>82</v>
      </c>
      <c r="M163" s="412">
        <v>6803</v>
      </c>
      <c r="N163" s="412">
        <v>0</v>
      </c>
      <c r="O163" s="412">
        <v>0</v>
      </c>
      <c r="P163" s="412">
        <v>512</v>
      </c>
      <c r="Q163" s="412">
        <v>5219</v>
      </c>
      <c r="R163" s="412">
        <v>0</v>
      </c>
      <c r="S163" s="412">
        <v>0</v>
      </c>
      <c r="T163" s="412"/>
      <c r="U163" s="412"/>
      <c r="V163" s="412">
        <f>_xlfn.IFNA(VLOOKUP(A163,[3]進出口值表查詢結果!$C$11:$F$68,4,0),-[4]整車!$B$22)</f>
        <v>0</v>
      </c>
      <c r="W163" s="412">
        <f>_xlfn.IFNA(VLOOKUP(A163,[3]進出口值表查詢結果!$C$11:$F$68,3,0),-[4]整車!$B$22)</f>
        <v>0</v>
      </c>
      <c r="X163" s="412">
        <f>_xlfn.IFNA(VLOOKUP(A163,[5]進出口值表查詢結果!$C$11:$F$75,4,0),-[4]整車!$B$22)</f>
        <v>0</v>
      </c>
      <c r="Y163" s="412">
        <f>_xlfn.IFNA(VLOOKUP(A163,[5]進出口值表查詢結果!$C$11:$F$75,3,0),-[4]整車!$B$22)</f>
        <v>0</v>
      </c>
      <c r="Z163" s="406">
        <f t="shared" si="26"/>
        <v>714</v>
      </c>
      <c r="AA163" s="406">
        <f t="shared" si="27"/>
        <v>12423</v>
      </c>
    </row>
    <row r="164" spans="1:27">
      <c r="A164" s="448" t="s">
        <v>345</v>
      </c>
      <c r="B164" s="412"/>
      <c r="C164" s="412"/>
      <c r="D164" s="412"/>
      <c r="E164" s="412"/>
      <c r="F164" s="412">
        <v>0</v>
      </c>
      <c r="G164" s="412"/>
      <c r="H164" s="412">
        <v>0</v>
      </c>
      <c r="I164" s="412">
        <v>0</v>
      </c>
      <c r="J164" s="413"/>
      <c r="K164" s="414"/>
      <c r="L164" s="412">
        <v>0</v>
      </c>
      <c r="M164" s="412">
        <v>0</v>
      </c>
      <c r="N164" s="412">
        <v>0</v>
      </c>
      <c r="O164" s="412">
        <v>0</v>
      </c>
      <c r="P164" s="412">
        <v>0</v>
      </c>
      <c r="Q164" s="412">
        <v>0</v>
      </c>
      <c r="R164" s="412">
        <v>0</v>
      </c>
      <c r="S164" s="412">
        <v>0</v>
      </c>
      <c r="T164" s="412"/>
      <c r="U164" s="412"/>
      <c r="V164" s="412">
        <f>_xlfn.IFNA(VLOOKUP(A164,[3]進出口值表查詢結果!$C$11:$F$68,4,0),-[4]整車!$B$22)</f>
        <v>0</v>
      </c>
      <c r="W164" s="412">
        <f>_xlfn.IFNA(VLOOKUP(A164,[3]進出口值表查詢結果!$C$11:$F$68,3,0),-[4]整車!$B$22)</f>
        <v>0</v>
      </c>
      <c r="X164" s="412">
        <f>_xlfn.IFNA(VLOOKUP(A164,[5]進出口值表查詢結果!$C$11:$F$75,4,0),-[4]整車!$B$22)</f>
        <v>0</v>
      </c>
      <c r="Y164" s="412">
        <f>_xlfn.IFNA(VLOOKUP(A164,[5]進出口值表查詢結果!$C$11:$F$75,3,0),-[4]整車!$B$22)</f>
        <v>0</v>
      </c>
      <c r="Z164" s="406">
        <f t="shared" si="26"/>
        <v>0</v>
      </c>
      <c r="AA164" s="406">
        <f t="shared" si="27"/>
        <v>0</v>
      </c>
    </row>
    <row r="165" spans="1:27">
      <c r="A165" s="448" t="s">
        <v>346</v>
      </c>
      <c r="B165" s="412"/>
      <c r="C165" s="412"/>
      <c r="D165" s="412"/>
      <c r="E165" s="412"/>
      <c r="F165" s="412">
        <v>0</v>
      </c>
      <c r="G165" s="412"/>
      <c r="H165" s="412">
        <v>0</v>
      </c>
      <c r="I165" s="412">
        <v>0</v>
      </c>
      <c r="J165" s="413"/>
      <c r="K165" s="414"/>
      <c r="L165" s="412">
        <v>0</v>
      </c>
      <c r="M165" s="412">
        <v>0</v>
      </c>
      <c r="N165" s="412">
        <v>0</v>
      </c>
      <c r="O165" s="412">
        <v>0</v>
      </c>
      <c r="P165" s="412">
        <v>0</v>
      </c>
      <c r="Q165" s="412">
        <v>0</v>
      </c>
      <c r="R165" s="412">
        <v>0</v>
      </c>
      <c r="S165" s="412">
        <v>0</v>
      </c>
      <c r="T165" s="412"/>
      <c r="U165" s="412"/>
      <c r="V165" s="412">
        <f>_xlfn.IFNA(VLOOKUP(A165,[3]進出口值表查詢結果!$C$11:$F$68,4,0),-[4]整車!$B$22)</f>
        <v>0</v>
      </c>
      <c r="W165" s="412">
        <f>_xlfn.IFNA(VLOOKUP(A165,[3]進出口值表查詢結果!$C$11:$F$68,3,0),-[4]整車!$B$22)</f>
        <v>0</v>
      </c>
      <c r="X165" s="412">
        <f>_xlfn.IFNA(VLOOKUP(A165,[5]進出口值表查詢結果!$C$11:$F$75,4,0),-[4]整車!$B$22)</f>
        <v>0</v>
      </c>
      <c r="Y165" s="412">
        <f>_xlfn.IFNA(VLOOKUP(A165,[5]進出口值表查詢結果!$C$11:$F$75,3,0),-[4]整車!$B$22)</f>
        <v>0</v>
      </c>
      <c r="Z165" s="406">
        <f t="shared" si="26"/>
        <v>0</v>
      </c>
      <c r="AA165" s="406">
        <f t="shared" si="27"/>
        <v>0</v>
      </c>
    </row>
    <row r="166" spans="1:27">
      <c r="A166" s="448" t="s">
        <v>347</v>
      </c>
      <c r="B166" s="412"/>
      <c r="C166" s="412"/>
      <c r="D166" s="412"/>
      <c r="E166" s="412"/>
      <c r="F166" s="412">
        <v>0</v>
      </c>
      <c r="G166" s="412"/>
      <c r="H166" s="412">
        <v>0</v>
      </c>
      <c r="I166" s="412">
        <v>0</v>
      </c>
      <c r="J166" s="413"/>
      <c r="K166" s="414"/>
      <c r="L166" s="412">
        <v>0</v>
      </c>
      <c r="M166" s="412">
        <v>0</v>
      </c>
      <c r="N166" s="412">
        <v>0</v>
      </c>
      <c r="O166" s="412">
        <v>0</v>
      </c>
      <c r="P166" s="412">
        <v>0</v>
      </c>
      <c r="Q166" s="412">
        <v>0</v>
      </c>
      <c r="R166" s="412">
        <v>0</v>
      </c>
      <c r="S166" s="412">
        <v>0</v>
      </c>
      <c r="T166" s="412"/>
      <c r="U166" s="412"/>
      <c r="V166" s="412">
        <f>_xlfn.IFNA(VLOOKUP(A166,[3]進出口值表查詢結果!$C$11:$F$68,4,0),-[4]整車!$B$22)</f>
        <v>0</v>
      </c>
      <c r="W166" s="412">
        <f>_xlfn.IFNA(VLOOKUP(A166,[3]進出口值表查詢結果!$C$11:$F$68,3,0),-[4]整車!$B$22)</f>
        <v>0</v>
      </c>
      <c r="X166" s="412">
        <f>_xlfn.IFNA(VLOOKUP(A166,[5]進出口值表查詢結果!$C$11:$F$75,4,0),-[4]整車!$B$22)</f>
        <v>0</v>
      </c>
      <c r="Y166" s="412">
        <f>_xlfn.IFNA(VLOOKUP(A166,[5]進出口值表查詢結果!$C$11:$F$75,3,0),-[4]整車!$B$22)</f>
        <v>0</v>
      </c>
      <c r="Z166" s="406">
        <f t="shared" si="26"/>
        <v>0</v>
      </c>
      <c r="AA166" s="406">
        <f t="shared" si="27"/>
        <v>0</v>
      </c>
    </row>
    <row r="167" spans="1:27">
      <c r="A167" s="448" t="s">
        <v>348</v>
      </c>
      <c r="B167" s="412"/>
      <c r="C167" s="412"/>
      <c r="D167" s="412"/>
      <c r="E167" s="412"/>
      <c r="F167" s="412">
        <v>0</v>
      </c>
      <c r="G167" s="412"/>
      <c r="H167" s="412">
        <v>0</v>
      </c>
      <c r="I167" s="412">
        <v>0</v>
      </c>
      <c r="J167" s="413"/>
      <c r="K167" s="414"/>
      <c r="L167" s="412">
        <v>0</v>
      </c>
      <c r="M167" s="412">
        <v>0</v>
      </c>
      <c r="N167" s="412">
        <v>0</v>
      </c>
      <c r="O167" s="412">
        <v>0</v>
      </c>
      <c r="P167" s="412">
        <v>0</v>
      </c>
      <c r="Q167" s="412">
        <v>0</v>
      </c>
      <c r="R167" s="412">
        <v>0</v>
      </c>
      <c r="S167" s="412">
        <v>0</v>
      </c>
      <c r="T167" s="412"/>
      <c r="U167" s="412"/>
      <c r="V167" s="412">
        <f>_xlfn.IFNA(VLOOKUP(A167,[3]進出口值表查詢結果!$C$11:$F$68,4,0),-[4]整車!$B$22)</f>
        <v>0</v>
      </c>
      <c r="W167" s="412">
        <f>_xlfn.IFNA(VLOOKUP(A167,[3]進出口值表查詢結果!$C$11:$F$68,3,0),-[4]整車!$B$22)</f>
        <v>0</v>
      </c>
      <c r="X167" s="412">
        <f>_xlfn.IFNA(VLOOKUP(A167,[5]進出口值表查詢結果!$C$11:$F$75,4,0),-[4]整車!$B$22)</f>
        <v>0</v>
      </c>
      <c r="Y167" s="412">
        <f>_xlfn.IFNA(VLOOKUP(A167,[5]進出口值表查詢結果!$C$11:$F$75,3,0),-[4]整車!$B$22)</f>
        <v>0</v>
      </c>
      <c r="Z167" s="406">
        <f t="shared" si="26"/>
        <v>0</v>
      </c>
      <c r="AA167" s="406">
        <f t="shared" si="27"/>
        <v>0</v>
      </c>
    </row>
    <row r="168" spans="1:27">
      <c r="A168" s="448" t="s">
        <v>349</v>
      </c>
      <c r="B168" s="412">
        <v>30</v>
      </c>
      <c r="C168" s="412">
        <v>67</v>
      </c>
      <c r="D168" s="412">
        <v>30</v>
      </c>
      <c r="E168" s="412">
        <v>167</v>
      </c>
      <c r="F168" s="412">
        <v>0</v>
      </c>
      <c r="G168" s="412"/>
      <c r="H168" s="412">
        <v>0</v>
      </c>
      <c r="I168" s="412">
        <v>0</v>
      </c>
      <c r="J168" s="413"/>
      <c r="K168" s="414"/>
      <c r="L168" s="412">
        <v>0</v>
      </c>
      <c r="M168" s="412">
        <v>0</v>
      </c>
      <c r="N168" s="412">
        <v>0</v>
      </c>
      <c r="O168" s="412">
        <v>0</v>
      </c>
      <c r="P168" s="412">
        <v>0</v>
      </c>
      <c r="Q168" s="412">
        <v>0</v>
      </c>
      <c r="R168" s="412">
        <v>0</v>
      </c>
      <c r="S168" s="412">
        <v>0</v>
      </c>
      <c r="T168" s="412">
        <v>10</v>
      </c>
      <c r="U168" s="412">
        <v>103</v>
      </c>
      <c r="V168" s="412">
        <f>_xlfn.IFNA(VLOOKUP(A168,[3]進出口值表查詢結果!$C$11:$F$68,4,0),-[4]整車!$B$22)</f>
        <v>0</v>
      </c>
      <c r="W168" s="412">
        <f>_xlfn.IFNA(VLOOKUP(A168,[3]進出口值表查詢結果!$C$11:$F$68,3,0),-[4]整車!$B$22)</f>
        <v>0</v>
      </c>
      <c r="X168" s="412">
        <f>_xlfn.IFNA(VLOOKUP(A168,[5]進出口值表查詢結果!$C$11:$F$75,4,0),-[4]整車!$B$22)</f>
        <v>0</v>
      </c>
      <c r="Y168" s="412">
        <f>_xlfn.IFNA(VLOOKUP(A168,[5]進出口值表查詢結果!$C$11:$F$75,3,0),-[4]整車!$B$22)</f>
        <v>0</v>
      </c>
      <c r="Z168" s="406">
        <f t="shared" ref="Z168:Z185" si="29">SUM(B168,D168,F168,H168,J168,L168,N168,P168,R168,T168,V168,X168)</f>
        <v>70</v>
      </c>
      <c r="AA168" s="406">
        <f t="shared" ref="AA168:AA185" si="30">SUM(C168,E168,G168,I168,K168,M168,O168,Q168,S168,U168,W168,Y168)</f>
        <v>337</v>
      </c>
    </row>
    <row r="169" spans="1:27">
      <c r="A169" s="448" t="s">
        <v>403</v>
      </c>
      <c r="B169" s="412"/>
      <c r="C169" s="412"/>
      <c r="D169" s="412"/>
      <c r="E169" s="412"/>
      <c r="F169" s="412">
        <v>0</v>
      </c>
      <c r="G169" s="412"/>
      <c r="H169" s="412">
        <v>0</v>
      </c>
      <c r="I169" s="412">
        <v>0</v>
      </c>
      <c r="J169" s="413"/>
      <c r="K169" s="414"/>
      <c r="L169" s="412">
        <v>0</v>
      </c>
      <c r="M169" s="412">
        <v>0</v>
      </c>
      <c r="N169" s="412">
        <v>0</v>
      </c>
      <c r="O169" s="412">
        <v>0</v>
      </c>
      <c r="P169" s="412">
        <v>0</v>
      </c>
      <c r="Q169" s="412">
        <v>0</v>
      </c>
      <c r="R169" s="412">
        <v>0</v>
      </c>
      <c r="S169" s="412">
        <v>0</v>
      </c>
      <c r="T169" s="412"/>
      <c r="U169" s="412"/>
      <c r="V169" s="412">
        <f>_xlfn.IFNA(VLOOKUP(A169,[3]進出口值表查詢結果!$C$11:$F$68,4,0),-[4]整車!$B$22)</f>
        <v>0</v>
      </c>
      <c r="W169" s="412">
        <f>_xlfn.IFNA(VLOOKUP(A169,[3]進出口值表查詢結果!$C$11:$F$68,3,0),-[4]整車!$B$22)</f>
        <v>0</v>
      </c>
      <c r="X169" s="412">
        <f>_xlfn.IFNA(VLOOKUP(A169,[5]進出口值表查詢結果!$C$11:$F$75,4,0),-[4]整車!$B$22)</f>
        <v>52</v>
      </c>
      <c r="Y169" s="412">
        <f>_xlfn.IFNA(VLOOKUP(A169,[5]進出口值表查詢結果!$C$11:$F$75,3,0),-[4]整車!$B$22)</f>
        <v>175</v>
      </c>
      <c r="Z169" s="406">
        <f t="shared" si="29"/>
        <v>52</v>
      </c>
      <c r="AA169" s="406">
        <f t="shared" si="30"/>
        <v>175</v>
      </c>
    </row>
    <row r="170" spans="1:27">
      <c r="A170" s="448" t="s">
        <v>350</v>
      </c>
      <c r="B170" s="412">
        <v>6</v>
      </c>
      <c r="C170" s="412">
        <v>400</v>
      </c>
      <c r="D170" s="412"/>
      <c r="E170" s="412"/>
      <c r="F170" s="412">
        <v>0</v>
      </c>
      <c r="G170" s="412"/>
      <c r="H170" s="412">
        <v>0</v>
      </c>
      <c r="I170" s="412">
        <v>0</v>
      </c>
      <c r="J170" s="413"/>
      <c r="K170" s="414"/>
      <c r="L170" s="412">
        <v>0</v>
      </c>
      <c r="M170" s="412">
        <v>0</v>
      </c>
      <c r="N170" s="412">
        <v>0</v>
      </c>
      <c r="O170" s="412">
        <v>0</v>
      </c>
      <c r="P170" s="412">
        <v>0</v>
      </c>
      <c r="Q170" s="412">
        <v>0</v>
      </c>
      <c r="R170" s="412">
        <v>0</v>
      </c>
      <c r="S170" s="412">
        <v>0</v>
      </c>
      <c r="T170" s="412"/>
      <c r="U170" s="412"/>
      <c r="V170" s="412">
        <f>_xlfn.IFNA(VLOOKUP(A170,[3]進出口值表查詢結果!$C$11:$F$68,4,0),-[4]整車!$B$22)</f>
        <v>0</v>
      </c>
      <c r="W170" s="412">
        <f>_xlfn.IFNA(VLOOKUP(A170,[3]進出口值表查詢結果!$C$11:$F$68,3,0),-[4]整車!$B$22)</f>
        <v>0</v>
      </c>
      <c r="X170" s="412">
        <f>_xlfn.IFNA(VLOOKUP(A170,[5]進出口值表查詢結果!$C$11:$F$75,4,0),-[4]整車!$B$22)</f>
        <v>0</v>
      </c>
      <c r="Y170" s="412">
        <f>_xlfn.IFNA(VLOOKUP(A170,[5]進出口值表查詢結果!$C$11:$F$75,3,0),-[4]整車!$B$22)</f>
        <v>0</v>
      </c>
      <c r="Z170" s="406">
        <f t="shared" si="29"/>
        <v>6</v>
      </c>
      <c r="AA170" s="406">
        <f t="shared" si="30"/>
        <v>400</v>
      </c>
    </row>
    <row r="171" spans="1:27">
      <c r="A171" s="448" t="s">
        <v>351</v>
      </c>
      <c r="B171" s="412"/>
      <c r="C171" s="412"/>
      <c r="D171" s="412"/>
      <c r="E171" s="412"/>
      <c r="F171" s="412">
        <v>0</v>
      </c>
      <c r="G171" s="412"/>
      <c r="H171" s="412">
        <v>0</v>
      </c>
      <c r="I171" s="412">
        <v>0</v>
      </c>
      <c r="J171" s="413"/>
      <c r="K171" s="414"/>
      <c r="L171" s="412">
        <v>0</v>
      </c>
      <c r="M171" s="412">
        <v>0</v>
      </c>
      <c r="N171" s="412">
        <v>0</v>
      </c>
      <c r="O171" s="412">
        <v>0</v>
      </c>
      <c r="P171" s="412">
        <v>12</v>
      </c>
      <c r="Q171" s="412">
        <v>407</v>
      </c>
      <c r="R171" s="412">
        <v>0</v>
      </c>
      <c r="S171" s="412">
        <v>0</v>
      </c>
      <c r="T171" s="412"/>
      <c r="U171" s="412"/>
      <c r="V171" s="412">
        <f>_xlfn.IFNA(VLOOKUP(A171,[3]進出口值表查詢結果!$C$11:$F$68,4,0),-[4]整車!$B$22)</f>
        <v>0</v>
      </c>
      <c r="W171" s="412">
        <f>_xlfn.IFNA(VLOOKUP(A171,[3]進出口值表查詢結果!$C$11:$F$68,3,0),-[4]整車!$B$22)</f>
        <v>0</v>
      </c>
      <c r="X171" s="412">
        <f>_xlfn.IFNA(VLOOKUP(A171,[5]進出口值表查詢結果!$C$11:$F$75,4,0),-[4]整車!$B$22)</f>
        <v>40</v>
      </c>
      <c r="Y171" s="412">
        <f>_xlfn.IFNA(VLOOKUP(A171,[5]進出口值表查詢結果!$C$11:$F$75,3,0),-[4]整車!$B$22)</f>
        <v>420</v>
      </c>
      <c r="Z171" s="406">
        <f t="shared" si="29"/>
        <v>52</v>
      </c>
      <c r="AA171" s="406">
        <f t="shared" si="30"/>
        <v>827</v>
      </c>
    </row>
    <row r="172" spans="1:27">
      <c r="A172" s="448" t="s">
        <v>352</v>
      </c>
      <c r="B172" s="412"/>
      <c r="C172" s="412"/>
      <c r="D172" s="412"/>
      <c r="E172" s="412"/>
      <c r="F172" s="412">
        <v>0</v>
      </c>
      <c r="G172" s="412"/>
      <c r="H172" s="412">
        <v>0</v>
      </c>
      <c r="I172" s="412">
        <v>0</v>
      </c>
      <c r="J172" s="413"/>
      <c r="K172" s="414"/>
      <c r="L172" s="412">
        <v>0</v>
      </c>
      <c r="M172" s="412">
        <v>0</v>
      </c>
      <c r="N172" s="412">
        <v>0</v>
      </c>
      <c r="O172" s="412">
        <v>0</v>
      </c>
      <c r="P172" s="412">
        <v>0</v>
      </c>
      <c r="Q172" s="412">
        <v>0</v>
      </c>
      <c r="R172" s="412">
        <v>0</v>
      </c>
      <c r="S172" s="412">
        <v>0</v>
      </c>
      <c r="T172" s="412"/>
      <c r="U172" s="412"/>
      <c r="V172" s="412">
        <f>_xlfn.IFNA(VLOOKUP(A172,[3]進出口值表查詢結果!$C$11:$F$68,4,0),-[4]整車!$B$22)</f>
        <v>0</v>
      </c>
      <c r="W172" s="412">
        <f>_xlfn.IFNA(VLOOKUP(A172,[3]進出口值表查詢結果!$C$11:$F$68,3,0),-[4]整車!$B$22)</f>
        <v>0</v>
      </c>
      <c r="X172" s="412">
        <f>_xlfn.IFNA(VLOOKUP(A172,[5]進出口值表查詢結果!$C$11:$F$75,4,0),-[4]整車!$B$22)</f>
        <v>0</v>
      </c>
      <c r="Y172" s="412">
        <f>_xlfn.IFNA(VLOOKUP(A172,[5]進出口值表查詢結果!$C$11:$F$75,3,0),-[4]整車!$B$22)</f>
        <v>0</v>
      </c>
      <c r="Z172" s="406">
        <f t="shared" si="29"/>
        <v>0</v>
      </c>
      <c r="AA172" s="406">
        <f t="shared" si="30"/>
        <v>0</v>
      </c>
    </row>
    <row r="173" spans="1:27">
      <c r="A173" s="448" t="s">
        <v>192</v>
      </c>
      <c r="B173" s="412"/>
      <c r="C173" s="412"/>
      <c r="D173" s="412"/>
      <c r="E173" s="412"/>
      <c r="F173" s="412">
        <v>0</v>
      </c>
      <c r="G173" s="412"/>
      <c r="H173" s="412">
        <v>0</v>
      </c>
      <c r="I173" s="412">
        <v>0</v>
      </c>
      <c r="J173" s="413"/>
      <c r="K173" s="414"/>
      <c r="L173" s="412">
        <v>0</v>
      </c>
      <c r="M173" s="412">
        <v>0</v>
      </c>
      <c r="N173" s="412">
        <v>0</v>
      </c>
      <c r="O173" s="412">
        <v>0</v>
      </c>
      <c r="P173" s="412">
        <v>0</v>
      </c>
      <c r="Q173" s="412">
        <v>0</v>
      </c>
      <c r="R173" s="412">
        <v>0</v>
      </c>
      <c r="S173" s="412">
        <v>0</v>
      </c>
      <c r="T173" s="412"/>
      <c r="U173" s="412"/>
      <c r="V173" s="412">
        <f>_xlfn.IFNA(VLOOKUP(A173,[3]進出口值表查詢結果!$C$11:$F$68,4,0),-[4]整車!$B$22)</f>
        <v>0</v>
      </c>
      <c r="W173" s="412">
        <f>_xlfn.IFNA(VLOOKUP(A173,[3]進出口值表查詢結果!$C$11:$F$68,3,0),-[4]整車!$B$22)</f>
        <v>0</v>
      </c>
      <c r="X173" s="412">
        <f>_xlfn.IFNA(VLOOKUP(A173,[5]進出口值表查詢結果!$C$11:$F$75,4,0),-[4]整車!$B$22)</f>
        <v>0</v>
      </c>
      <c r="Y173" s="412">
        <f>_xlfn.IFNA(VLOOKUP(A173,[5]進出口值表查詢結果!$C$11:$F$75,3,0),-[4]整車!$B$22)</f>
        <v>0</v>
      </c>
      <c r="Z173" s="406">
        <f t="shared" si="29"/>
        <v>0</v>
      </c>
      <c r="AA173" s="406">
        <f t="shared" si="30"/>
        <v>0</v>
      </c>
    </row>
    <row r="174" spans="1:27">
      <c r="A174" s="448" t="s">
        <v>353</v>
      </c>
      <c r="B174" s="412"/>
      <c r="C174" s="412"/>
      <c r="D174" s="412"/>
      <c r="E174" s="412"/>
      <c r="F174" s="412">
        <v>0</v>
      </c>
      <c r="G174" s="412"/>
      <c r="H174" s="412">
        <v>0</v>
      </c>
      <c r="I174" s="412">
        <v>0</v>
      </c>
      <c r="J174" s="413"/>
      <c r="K174" s="414"/>
      <c r="L174" s="412">
        <v>0</v>
      </c>
      <c r="M174" s="412">
        <v>0</v>
      </c>
      <c r="N174" s="412">
        <v>0</v>
      </c>
      <c r="O174" s="412">
        <v>0</v>
      </c>
      <c r="P174" s="412">
        <v>0</v>
      </c>
      <c r="Q174" s="412">
        <v>0</v>
      </c>
      <c r="R174" s="412">
        <v>0</v>
      </c>
      <c r="S174" s="412">
        <v>0</v>
      </c>
      <c r="T174" s="412"/>
      <c r="U174" s="412"/>
      <c r="V174" s="412">
        <f>_xlfn.IFNA(VLOOKUP(A174,[3]進出口值表查詢結果!$C$11:$F$68,4,0),-[4]整車!$B$22)</f>
        <v>0</v>
      </c>
      <c r="W174" s="412">
        <f>_xlfn.IFNA(VLOOKUP(A174,[3]進出口值表查詢結果!$C$11:$F$68,3,0),-[4]整車!$B$22)</f>
        <v>0</v>
      </c>
      <c r="X174" s="412">
        <f>_xlfn.IFNA(VLOOKUP(A174,[5]進出口值表查詢結果!$C$11:$F$75,4,0),-[4]整車!$B$22)</f>
        <v>18</v>
      </c>
      <c r="Y174" s="412">
        <f>_xlfn.IFNA(VLOOKUP(A174,[5]進出口值表查詢結果!$C$11:$F$75,3,0),-[4]整車!$B$22)</f>
        <v>3324</v>
      </c>
      <c r="Z174" s="406">
        <f t="shared" si="29"/>
        <v>18</v>
      </c>
      <c r="AA174" s="406">
        <f t="shared" si="30"/>
        <v>3324</v>
      </c>
    </row>
    <row r="175" spans="1:27">
      <c r="A175" s="448" t="s">
        <v>354</v>
      </c>
      <c r="B175" s="412"/>
      <c r="C175" s="412"/>
      <c r="D175" s="412"/>
      <c r="E175" s="412"/>
      <c r="F175" s="412">
        <v>0</v>
      </c>
      <c r="G175" s="412"/>
      <c r="H175" s="412">
        <v>0</v>
      </c>
      <c r="I175" s="412">
        <v>0</v>
      </c>
      <c r="J175" s="413"/>
      <c r="K175" s="414"/>
      <c r="L175" s="412">
        <v>0</v>
      </c>
      <c r="M175" s="412">
        <v>0</v>
      </c>
      <c r="N175" s="412">
        <v>0</v>
      </c>
      <c r="O175" s="412">
        <v>0</v>
      </c>
      <c r="P175" s="412">
        <v>0</v>
      </c>
      <c r="Q175" s="412">
        <v>0</v>
      </c>
      <c r="R175" s="412">
        <v>0</v>
      </c>
      <c r="S175" s="412">
        <v>0</v>
      </c>
      <c r="T175" s="412"/>
      <c r="U175" s="412"/>
      <c r="V175" s="412">
        <f>_xlfn.IFNA(VLOOKUP(A175,[3]進出口值表查詢結果!$C$11:$F$68,4,0),-[4]整車!$B$22)</f>
        <v>0</v>
      </c>
      <c r="W175" s="412">
        <f>_xlfn.IFNA(VLOOKUP(A175,[3]進出口值表查詢結果!$C$11:$F$68,3,0),-[4]整車!$B$22)</f>
        <v>0</v>
      </c>
      <c r="X175" s="412">
        <f>_xlfn.IFNA(VLOOKUP(A175,[5]進出口值表查詢結果!$C$11:$F$75,4,0),-[4]整車!$B$22)</f>
        <v>0</v>
      </c>
      <c r="Y175" s="412">
        <f>_xlfn.IFNA(VLOOKUP(A175,[5]進出口值表查詢結果!$C$11:$F$75,3,0),-[4]整車!$B$22)</f>
        <v>0</v>
      </c>
      <c r="Z175" s="406">
        <f t="shared" si="29"/>
        <v>0</v>
      </c>
      <c r="AA175" s="406">
        <f t="shared" si="30"/>
        <v>0</v>
      </c>
    </row>
    <row r="176" spans="1:27">
      <c r="A176" s="448" t="s">
        <v>355</v>
      </c>
      <c r="B176" s="412"/>
      <c r="C176" s="412"/>
      <c r="D176" s="412"/>
      <c r="E176" s="412"/>
      <c r="F176" s="412">
        <v>0</v>
      </c>
      <c r="G176" s="412"/>
      <c r="H176" s="412">
        <v>0</v>
      </c>
      <c r="I176" s="412">
        <v>0</v>
      </c>
      <c r="J176" s="413"/>
      <c r="K176" s="414"/>
      <c r="L176" s="412">
        <v>0</v>
      </c>
      <c r="M176" s="412">
        <v>0</v>
      </c>
      <c r="N176" s="412">
        <v>0</v>
      </c>
      <c r="O176" s="412">
        <v>0</v>
      </c>
      <c r="P176" s="412">
        <v>0</v>
      </c>
      <c r="Q176" s="412">
        <v>0</v>
      </c>
      <c r="R176" s="412">
        <v>0</v>
      </c>
      <c r="S176" s="412">
        <v>0</v>
      </c>
      <c r="T176" s="412"/>
      <c r="U176" s="412"/>
      <c r="V176" s="412">
        <f>_xlfn.IFNA(VLOOKUP(A176,[3]進出口值表查詢結果!$C$11:$F$68,4,0),-[4]整車!$B$22)</f>
        <v>0</v>
      </c>
      <c r="W176" s="412">
        <f>_xlfn.IFNA(VLOOKUP(A176,[3]進出口值表查詢結果!$C$11:$F$68,3,0),-[4]整車!$B$22)</f>
        <v>0</v>
      </c>
      <c r="X176" s="412">
        <f>_xlfn.IFNA(VLOOKUP(A176,[5]進出口值表查詢結果!$C$11:$F$75,4,0),-[4]整車!$B$22)</f>
        <v>0</v>
      </c>
      <c r="Y176" s="412">
        <f>_xlfn.IFNA(VLOOKUP(A176,[5]進出口值表查詢結果!$C$11:$F$75,3,0),-[4]整車!$B$22)</f>
        <v>0</v>
      </c>
      <c r="Z176" s="406">
        <f t="shared" si="29"/>
        <v>0</v>
      </c>
      <c r="AA176" s="406">
        <f t="shared" si="30"/>
        <v>0</v>
      </c>
    </row>
    <row r="177" spans="1:27">
      <c r="A177" s="448" t="s">
        <v>356</v>
      </c>
      <c r="B177" s="412"/>
      <c r="C177" s="412"/>
      <c r="D177" s="412"/>
      <c r="E177" s="412"/>
      <c r="F177" s="412">
        <v>0</v>
      </c>
      <c r="G177" s="412"/>
      <c r="H177" s="412">
        <v>0</v>
      </c>
      <c r="I177" s="412">
        <v>0</v>
      </c>
      <c r="J177" s="413"/>
      <c r="K177" s="414"/>
      <c r="L177" s="412">
        <v>0</v>
      </c>
      <c r="M177" s="412">
        <v>0</v>
      </c>
      <c r="N177" s="412">
        <v>0</v>
      </c>
      <c r="O177" s="412">
        <v>0</v>
      </c>
      <c r="P177" s="412">
        <v>0</v>
      </c>
      <c r="Q177" s="412">
        <v>0</v>
      </c>
      <c r="R177" s="412">
        <v>0</v>
      </c>
      <c r="S177" s="412">
        <v>0</v>
      </c>
      <c r="T177" s="412"/>
      <c r="U177" s="412"/>
      <c r="V177" s="412">
        <f>_xlfn.IFNA(VLOOKUP(A177,[3]進出口值表查詢結果!$C$11:$F$68,4,0),-[4]整車!$B$22)</f>
        <v>0</v>
      </c>
      <c r="W177" s="412">
        <f>_xlfn.IFNA(VLOOKUP(A177,[3]進出口值表查詢結果!$C$11:$F$68,3,0),-[4]整車!$B$22)</f>
        <v>0</v>
      </c>
      <c r="X177" s="412">
        <f>_xlfn.IFNA(VLOOKUP(A177,[5]進出口值表查詢結果!$C$11:$F$75,4,0),-[4]整車!$B$22)</f>
        <v>0</v>
      </c>
      <c r="Y177" s="412">
        <f>_xlfn.IFNA(VLOOKUP(A177,[5]進出口值表查詢結果!$C$11:$F$75,3,0),-[4]整車!$B$22)</f>
        <v>0</v>
      </c>
      <c r="Z177" s="406">
        <f t="shared" si="29"/>
        <v>0</v>
      </c>
      <c r="AA177" s="406">
        <f t="shared" si="30"/>
        <v>0</v>
      </c>
    </row>
    <row r="178" spans="1:27">
      <c r="A178" s="448" t="s">
        <v>357</v>
      </c>
      <c r="B178" s="412"/>
      <c r="C178" s="412"/>
      <c r="D178" s="412"/>
      <c r="E178" s="412"/>
      <c r="F178" s="412">
        <v>0</v>
      </c>
      <c r="G178" s="412"/>
      <c r="H178" s="412">
        <v>0</v>
      </c>
      <c r="I178" s="412">
        <v>0</v>
      </c>
      <c r="J178" s="413"/>
      <c r="K178" s="414">
        <v>0</v>
      </c>
      <c r="L178" s="412">
        <v>0</v>
      </c>
      <c r="M178" s="412">
        <v>0</v>
      </c>
      <c r="N178" s="412">
        <v>0</v>
      </c>
      <c r="O178" s="412">
        <v>0</v>
      </c>
      <c r="P178" s="412">
        <v>0</v>
      </c>
      <c r="Q178" s="412">
        <v>0</v>
      </c>
      <c r="R178" s="412">
        <v>0</v>
      </c>
      <c r="S178" s="412">
        <v>0</v>
      </c>
      <c r="T178" s="412"/>
      <c r="U178" s="412"/>
      <c r="V178" s="412">
        <f>_xlfn.IFNA(VLOOKUP(A178,[3]進出口值表查詢結果!$C$11:$F$68,4,0),-[4]整車!$B$22)</f>
        <v>0</v>
      </c>
      <c r="W178" s="412">
        <f>_xlfn.IFNA(VLOOKUP(A178,[3]進出口值表查詢結果!$C$11:$F$68,3,0),-[4]整車!$B$22)</f>
        <v>0</v>
      </c>
      <c r="X178" s="412">
        <f>_xlfn.IFNA(VLOOKUP(A178,[5]進出口值表查詢結果!$C$11:$F$75,4,0),-[4]整車!$B$22)</f>
        <v>0</v>
      </c>
      <c r="Y178" s="412">
        <f>_xlfn.IFNA(VLOOKUP(A178,[5]進出口值表查詢結果!$C$11:$F$75,3,0),-[4]整車!$B$22)</f>
        <v>0</v>
      </c>
      <c r="Z178" s="406">
        <f t="shared" si="29"/>
        <v>0</v>
      </c>
      <c r="AA178" s="406">
        <f t="shared" si="30"/>
        <v>0</v>
      </c>
    </row>
    <row r="179" spans="1:27">
      <c r="A179" s="448" t="s">
        <v>358</v>
      </c>
      <c r="B179" s="412"/>
      <c r="C179" s="412"/>
      <c r="D179" s="412"/>
      <c r="E179" s="412"/>
      <c r="F179" s="412">
        <v>0</v>
      </c>
      <c r="G179" s="412"/>
      <c r="H179" s="412">
        <v>0</v>
      </c>
      <c r="I179" s="412">
        <v>0</v>
      </c>
      <c r="J179" s="413"/>
      <c r="K179" s="414">
        <v>0</v>
      </c>
      <c r="L179" s="412">
        <v>0</v>
      </c>
      <c r="M179" s="412">
        <v>0</v>
      </c>
      <c r="N179" s="412">
        <v>0</v>
      </c>
      <c r="O179" s="412">
        <v>0</v>
      </c>
      <c r="P179" s="412">
        <v>0</v>
      </c>
      <c r="Q179" s="412">
        <v>0</v>
      </c>
      <c r="R179" s="412">
        <v>0</v>
      </c>
      <c r="S179" s="412">
        <v>0</v>
      </c>
      <c r="T179" s="412"/>
      <c r="U179" s="412"/>
      <c r="V179" s="412">
        <f>_xlfn.IFNA(VLOOKUP(A179,[3]進出口值表查詢結果!$C$11:$F$68,4,0),-[4]整車!$B$22)</f>
        <v>0</v>
      </c>
      <c r="W179" s="412">
        <f>_xlfn.IFNA(VLOOKUP(A179,[3]進出口值表查詢結果!$C$11:$F$68,3,0),-[4]整車!$B$22)</f>
        <v>0</v>
      </c>
      <c r="X179" s="412">
        <f>_xlfn.IFNA(VLOOKUP(A179,[5]進出口值表查詢結果!$C$11:$F$75,4,0),-[4]整車!$B$22)</f>
        <v>0</v>
      </c>
      <c r="Y179" s="412">
        <f>_xlfn.IFNA(VLOOKUP(A179,[5]進出口值表查詢結果!$C$11:$F$75,3,0),-[4]整車!$B$22)</f>
        <v>0</v>
      </c>
      <c r="Z179" s="406">
        <f t="shared" si="29"/>
        <v>0</v>
      </c>
      <c r="AA179" s="406">
        <f t="shared" si="30"/>
        <v>0</v>
      </c>
    </row>
    <row r="180" spans="1:27">
      <c r="A180" s="448" t="s">
        <v>359</v>
      </c>
      <c r="B180" s="412"/>
      <c r="C180" s="412"/>
      <c r="D180" s="412"/>
      <c r="E180" s="412"/>
      <c r="F180" s="412">
        <v>0</v>
      </c>
      <c r="G180" s="412"/>
      <c r="H180" s="412">
        <v>0</v>
      </c>
      <c r="I180" s="412">
        <v>0</v>
      </c>
      <c r="J180" s="413"/>
      <c r="K180" s="414">
        <v>0</v>
      </c>
      <c r="L180" s="412">
        <v>0</v>
      </c>
      <c r="M180" s="412">
        <v>0</v>
      </c>
      <c r="N180" s="412">
        <v>0</v>
      </c>
      <c r="O180" s="412">
        <v>0</v>
      </c>
      <c r="P180" s="412">
        <v>0</v>
      </c>
      <c r="Q180" s="412">
        <v>0</v>
      </c>
      <c r="R180" s="412">
        <v>0</v>
      </c>
      <c r="S180" s="412">
        <v>0</v>
      </c>
      <c r="T180" s="412"/>
      <c r="U180" s="412"/>
      <c r="V180" s="412">
        <f>_xlfn.IFNA(VLOOKUP(A180,[3]進出口值表查詢結果!$C$11:$F$68,4,0),-[4]整車!$B$22)</f>
        <v>0</v>
      </c>
      <c r="W180" s="412">
        <f>_xlfn.IFNA(VLOOKUP(A180,[3]進出口值表查詢結果!$C$11:$F$68,3,0),-[4]整車!$B$22)</f>
        <v>0</v>
      </c>
      <c r="X180" s="412">
        <f>_xlfn.IFNA(VLOOKUP(A180,[5]進出口值表查詢結果!$C$11:$F$75,4,0),-[4]整車!$B$22)</f>
        <v>0</v>
      </c>
      <c r="Y180" s="412">
        <f>_xlfn.IFNA(VLOOKUP(A180,[5]進出口值表查詢結果!$C$11:$F$75,3,0),-[4]整車!$B$22)</f>
        <v>0</v>
      </c>
      <c r="Z180" s="406">
        <f t="shared" si="29"/>
        <v>0</v>
      </c>
      <c r="AA180" s="406">
        <f t="shared" si="30"/>
        <v>0</v>
      </c>
    </row>
    <row r="181" spans="1:27">
      <c r="A181" s="448" t="s">
        <v>360</v>
      </c>
      <c r="B181" s="412"/>
      <c r="C181" s="412"/>
      <c r="D181" s="412"/>
      <c r="E181" s="412"/>
      <c r="F181" s="412">
        <v>0</v>
      </c>
      <c r="G181" s="412"/>
      <c r="H181" s="412">
        <v>0</v>
      </c>
      <c r="I181" s="412">
        <v>0</v>
      </c>
      <c r="J181" s="413"/>
      <c r="K181" s="414">
        <v>0</v>
      </c>
      <c r="L181" s="412">
        <v>0</v>
      </c>
      <c r="M181" s="412">
        <v>0</v>
      </c>
      <c r="N181" s="412">
        <v>0</v>
      </c>
      <c r="O181" s="412">
        <v>0</v>
      </c>
      <c r="P181" s="412">
        <v>0</v>
      </c>
      <c r="Q181" s="412">
        <v>0</v>
      </c>
      <c r="R181" s="412">
        <v>0</v>
      </c>
      <c r="S181" s="412">
        <v>0</v>
      </c>
      <c r="T181" s="412"/>
      <c r="U181" s="412"/>
      <c r="V181" s="412">
        <f>_xlfn.IFNA(VLOOKUP(A181,[3]進出口值表查詢結果!$C$11:$F$68,4,0),-[4]整車!$B$22)</f>
        <v>0</v>
      </c>
      <c r="W181" s="412">
        <f>_xlfn.IFNA(VLOOKUP(A181,[3]進出口值表查詢結果!$C$11:$F$68,3,0),-[4]整車!$B$22)</f>
        <v>0</v>
      </c>
      <c r="X181" s="412">
        <f>_xlfn.IFNA(VLOOKUP(A181,[5]進出口值表查詢結果!$C$11:$F$75,4,0),-[4]整車!$B$22)</f>
        <v>0</v>
      </c>
      <c r="Y181" s="412">
        <f>_xlfn.IFNA(VLOOKUP(A181,[5]進出口值表查詢結果!$C$11:$F$75,3,0),-[4]整車!$B$22)</f>
        <v>0</v>
      </c>
      <c r="Z181" s="406">
        <f t="shared" si="29"/>
        <v>0</v>
      </c>
      <c r="AA181" s="406">
        <f t="shared" si="30"/>
        <v>0</v>
      </c>
    </row>
    <row r="182" spans="1:27">
      <c r="A182" s="448" t="s">
        <v>361</v>
      </c>
      <c r="B182" s="412"/>
      <c r="C182" s="412"/>
      <c r="D182" s="412"/>
      <c r="E182" s="412"/>
      <c r="F182" s="412">
        <v>0</v>
      </c>
      <c r="G182" s="412"/>
      <c r="H182" s="412">
        <v>0</v>
      </c>
      <c r="I182" s="412">
        <v>0</v>
      </c>
      <c r="J182" s="413"/>
      <c r="K182" s="414">
        <v>0</v>
      </c>
      <c r="L182" s="412">
        <v>0</v>
      </c>
      <c r="M182" s="412">
        <v>0</v>
      </c>
      <c r="N182" s="412">
        <v>0</v>
      </c>
      <c r="O182" s="412">
        <v>0</v>
      </c>
      <c r="P182" s="412">
        <v>0</v>
      </c>
      <c r="Q182" s="412">
        <v>0</v>
      </c>
      <c r="R182" s="412">
        <v>0</v>
      </c>
      <c r="S182" s="412">
        <v>0</v>
      </c>
      <c r="T182" s="412"/>
      <c r="U182" s="412"/>
      <c r="V182" s="412">
        <f>_xlfn.IFNA(VLOOKUP(A182,[3]進出口值表查詢結果!$C$11:$F$68,4,0),-[4]整車!$B$22)</f>
        <v>0</v>
      </c>
      <c r="W182" s="412">
        <f>_xlfn.IFNA(VLOOKUP(A182,[3]進出口值表查詢結果!$C$11:$F$68,3,0),-[4]整車!$B$22)</f>
        <v>0</v>
      </c>
      <c r="X182" s="412">
        <f>_xlfn.IFNA(VLOOKUP(A182,[5]進出口值表查詢結果!$C$11:$F$75,4,0),-[4]整車!$B$22)</f>
        <v>0</v>
      </c>
      <c r="Y182" s="412">
        <f>_xlfn.IFNA(VLOOKUP(A182,[5]進出口值表查詢結果!$C$11:$F$75,3,0),-[4]整車!$B$22)</f>
        <v>0</v>
      </c>
      <c r="Z182" s="406">
        <f t="shared" si="29"/>
        <v>0</v>
      </c>
      <c r="AA182" s="406">
        <f t="shared" si="30"/>
        <v>0</v>
      </c>
    </row>
    <row r="183" spans="1:27">
      <c r="A183" s="448" t="s">
        <v>362</v>
      </c>
      <c r="B183" s="412"/>
      <c r="C183" s="412"/>
      <c r="D183" s="412"/>
      <c r="E183" s="412"/>
      <c r="F183" s="412">
        <v>0</v>
      </c>
      <c r="G183" s="412"/>
      <c r="H183" s="412">
        <v>0</v>
      </c>
      <c r="I183" s="412">
        <v>0</v>
      </c>
      <c r="J183" s="413"/>
      <c r="K183" s="414">
        <v>0</v>
      </c>
      <c r="L183" s="412">
        <v>0</v>
      </c>
      <c r="M183" s="412">
        <v>0</v>
      </c>
      <c r="N183" s="412">
        <v>0</v>
      </c>
      <c r="O183" s="412">
        <v>0</v>
      </c>
      <c r="P183" s="412">
        <v>0</v>
      </c>
      <c r="Q183" s="412">
        <v>0</v>
      </c>
      <c r="R183" s="412">
        <v>0</v>
      </c>
      <c r="S183" s="412">
        <v>0</v>
      </c>
      <c r="T183" s="412"/>
      <c r="U183" s="412"/>
      <c r="V183" s="412">
        <f>_xlfn.IFNA(VLOOKUP(A183,[3]進出口值表查詢結果!$C$11:$F$68,4,0),-[4]整車!$B$22)</f>
        <v>0</v>
      </c>
      <c r="W183" s="412">
        <f>_xlfn.IFNA(VLOOKUP(A183,[3]進出口值表查詢結果!$C$11:$F$68,3,0),-[4]整車!$B$22)</f>
        <v>0</v>
      </c>
      <c r="X183" s="412">
        <f>_xlfn.IFNA(VLOOKUP(A183,[5]進出口值表查詢結果!$C$11:$F$75,4,0),-[4]整車!$B$22)</f>
        <v>0</v>
      </c>
      <c r="Y183" s="412">
        <f>_xlfn.IFNA(VLOOKUP(A183,[5]進出口值表查詢結果!$C$11:$F$75,3,0),-[4]整車!$B$22)</f>
        <v>0</v>
      </c>
      <c r="Z183" s="406">
        <f t="shared" si="29"/>
        <v>0</v>
      </c>
      <c r="AA183" s="406">
        <f t="shared" si="30"/>
        <v>0</v>
      </c>
    </row>
    <row r="184" spans="1:27">
      <c r="A184" s="448" t="s">
        <v>363</v>
      </c>
      <c r="B184" s="412"/>
      <c r="C184" s="412"/>
      <c r="D184" s="412"/>
      <c r="E184" s="412"/>
      <c r="F184" s="412">
        <v>0</v>
      </c>
      <c r="G184" s="412"/>
      <c r="H184" s="412">
        <v>0</v>
      </c>
      <c r="I184" s="412">
        <v>0</v>
      </c>
      <c r="J184" s="413"/>
      <c r="K184" s="414">
        <v>0</v>
      </c>
      <c r="L184" s="412">
        <v>0</v>
      </c>
      <c r="M184" s="412">
        <v>0</v>
      </c>
      <c r="N184" s="412">
        <v>0</v>
      </c>
      <c r="O184" s="412">
        <v>0</v>
      </c>
      <c r="P184" s="412">
        <v>0</v>
      </c>
      <c r="Q184" s="412">
        <v>0</v>
      </c>
      <c r="R184" s="412">
        <v>0</v>
      </c>
      <c r="S184" s="412">
        <v>0</v>
      </c>
      <c r="T184" s="412"/>
      <c r="U184" s="412"/>
      <c r="V184" s="412">
        <f>_xlfn.IFNA(VLOOKUP(A184,[3]進出口值表查詢結果!$C$11:$F$68,4,0),-[4]整車!$B$22)</f>
        <v>0</v>
      </c>
      <c r="W184" s="412">
        <f>_xlfn.IFNA(VLOOKUP(A184,[3]進出口值表查詢結果!$C$11:$F$68,3,0),-[4]整車!$B$22)</f>
        <v>0</v>
      </c>
      <c r="X184" s="412">
        <f>_xlfn.IFNA(VLOOKUP(A184,[5]進出口值表查詢結果!$C$11:$F$75,4,0),-[4]整車!$B$22)</f>
        <v>0</v>
      </c>
      <c r="Y184" s="412">
        <f>_xlfn.IFNA(VLOOKUP(A184,[5]進出口值表查詢結果!$C$11:$F$75,3,0),-[4]整車!$B$22)</f>
        <v>0</v>
      </c>
      <c r="Z184" s="406">
        <f t="shared" si="29"/>
        <v>0</v>
      </c>
      <c r="AA184" s="406">
        <f t="shared" si="30"/>
        <v>0</v>
      </c>
    </row>
    <row r="185" spans="1:27">
      <c r="A185" s="448" t="s">
        <v>364</v>
      </c>
      <c r="B185" s="412"/>
      <c r="C185" s="412"/>
      <c r="D185" s="412"/>
      <c r="E185" s="412"/>
      <c r="F185" s="412">
        <v>0</v>
      </c>
      <c r="G185" s="412"/>
      <c r="H185" s="412">
        <v>0</v>
      </c>
      <c r="I185" s="412">
        <v>0</v>
      </c>
      <c r="J185" s="413"/>
      <c r="K185" s="414">
        <v>0</v>
      </c>
      <c r="L185" s="412">
        <v>0</v>
      </c>
      <c r="M185" s="412">
        <v>0</v>
      </c>
      <c r="N185" s="412">
        <v>0</v>
      </c>
      <c r="O185" s="412">
        <v>0</v>
      </c>
      <c r="P185" s="412">
        <v>0</v>
      </c>
      <c r="Q185" s="412">
        <v>0</v>
      </c>
      <c r="R185" s="412">
        <v>0</v>
      </c>
      <c r="S185" s="412">
        <v>0</v>
      </c>
      <c r="T185" s="412"/>
      <c r="U185" s="412"/>
      <c r="V185" s="412">
        <f>_xlfn.IFNA(VLOOKUP(A185,[3]進出口值表查詢結果!$C$11:$F$68,4,0),-[4]整車!$B$22)</f>
        <v>0</v>
      </c>
      <c r="W185" s="412">
        <f>_xlfn.IFNA(VLOOKUP(A185,[3]進出口值表查詢結果!$C$11:$F$68,3,0),-[4]整車!$B$22)</f>
        <v>0</v>
      </c>
      <c r="X185" s="412">
        <f>_xlfn.IFNA(VLOOKUP(A185,[5]進出口值表查詢結果!$C$11:$F$75,4,0),-[4]整車!$B$22)</f>
        <v>0</v>
      </c>
      <c r="Y185" s="412">
        <f>_xlfn.IFNA(VLOOKUP(A185,[5]進出口值表查詢結果!$C$11:$F$75,3,0),-[4]整車!$B$22)</f>
        <v>0</v>
      </c>
      <c r="Z185" s="406">
        <f t="shared" si="29"/>
        <v>0</v>
      </c>
      <c r="AA185" s="406">
        <f t="shared" si="30"/>
        <v>0</v>
      </c>
    </row>
    <row r="186" spans="1:27">
      <c r="A186" s="448" t="s">
        <v>365</v>
      </c>
      <c r="B186" s="412"/>
      <c r="C186" s="412"/>
      <c r="D186" s="412"/>
      <c r="E186" s="412"/>
      <c r="F186" s="412">
        <v>0</v>
      </c>
      <c r="G186" s="412"/>
      <c r="H186" s="412">
        <v>0</v>
      </c>
      <c r="I186" s="412">
        <v>0</v>
      </c>
      <c r="J186" s="413"/>
      <c r="K186" s="414"/>
      <c r="L186" s="412">
        <v>0</v>
      </c>
      <c r="M186" s="412">
        <v>0</v>
      </c>
      <c r="N186" s="412">
        <v>0</v>
      </c>
      <c r="O186" s="412">
        <v>0</v>
      </c>
      <c r="P186" s="412">
        <v>0</v>
      </c>
      <c r="Q186" s="412">
        <v>0</v>
      </c>
      <c r="R186" s="412">
        <v>0</v>
      </c>
      <c r="S186" s="412">
        <v>0</v>
      </c>
      <c r="T186" s="412"/>
      <c r="U186" s="412"/>
      <c r="V186" s="412">
        <f>_xlfn.IFNA(VLOOKUP(A186,[3]進出口值表查詢結果!$C$11:$F$68,4,0),-[4]整車!$B$22)</f>
        <v>0</v>
      </c>
      <c r="W186" s="412">
        <f>_xlfn.IFNA(VLOOKUP(A186,[3]進出口值表查詢結果!$C$11:$F$68,3,0),-[4]整車!$B$22)</f>
        <v>0</v>
      </c>
      <c r="X186" s="412">
        <f>_xlfn.IFNA(VLOOKUP(A186,[5]進出口值表查詢結果!$C$11:$F$75,4,0),-[4]整車!$B$22)</f>
        <v>0</v>
      </c>
      <c r="Y186" s="412">
        <f>_xlfn.IFNA(VLOOKUP(A186,[5]進出口值表查詢結果!$C$11:$F$75,3,0),-[4]整車!$B$22)</f>
        <v>0</v>
      </c>
      <c r="Z186" s="406">
        <f t="shared" ref="Z186:Z200" si="31">SUM(B186,D186,F186,H186,J186,L186,N186,P186,R186,T186,V186,X186)</f>
        <v>0</v>
      </c>
      <c r="AA186" s="406"/>
    </row>
    <row r="187" spans="1:27">
      <c r="A187" s="448" t="s">
        <v>366</v>
      </c>
      <c r="B187" s="412"/>
      <c r="C187" s="412"/>
      <c r="D187" s="412"/>
      <c r="E187" s="412"/>
      <c r="F187" s="412">
        <v>0</v>
      </c>
      <c r="G187" s="412"/>
      <c r="H187" s="412">
        <v>0</v>
      </c>
      <c r="I187" s="412">
        <v>0</v>
      </c>
      <c r="J187" s="413"/>
      <c r="K187" s="414">
        <v>0</v>
      </c>
      <c r="L187" s="412">
        <v>0</v>
      </c>
      <c r="M187" s="412">
        <v>0</v>
      </c>
      <c r="N187" s="412">
        <v>0</v>
      </c>
      <c r="O187" s="412">
        <v>0</v>
      </c>
      <c r="P187" s="412">
        <v>0</v>
      </c>
      <c r="Q187" s="412">
        <v>0</v>
      </c>
      <c r="R187" s="412">
        <v>0</v>
      </c>
      <c r="S187" s="412">
        <v>0</v>
      </c>
      <c r="T187" s="412"/>
      <c r="U187" s="412"/>
      <c r="V187" s="412">
        <f>_xlfn.IFNA(VLOOKUP(A187,[3]進出口值表查詢結果!$C$11:$F$68,4,0),-[4]整車!$B$22)</f>
        <v>0</v>
      </c>
      <c r="W187" s="412">
        <f>_xlfn.IFNA(VLOOKUP(A187,[3]進出口值表查詢結果!$C$11:$F$68,3,0),-[4]整車!$B$22)</f>
        <v>0</v>
      </c>
      <c r="X187" s="412">
        <f>_xlfn.IFNA(VLOOKUP(A187,[5]進出口值表查詢結果!$C$11:$F$75,4,0),-[4]整車!$B$22)</f>
        <v>0</v>
      </c>
      <c r="Y187" s="412">
        <f>_xlfn.IFNA(VLOOKUP(A187,[5]進出口值表查詢結果!$C$11:$F$75,3,0),-[4]整車!$B$22)</f>
        <v>0</v>
      </c>
      <c r="Z187" s="406">
        <f t="shared" si="31"/>
        <v>0</v>
      </c>
      <c r="AA187" s="406">
        <f t="shared" ref="AA187:AA200" si="32">SUM(C187,E187,G187,I187,K187,M187,O187,Q187,S187,U187,W187,Y187)</f>
        <v>0</v>
      </c>
    </row>
    <row r="188" spans="1:27">
      <c r="A188" s="448" t="s">
        <v>367</v>
      </c>
      <c r="B188" s="412"/>
      <c r="C188" s="412"/>
      <c r="D188" s="412"/>
      <c r="E188" s="412"/>
      <c r="F188" s="412">
        <v>0</v>
      </c>
      <c r="G188" s="412"/>
      <c r="H188" s="412">
        <v>0</v>
      </c>
      <c r="I188" s="412">
        <v>0</v>
      </c>
      <c r="J188" s="413"/>
      <c r="K188" s="414">
        <v>0</v>
      </c>
      <c r="L188" s="412">
        <v>0</v>
      </c>
      <c r="M188" s="412">
        <v>0</v>
      </c>
      <c r="N188" s="412">
        <v>0</v>
      </c>
      <c r="O188" s="412">
        <v>0</v>
      </c>
      <c r="P188" s="412">
        <v>0</v>
      </c>
      <c r="Q188" s="412">
        <v>0</v>
      </c>
      <c r="R188" s="412">
        <v>0</v>
      </c>
      <c r="S188" s="412">
        <v>0</v>
      </c>
      <c r="T188" s="412"/>
      <c r="U188" s="412"/>
      <c r="V188" s="412">
        <f>_xlfn.IFNA(VLOOKUP(A188,[3]進出口值表查詢結果!$C$11:$F$68,4,0),-[4]整車!$B$22)</f>
        <v>0</v>
      </c>
      <c r="W188" s="412">
        <f>_xlfn.IFNA(VLOOKUP(A188,[3]進出口值表查詢結果!$C$11:$F$68,3,0),-[4]整車!$B$22)</f>
        <v>0</v>
      </c>
      <c r="X188" s="412">
        <f>_xlfn.IFNA(VLOOKUP(A188,[5]進出口值表查詢結果!$C$11:$F$75,4,0),-[4]整車!$B$22)</f>
        <v>0</v>
      </c>
      <c r="Y188" s="412">
        <f>_xlfn.IFNA(VLOOKUP(A188,[5]進出口值表查詢結果!$C$11:$F$75,3,0),-[4]整車!$B$22)</f>
        <v>0</v>
      </c>
      <c r="Z188" s="406">
        <f t="shared" si="31"/>
        <v>0</v>
      </c>
      <c r="AA188" s="406">
        <f t="shared" si="32"/>
        <v>0</v>
      </c>
    </row>
    <row r="189" spans="1:27">
      <c r="A189" s="454" t="s">
        <v>368</v>
      </c>
      <c r="B189" s="433">
        <f t="shared" ref="B189:Y189" si="33">SUM(B190:B203)</f>
        <v>0</v>
      </c>
      <c r="C189" s="433">
        <f t="shared" si="33"/>
        <v>0</v>
      </c>
      <c r="D189" s="433">
        <f t="shared" si="33"/>
        <v>0</v>
      </c>
      <c r="E189" s="433">
        <f t="shared" si="33"/>
        <v>0</v>
      </c>
      <c r="F189" s="433">
        <f t="shared" si="33"/>
        <v>0</v>
      </c>
      <c r="G189" s="433">
        <f t="shared" si="33"/>
        <v>0</v>
      </c>
      <c r="H189" s="433">
        <f t="shared" si="33"/>
        <v>10</v>
      </c>
      <c r="I189" s="433">
        <f t="shared" si="33"/>
        <v>1060</v>
      </c>
      <c r="J189" s="434">
        <f t="shared" si="33"/>
        <v>0</v>
      </c>
      <c r="K189" s="435">
        <f t="shared" si="33"/>
        <v>0</v>
      </c>
      <c r="L189" s="433">
        <f t="shared" si="33"/>
        <v>10</v>
      </c>
      <c r="M189" s="433">
        <f t="shared" si="33"/>
        <v>1039</v>
      </c>
      <c r="N189" s="433">
        <f t="shared" si="33"/>
        <v>1</v>
      </c>
      <c r="O189" s="433">
        <f t="shared" si="33"/>
        <v>2028</v>
      </c>
      <c r="P189" s="433">
        <f t="shared" si="33"/>
        <v>0</v>
      </c>
      <c r="Q189" s="433">
        <f t="shared" si="33"/>
        <v>0</v>
      </c>
      <c r="R189" s="433">
        <f t="shared" si="33"/>
        <v>5</v>
      </c>
      <c r="S189" s="433">
        <f t="shared" si="33"/>
        <v>543</v>
      </c>
      <c r="T189" s="433">
        <f t="shared" si="33"/>
        <v>19</v>
      </c>
      <c r="U189" s="433">
        <f t="shared" si="33"/>
        <v>12461</v>
      </c>
      <c r="V189" s="433">
        <f>SUM(V190:V203)</f>
        <v>7</v>
      </c>
      <c r="W189" s="433">
        <f>SUM(W190:W203)</f>
        <v>8701</v>
      </c>
      <c r="X189" s="433">
        <f t="shared" si="33"/>
        <v>0</v>
      </c>
      <c r="Y189" s="433">
        <f t="shared" si="33"/>
        <v>0</v>
      </c>
      <c r="Z189" s="419">
        <f t="shared" si="31"/>
        <v>52</v>
      </c>
      <c r="AA189" s="419">
        <f t="shared" si="32"/>
        <v>25832</v>
      </c>
    </row>
    <row r="190" spans="1:27">
      <c r="A190" s="415" t="s">
        <v>141</v>
      </c>
      <c r="B190" s="412"/>
      <c r="C190" s="412"/>
      <c r="D190" s="412">
        <v>0</v>
      </c>
      <c r="E190" s="412">
        <v>0</v>
      </c>
      <c r="F190" s="412">
        <v>0</v>
      </c>
      <c r="G190" s="412"/>
      <c r="H190" s="412">
        <v>0</v>
      </c>
      <c r="I190" s="412">
        <v>0</v>
      </c>
      <c r="J190" s="413">
        <v>0</v>
      </c>
      <c r="K190" s="414">
        <v>0</v>
      </c>
      <c r="L190" s="412">
        <v>0</v>
      </c>
      <c r="M190" s="412">
        <v>0</v>
      </c>
      <c r="N190" s="412">
        <v>0</v>
      </c>
      <c r="O190" s="412">
        <v>0</v>
      </c>
      <c r="P190" s="412">
        <v>0</v>
      </c>
      <c r="Q190" s="412">
        <v>0</v>
      </c>
      <c r="R190" s="412">
        <v>0</v>
      </c>
      <c r="S190" s="412">
        <v>0</v>
      </c>
      <c r="T190" s="412"/>
      <c r="U190" s="412"/>
      <c r="V190" s="412">
        <f>_xlfn.IFNA(VLOOKUP(A190,[3]進出口值表查詢結果!$C$11:$F$68,4,0),-[4]整車!$B$22)</f>
        <v>0</v>
      </c>
      <c r="W190" s="412">
        <f>_xlfn.IFNA(VLOOKUP(A190,[3]進出口值表查詢結果!$C$11:$F$68,3,0),-[4]整車!$B$22)</f>
        <v>0</v>
      </c>
      <c r="X190" s="412">
        <f>_xlfn.IFNA(VLOOKUP(A190,[5]進出口值表查詢結果!$C$11:$F$80,4,0),-[4]整車!$B$22)</f>
        <v>0</v>
      </c>
      <c r="Y190" s="412">
        <f>_xlfn.IFNA(VLOOKUP(A190,[5]進出口值表查詢結果!$C$11:$F$80,3,0),-[4]整車!$B$22)</f>
        <v>0</v>
      </c>
      <c r="Z190" s="406">
        <f t="shared" si="31"/>
        <v>0</v>
      </c>
      <c r="AA190" s="406">
        <f t="shared" si="32"/>
        <v>0</v>
      </c>
    </row>
    <row r="191" spans="1:27">
      <c r="A191" s="417" t="s">
        <v>369</v>
      </c>
      <c r="B191" s="412"/>
      <c r="C191" s="412"/>
      <c r="D191" s="412"/>
      <c r="E191" s="412">
        <v>0</v>
      </c>
      <c r="F191" s="412">
        <v>0</v>
      </c>
      <c r="G191" s="412"/>
      <c r="H191" s="412">
        <v>0</v>
      </c>
      <c r="I191" s="412">
        <v>0</v>
      </c>
      <c r="J191" s="413">
        <v>0</v>
      </c>
      <c r="K191" s="414">
        <v>0</v>
      </c>
      <c r="L191" s="412">
        <v>0</v>
      </c>
      <c r="M191" s="412">
        <v>0</v>
      </c>
      <c r="N191" s="412">
        <v>0</v>
      </c>
      <c r="O191" s="412">
        <v>0</v>
      </c>
      <c r="P191" s="412">
        <v>0</v>
      </c>
      <c r="Q191" s="412">
        <v>0</v>
      </c>
      <c r="R191" s="412">
        <v>0</v>
      </c>
      <c r="S191" s="412">
        <v>0</v>
      </c>
      <c r="T191" s="412"/>
      <c r="U191" s="412"/>
      <c r="V191" s="412">
        <f>_xlfn.IFNA(VLOOKUP(A191,[3]進出口值表查詢結果!$C$11:$F$68,4,0),-[4]整車!$B$22)</f>
        <v>0</v>
      </c>
      <c r="W191" s="412">
        <f>_xlfn.IFNA(VLOOKUP(A191,[3]進出口值表查詢結果!$C$11:$F$68,3,0),-[4]整車!$B$22)</f>
        <v>0</v>
      </c>
      <c r="X191" s="412">
        <f>_xlfn.IFNA(VLOOKUP(A191,[5]進出口值表查詢結果!$C$11:$F$80,4,0),-[4]整車!$B$22)</f>
        <v>0</v>
      </c>
      <c r="Y191" s="412">
        <f>_xlfn.IFNA(VLOOKUP(A191,[5]進出口值表查詢結果!$C$11:$F$80,3,0),-[4]整車!$B$22)</f>
        <v>0</v>
      </c>
      <c r="Z191" s="406">
        <f t="shared" si="31"/>
        <v>0</v>
      </c>
      <c r="AA191" s="406">
        <f t="shared" si="32"/>
        <v>0</v>
      </c>
    </row>
    <row r="192" spans="1:27">
      <c r="A192" s="415" t="s">
        <v>370</v>
      </c>
      <c r="B192" s="412"/>
      <c r="C192" s="412"/>
      <c r="D192" s="412"/>
      <c r="E192" s="412">
        <v>0</v>
      </c>
      <c r="F192" s="412">
        <v>0</v>
      </c>
      <c r="G192" s="412"/>
      <c r="H192" s="412">
        <v>0</v>
      </c>
      <c r="I192" s="412">
        <v>0</v>
      </c>
      <c r="J192" s="413">
        <v>0</v>
      </c>
      <c r="K192" s="414">
        <v>0</v>
      </c>
      <c r="L192" s="412">
        <v>0</v>
      </c>
      <c r="M192" s="412">
        <v>0</v>
      </c>
      <c r="N192" s="412">
        <v>0</v>
      </c>
      <c r="O192" s="412">
        <v>0</v>
      </c>
      <c r="P192" s="412">
        <v>0</v>
      </c>
      <c r="Q192" s="412">
        <v>0</v>
      </c>
      <c r="R192" s="412">
        <v>0</v>
      </c>
      <c r="S192" s="412">
        <v>0</v>
      </c>
      <c r="T192" s="412"/>
      <c r="U192" s="412"/>
      <c r="V192" s="412">
        <f>_xlfn.IFNA(VLOOKUP(A192,[3]進出口值表查詢結果!$C$11:$F$68,4,0),-[4]整車!$B$22)</f>
        <v>0</v>
      </c>
      <c r="W192" s="412">
        <f>_xlfn.IFNA(VLOOKUP(A192,[3]進出口值表查詢結果!$C$11:$F$68,3,0),-[4]整車!$B$22)</f>
        <v>0</v>
      </c>
      <c r="X192" s="412">
        <f>_xlfn.IFNA(VLOOKUP(A192,[5]進出口值表查詢結果!$C$11:$F$80,4,0),-[4]整車!$B$22)</f>
        <v>0</v>
      </c>
      <c r="Y192" s="412">
        <f>_xlfn.IFNA(VLOOKUP(A192,[5]進出口值表查詢結果!$C$11:$F$80,3,0),-[4]整車!$B$22)</f>
        <v>0</v>
      </c>
      <c r="Z192" s="406">
        <f t="shared" si="31"/>
        <v>0</v>
      </c>
      <c r="AA192" s="406">
        <f t="shared" si="32"/>
        <v>0</v>
      </c>
    </row>
    <row r="193" spans="1:27">
      <c r="A193" s="437" t="s">
        <v>371</v>
      </c>
      <c r="B193" s="412"/>
      <c r="C193" s="412"/>
      <c r="D193" s="412"/>
      <c r="E193" s="412">
        <v>0</v>
      </c>
      <c r="F193" s="412">
        <v>0</v>
      </c>
      <c r="G193" s="412"/>
      <c r="H193" s="412">
        <v>10</v>
      </c>
      <c r="I193" s="412">
        <v>1060</v>
      </c>
      <c r="J193" s="413">
        <v>0</v>
      </c>
      <c r="K193" s="414">
        <v>0</v>
      </c>
      <c r="L193" s="412">
        <v>0</v>
      </c>
      <c r="M193" s="412">
        <v>0</v>
      </c>
      <c r="N193" s="412">
        <v>0</v>
      </c>
      <c r="O193" s="412">
        <v>0</v>
      </c>
      <c r="P193" s="412">
        <v>0</v>
      </c>
      <c r="Q193" s="412">
        <v>0</v>
      </c>
      <c r="R193" s="412">
        <v>0</v>
      </c>
      <c r="S193" s="412">
        <v>0</v>
      </c>
      <c r="T193" s="412"/>
      <c r="U193" s="412"/>
      <c r="V193" s="412">
        <f>_xlfn.IFNA(VLOOKUP(A193,[3]進出口值表查詢結果!$C$11:$F$68,4,0),-[4]整車!$B$22)</f>
        <v>0</v>
      </c>
      <c r="W193" s="412">
        <f>_xlfn.IFNA(VLOOKUP(A193,[3]進出口值表查詢結果!$C$11:$F$68,3,0),-[4]整車!$B$22)</f>
        <v>0</v>
      </c>
      <c r="X193" s="412">
        <f>_xlfn.IFNA(VLOOKUP(A193,[5]進出口值表查詢結果!$C$11:$F$80,4,0),-[4]整車!$B$22)</f>
        <v>0</v>
      </c>
      <c r="Y193" s="412">
        <f>_xlfn.IFNA(VLOOKUP(A193,[5]進出口值表查詢結果!$C$11:$F$80,3,0),-[4]整車!$B$22)</f>
        <v>0</v>
      </c>
      <c r="Z193" s="406">
        <f t="shared" si="31"/>
        <v>10</v>
      </c>
      <c r="AA193" s="406">
        <f t="shared" si="32"/>
        <v>1060</v>
      </c>
    </row>
    <row r="194" spans="1:27">
      <c r="A194" s="448" t="s">
        <v>372</v>
      </c>
      <c r="B194" s="412"/>
      <c r="C194" s="412"/>
      <c r="D194" s="412"/>
      <c r="E194" s="412">
        <v>0</v>
      </c>
      <c r="F194" s="412">
        <v>0</v>
      </c>
      <c r="G194" s="412"/>
      <c r="H194" s="412">
        <v>0</v>
      </c>
      <c r="I194" s="412">
        <v>0</v>
      </c>
      <c r="J194" s="413">
        <v>0</v>
      </c>
      <c r="K194" s="414">
        <v>0</v>
      </c>
      <c r="L194" s="412">
        <v>0</v>
      </c>
      <c r="M194" s="412">
        <v>0</v>
      </c>
      <c r="N194" s="412">
        <v>0</v>
      </c>
      <c r="O194" s="412">
        <v>0</v>
      </c>
      <c r="P194" s="412">
        <v>0</v>
      </c>
      <c r="Q194" s="412">
        <v>0</v>
      </c>
      <c r="R194" s="412">
        <v>0</v>
      </c>
      <c r="S194" s="412">
        <v>0</v>
      </c>
      <c r="T194" s="412"/>
      <c r="U194" s="412"/>
      <c r="V194" s="412">
        <f>_xlfn.IFNA(VLOOKUP(A194,[3]進出口值表查詢結果!$C$11:$F$68,4,0),-[4]整車!$B$22)</f>
        <v>0</v>
      </c>
      <c r="W194" s="412">
        <f>_xlfn.IFNA(VLOOKUP(A194,[3]進出口值表查詢結果!$C$11:$F$68,3,0),-[4]整車!$B$22)</f>
        <v>0</v>
      </c>
      <c r="X194" s="412">
        <f>_xlfn.IFNA(VLOOKUP(A194,[5]進出口值表查詢結果!$C$11:$F$80,4,0),-[4]整車!$B$22)</f>
        <v>0</v>
      </c>
      <c r="Y194" s="412">
        <f>_xlfn.IFNA(VLOOKUP(A194,[5]進出口值表查詢結果!$C$11:$F$80,3,0),-[4]整車!$B$22)</f>
        <v>0</v>
      </c>
      <c r="Z194" s="406">
        <f t="shared" si="31"/>
        <v>0</v>
      </c>
      <c r="AA194" s="406">
        <f t="shared" si="32"/>
        <v>0</v>
      </c>
    </row>
    <row r="195" spans="1:27">
      <c r="A195" s="415" t="s">
        <v>142</v>
      </c>
      <c r="B195" s="412"/>
      <c r="C195" s="412"/>
      <c r="D195" s="412"/>
      <c r="E195" s="412">
        <v>0</v>
      </c>
      <c r="F195" s="412">
        <v>0</v>
      </c>
      <c r="G195" s="412"/>
      <c r="H195" s="412">
        <v>0</v>
      </c>
      <c r="I195" s="412">
        <v>0</v>
      </c>
      <c r="J195" s="413">
        <v>0</v>
      </c>
      <c r="K195" s="414">
        <v>0</v>
      </c>
      <c r="L195" s="412">
        <v>0</v>
      </c>
      <c r="M195" s="412">
        <v>0</v>
      </c>
      <c r="N195" s="412">
        <v>0</v>
      </c>
      <c r="O195" s="412">
        <v>0</v>
      </c>
      <c r="P195" s="412">
        <v>0</v>
      </c>
      <c r="Q195" s="412">
        <v>0</v>
      </c>
      <c r="R195" s="412">
        <v>0</v>
      </c>
      <c r="S195" s="412">
        <v>0</v>
      </c>
      <c r="T195" s="412"/>
      <c r="U195" s="412"/>
      <c r="V195" s="412">
        <f>_xlfn.IFNA(VLOOKUP(A195,[3]進出口值表查詢結果!$C$11:$F$68,4,0),-[4]整車!$B$22)</f>
        <v>0</v>
      </c>
      <c r="W195" s="412">
        <f>_xlfn.IFNA(VLOOKUP(A195,[3]進出口值表查詢結果!$C$11:$F$68,3,0),-[4]整車!$B$22)</f>
        <v>0</v>
      </c>
      <c r="X195" s="412">
        <f>_xlfn.IFNA(VLOOKUP(A195,[5]進出口值表查詢結果!$C$11:$F$80,4,0),-[4]整車!$B$22)</f>
        <v>0</v>
      </c>
      <c r="Y195" s="412">
        <f>_xlfn.IFNA(VLOOKUP(A195,[5]進出口值表查詢結果!$C$11:$F$80,3,0),-[4]整車!$B$22)</f>
        <v>0</v>
      </c>
      <c r="Z195" s="406">
        <f t="shared" si="31"/>
        <v>0</v>
      </c>
      <c r="AA195" s="406">
        <f t="shared" si="32"/>
        <v>0</v>
      </c>
    </row>
    <row r="196" spans="1:27">
      <c r="A196" s="448" t="s">
        <v>373</v>
      </c>
      <c r="B196" s="412"/>
      <c r="C196" s="412"/>
      <c r="D196" s="412"/>
      <c r="E196" s="412">
        <v>0</v>
      </c>
      <c r="F196" s="412">
        <v>0</v>
      </c>
      <c r="G196" s="412"/>
      <c r="H196" s="412">
        <v>0</v>
      </c>
      <c r="I196" s="412">
        <v>0</v>
      </c>
      <c r="J196" s="413">
        <v>0</v>
      </c>
      <c r="K196" s="414">
        <v>0</v>
      </c>
      <c r="L196" s="412">
        <v>0</v>
      </c>
      <c r="M196" s="412">
        <v>0</v>
      </c>
      <c r="N196" s="412">
        <v>0</v>
      </c>
      <c r="O196" s="412">
        <v>0</v>
      </c>
      <c r="P196" s="412">
        <v>0</v>
      </c>
      <c r="Q196" s="412">
        <v>0</v>
      </c>
      <c r="R196" s="412">
        <v>0</v>
      </c>
      <c r="S196" s="412">
        <v>0</v>
      </c>
      <c r="T196" s="412">
        <v>19</v>
      </c>
      <c r="U196" s="412">
        <v>12461</v>
      </c>
      <c r="V196" s="412">
        <f>_xlfn.IFNA(VLOOKUP(A196,[3]進出口值表查詢結果!$C$11:$F$68,4,0),-[4]整車!$B$22)</f>
        <v>0</v>
      </c>
      <c r="W196" s="412">
        <f>_xlfn.IFNA(VLOOKUP(A196,[3]進出口值表查詢結果!$C$11:$F$68,3,0),-[4]整車!$B$22)</f>
        <v>0</v>
      </c>
      <c r="X196" s="412">
        <f>_xlfn.IFNA(VLOOKUP(A196,[5]進出口值表查詢結果!$C$11:$F$80,4,0),-[4]整車!$B$22)</f>
        <v>0</v>
      </c>
      <c r="Y196" s="412">
        <f>_xlfn.IFNA(VLOOKUP(A196,[5]進出口值表查詢結果!$C$11:$F$80,3,0),-[4]整車!$B$22)</f>
        <v>0</v>
      </c>
      <c r="Z196" s="406">
        <f t="shared" si="31"/>
        <v>19</v>
      </c>
      <c r="AA196" s="406">
        <f t="shared" si="32"/>
        <v>12461</v>
      </c>
    </row>
    <row r="197" spans="1:27">
      <c r="A197" s="448" t="s">
        <v>374</v>
      </c>
      <c r="B197" s="412"/>
      <c r="C197" s="412"/>
      <c r="D197" s="412"/>
      <c r="E197" s="412">
        <v>0</v>
      </c>
      <c r="F197" s="412">
        <v>0</v>
      </c>
      <c r="G197" s="412"/>
      <c r="H197" s="412">
        <v>0</v>
      </c>
      <c r="I197" s="412">
        <v>0</v>
      </c>
      <c r="J197" s="413">
        <v>0</v>
      </c>
      <c r="K197" s="414">
        <v>0</v>
      </c>
      <c r="L197" s="412">
        <v>0</v>
      </c>
      <c r="M197" s="412">
        <v>0</v>
      </c>
      <c r="N197" s="412">
        <v>0</v>
      </c>
      <c r="O197" s="412">
        <v>0</v>
      </c>
      <c r="P197" s="412">
        <v>0</v>
      </c>
      <c r="Q197" s="412">
        <v>0</v>
      </c>
      <c r="R197" s="412">
        <v>0</v>
      </c>
      <c r="S197" s="412">
        <v>0</v>
      </c>
      <c r="T197" s="412"/>
      <c r="U197" s="412"/>
      <c r="V197" s="412">
        <f>_xlfn.IFNA(VLOOKUP(A197,[3]進出口值表查詢結果!$C$11:$F$68,4,0),-[4]整車!$B$22)</f>
        <v>0</v>
      </c>
      <c r="W197" s="412">
        <f>_xlfn.IFNA(VLOOKUP(A197,[3]進出口值表查詢結果!$C$11:$F$68,3,0),-[4]整車!$B$22)</f>
        <v>0</v>
      </c>
      <c r="X197" s="412">
        <f>_xlfn.IFNA(VLOOKUP(A197,[5]進出口值表查詢結果!$C$11:$F$80,4,0),-[4]整車!$B$22)</f>
        <v>0</v>
      </c>
      <c r="Y197" s="412">
        <f>_xlfn.IFNA(VLOOKUP(A197,[5]進出口值表查詢結果!$C$11:$F$80,3,0),-[4]整車!$B$22)</f>
        <v>0</v>
      </c>
      <c r="Z197" s="406">
        <f t="shared" si="31"/>
        <v>0</v>
      </c>
      <c r="AA197" s="406">
        <f t="shared" si="32"/>
        <v>0</v>
      </c>
    </row>
    <row r="198" spans="1:27">
      <c r="A198" s="448" t="s">
        <v>375</v>
      </c>
      <c r="B198" s="412"/>
      <c r="C198" s="412"/>
      <c r="D198" s="412"/>
      <c r="E198" s="412">
        <v>0</v>
      </c>
      <c r="F198" s="412">
        <v>0</v>
      </c>
      <c r="G198" s="412"/>
      <c r="H198" s="412">
        <v>0</v>
      </c>
      <c r="I198" s="412">
        <v>0</v>
      </c>
      <c r="J198" s="413">
        <v>0</v>
      </c>
      <c r="K198" s="414">
        <v>0</v>
      </c>
      <c r="L198" s="412">
        <v>0</v>
      </c>
      <c r="M198" s="412">
        <v>0</v>
      </c>
      <c r="N198" s="412">
        <v>0</v>
      </c>
      <c r="O198" s="412">
        <v>0</v>
      </c>
      <c r="P198" s="412">
        <v>0</v>
      </c>
      <c r="Q198" s="412">
        <v>0</v>
      </c>
      <c r="R198" s="412">
        <v>0</v>
      </c>
      <c r="S198" s="412">
        <v>0</v>
      </c>
      <c r="T198" s="412"/>
      <c r="U198" s="412"/>
      <c r="V198" s="412">
        <f>_xlfn.IFNA(VLOOKUP(A198,[3]進出口值表查詢結果!$C$11:$F$68,4,0),-[4]整車!$B$22)</f>
        <v>0</v>
      </c>
      <c r="W198" s="412">
        <f>_xlfn.IFNA(VLOOKUP(A198,[3]進出口值表查詢結果!$C$11:$F$68,3,0),-[4]整車!$B$22)</f>
        <v>0</v>
      </c>
      <c r="X198" s="412">
        <f>_xlfn.IFNA(VLOOKUP(A198,[5]進出口值表查詢結果!$C$11:$F$80,4,0),-[4]整車!$B$22)</f>
        <v>0</v>
      </c>
      <c r="Y198" s="412">
        <f>_xlfn.IFNA(VLOOKUP(A198,[5]進出口值表查詢結果!$C$11:$F$80,3,0),-[4]整車!$B$22)</f>
        <v>0</v>
      </c>
      <c r="Z198" s="406">
        <f t="shared" si="31"/>
        <v>0</v>
      </c>
      <c r="AA198" s="406">
        <f t="shared" si="32"/>
        <v>0</v>
      </c>
    </row>
    <row r="199" spans="1:27">
      <c r="A199" s="448" t="s">
        <v>395</v>
      </c>
      <c r="B199" s="412"/>
      <c r="C199" s="412"/>
      <c r="D199" s="412"/>
      <c r="E199" s="412">
        <v>0</v>
      </c>
      <c r="F199" s="412">
        <v>0</v>
      </c>
      <c r="G199" s="412"/>
      <c r="H199" s="412">
        <v>0</v>
      </c>
      <c r="I199" s="412">
        <v>0</v>
      </c>
      <c r="J199" s="413" t="s">
        <v>57</v>
      </c>
      <c r="K199" s="414">
        <v>0</v>
      </c>
      <c r="L199" s="412">
        <v>10</v>
      </c>
      <c r="M199" s="412">
        <v>1039</v>
      </c>
      <c r="N199" s="412">
        <v>0</v>
      </c>
      <c r="O199" s="412">
        <v>0</v>
      </c>
      <c r="P199" s="412">
        <v>0</v>
      </c>
      <c r="Q199" s="412">
        <v>0</v>
      </c>
      <c r="R199" s="412">
        <v>5</v>
      </c>
      <c r="S199" s="412">
        <v>543</v>
      </c>
      <c r="T199" s="412"/>
      <c r="U199" s="412"/>
      <c r="V199" s="412">
        <f>_xlfn.IFNA(VLOOKUP(A199,[3]進出口值表查詢結果!$C$11:$F$68,4,0),-[4]整車!$B$22)</f>
        <v>2</v>
      </c>
      <c r="W199" s="412">
        <f>_xlfn.IFNA(VLOOKUP(A199,[3]進出口值表查詢結果!$C$11:$F$68,3,0),-[4]整車!$B$22)</f>
        <v>763</v>
      </c>
      <c r="X199" s="412">
        <f>_xlfn.IFNA(VLOOKUP(A199,[5]進出口值表查詢結果!$C$11:$F$80,4,0),-[4]整車!$B$22)</f>
        <v>0</v>
      </c>
      <c r="Y199" s="412">
        <f>_xlfn.IFNA(VLOOKUP(A199,[5]進出口值表查詢結果!$C$11:$F$80,3,0),-[4]整車!$B$22)</f>
        <v>0</v>
      </c>
      <c r="Z199" s="406">
        <f t="shared" si="31"/>
        <v>17</v>
      </c>
      <c r="AA199" s="406">
        <f t="shared" si="32"/>
        <v>2345</v>
      </c>
    </row>
    <row r="200" spans="1:27">
      <c r="A200" s="415" t="s">
        <v>143</v>
      </c>
      <c r="B200" s="412"/>
      <c r="C200" s="412"/>
      <c r="D200" s="412"/>
      <c r="E200" s="412">
        <v>0</v>
      </c>
      <c r="F200" s="412">
        <v>0</v>
      </c>
      <c r="G200" s="412"/>
      <c r="H200" s="412">
        <v>0</v>
      </c>
      <c r="I200" s="412">
        <v>0</v>
      </c>
      <c r="J200" s="413">
        <v>0</v>
      </c>
      <c r="K200" s="414">
        <v>0</v>
      </c>
      <c r="L200" s="412">
        <v>0</v>
      </c>
      <c r="M200" s="412">
        <v>0</v>
      </c>
      <c r="N200" s="412">
        <v>1</v>
      </c>
      <c r="O200" s="412">
        <v>2028</v>
      </c>
      <c r="P200" s="412">
        <v>0</v>
      </c>
      <c r="Q200" s="412">
        <v>0</v>
      </c>
      <c r="R200" s="412">
        <v>0</v>
      </c>
      <c r="S200" s="412">
        <v>0</v>
      </c>
      <c r="T200" s="412"/>
      <c r="U200" s="412"/>
      <c r="V200" s="412">
        <f>_xlfn.IFNA(VLOOKUP(A200,[3]進出口值表查詢結果!$C$11:$F$68,4,0),-[4]整車!$B$22)</f>
        <v>0</v>
      </c>
      <c r="W200" s="412">
        <f>_xlfn.IFNA(VLOOKUP(A200,[3]進出口值表查詢結果!$C$11:$F$68,3,0),-[4]整車!$B$22)</f>
        <v>0</v>
      </c>
      <c r="X200" s="412">
        <f>_xlfn.IFNA(VLOOKUP(A200,[5]進出口值表查詢結果!$C$11:$F$80,4,0),-[4]整車!$B$22)</f>
        <v>0</v>
      </c>
      <c r="Y200" s="412">
        <f>_xlfn.IFNA(VLOOKUP(A200,[5]進出口值表查詢結果!$C$11:$F$80,3,0),-[4]整車!$B$22)</f>
        <v>0</v>
      </c>
      <c r="Z200" s="406">
        <f t="shared" si="31"/>
        <v>1</v>
      </c>
      <c r="AA200" s="406">
        <f t="shared" si="32"/>
        <v>2028</v>
      </c>
    </row>
    <row r="201" spans="1:27">
      <c r="A201" s="452" t="s">
        <v>376</v>
      </c>
      <c r="B201" s="412"/>
      <c r="C201" s="412"/>
      <c r="D201" s="412"/>
      <c r="E201" s="412"/>
      <c r="F201" s="412"/>
      <c r="G201" s="412"/>
      <c r="H201" s="412">
        <v>0</v>
      </c>
      <c r="I201" s="412">
        <v>0</v>
      </c>
      <c r="J201" s="413" t="s">
        <v>57</v>
      </c>
      <c r="K201" s="414"/>
      <c r="L201" s="412">
        <v>0</v>
      </c>
      <c r="M201" s="412">
        <v>0</v>
      </c>
      <c r="N201" s="412">
        <v>0</v>
      </c>
      <c r="O201" s="412">
        <v>0</v>
      </c>
      <c r="P201" s="412">
        <v>0</v>
      </c>
      <c r="Q201" s="412">
        <v>0</v>
      </c>
      <c r="R201" s="412">
        <v>0</v>
      </c>
      <c r="S201" s="412">
        <v>0</v>
      </c>
      <c r="T201" s="412"/>
      <c r="U201" s="412"/>
      <c r="V201" s="412">
        <f>_xlfn.IFNA(VLOOKUP(A201,[3]進出口值表查詢結果!$C$11:$F$68,4,0),-[4]整車!$B$22)</f>
        <v>0</v>
      </c>
      <c r="W201" s="412">
        <f>_xlfn.IFNA(VLOOKUP(A201,[3]進出口值表查詢結果!$C$11:$F$68,3,0),-[4]整車!$B$22)</f>
        <v>0</v>
      </c>
      <c r="X201" s="412">
        <f>_xlfn.IFNA(VLOOKUP(A201,[5]進出口值表查詢結果!$C$11:$F$80,4,0),-[4]整車!$B$22)</f>
        <v>0</v>
      </c>
      <c r="Y201" s="412">
        <f>_xlfn.IFNA(VLOOKUP(A201,[5]進出口值表查詢結果!$C$11:$F$80,3,0),-[4]整車!$B$22)</f>
        <v>0</v>
      </c>
      <c r="Z201" s="406"/>
      <c r="AA201" s="406"/>
    </row>
    <row r="202" spans="1:27">
      <c r="A202" s="448" t="s">
        <v>396</v>
      </c>
      <c r="B202" s="412"/>
      <c r="C202" s="412"/>
      <c r="D202" s="412"/>
      <c r="E202" s="412"/>
      <c r="F202" s="412"/>
      <c r="G202" s="412"/>
      <c r="H202" s="412">
        <v>0</v>
      </c>
      <c r="I202" s="412">
        <v>0</v>
      </c>
      <c r="J202" s="413" t="s">
        <v>57</v>
      </c>
      <c r="K202" s="414"/>
      <c r="L202" s="412">
        <v>0</v>
      </c>
      <c r="M202" s="412">
        <v>0</v>
      </c>
      <c r="N202" s="412">
        <v>0</v>
      </c>
      <c r="O202" s="412">
        <v>0</v>
      </c>
      <c r="P202" s="412">
        <v>0</v>
      </c>
      <c r="Q202" s="412">
        <v>0</v>
      </c>
      <c r="R202" s="412">
        <v>0</v>
      </c>
      <c r="S202" s="412">
        <v>0</v>
      </c>
      <c r="T202" s="412"/>
      <c r="U202" s="412"/>
      <c r="V202" s="412">
        <f>_xlfn.IFNA(VLOOKUP(A202,[3]進出口值表查詢結果!$C$11:$F$68,4,0),-[4]整車!$B$22)</f>
        <v>5</v>
      </c>
      <c r="W202" s="412">
        <f>_xlfn.IFNA(VLOOKUP(A202,[3]進出口值表查詢結果!$C$11:$F$68,3,0),-[4]整車!$B$22)</f>
        <v>7938</v>
      </c>
      <c r="X202" s="412">
        <f>_xlfn.IFNA(VLOOKUP(A202,[5]進出口值表查詢結果!$C$11:$F$80,4,0),-[4]整車!$B$22)</f>
        <v>0</v>
      </c>
      <c r="Y202" s="412">
        <f>_xlfn.IFNA(VLOOKUP(A202,[5]進出口值表查詢結果!$C$11:$F$80,3,0),-[4]整車!$B$22)</f>
        <v>0</v>
      </c>
      <c r="Z202" s="406"/>
      <c r="AA202" s="406"/>
    </row>
    <row r="203" spans="1:27">
      <c r="A203" s="452" t="s">
        <v>397</v>
      </c>
      <c r="B203" s="412"/>
      <c r="C203" s="412"/>
      <c r="D203" s="438">
        <v>0</v>
      </c>
      <c r="E203" s="412">
        <v>0</v>
      </c>
      <c r="F203" s="412">
        <v>0</v>
      </c>
      <c r="G203" s="439"/>
      <c r="H203" s="412">
        <v>0</v>
      </c>
      <c r="I203" s="412">
        <v>0</v>
      </c>
      <c r="J203" s="413">
        <v>0</v>
      </c>
      <c r="K203" s="414">
        <v>0</v>
      </c>
      <c r="L203" s="412">
        <v>0</v>
      </c>
      <c r="M203" s="412">
        <v>0</v>
      </c>
      <c r="N203" s="412">
        <v>0</v>
      </c>
      <c r="O203" s="412">
        <v>0</v>
      </c>
      <c r="P203" s="412">
        <v>0</v>
      </c>
      <c r="Q203" s="412">
        <v>0</v>
      </c>
      <c r="R203" s="412">
        <v>0</v>
      </c>
      <c r="S203" s="412">
        <v>0</v>
      </c>
      <c r="T203" s="412">
        <v>0</v>
      </c>
      <c r="U203" s="412">
        <v>0</v>
      </c>
      <c r="V203" s="412">
        <f>_xlfn.IFNA(VLOOKUP(A203,[3]進出口值表查詢結果!$C$11:$F$68,4,0),-[4]整車!$B$22)</f>
        <v>0</v>
      </c>
      <c r="W203" s="412">
        <f>_xlfn.IFNA(VLOOKUP(A203,[3]進出口值表查詢結果!$C$11:$F$68,3,0),-[4]整車!$B$22)</f>
        <v>0</v>
      </c>
      <c r="X203" s="412">
        <f>_xlfn.IFNA(VLOOKUP(A203,[5]進出口值表查詢結果!$C$11:$F$80,4,0),-[4]整車!$B$22)</f>
        <v>0</v>
      </c>
      <c r="Y203" s="412">
        <f>_xlfn.IFNA(VLOOKUP(A203,[5]進出口值表查詢結果!$C$11:$F$80,3,0),-[4]整車!$B$22)</f>
        <v>0</v>
      </c>
      <c r="Z203" s="412">
        <f>SUM(B203,D203,F203,H203,J203,L203,N203,P203,R203,T203,V203,X203)</f>
        <v>0</v>
      </c>
      <c r="AA203" s="412">
        <f>SUM(C203,E203,G203,I203,K203,M203,O203,Q203,S203,U203,W203,Y203)</f>
        <v>0</v>
      </c>
    </row>
    <row r="204" spans="1:27">
      <c r="A204" s="388"/>
      <c r="B204" s="571" t="s">
        <v>144</v>
      </c>
      <c r="C204" s="572"/>
      <c r="D204" s="389" t="s">
        <v>120</v>
      </c>
      <c r="E204" s="390"/>
      <c r="F204" s="389" t="s">
        <v>121</v>
      </c>
      <c r="G204" s="390"/>
      <c r="H204" s="389" t="s">
        <v>122</v>
      </c>
      <c r="I204" s="390"/>
      <c r="J204" s="391" t="s">
        <v>123</v>
      </c>
      <c r="K204" s="392"/>
      <c r="L204" s="389" t="s">
        <v>124</v>
      </c>
      <c r="M204" s="390"/>
      <c r="N204" s="389" t="s">
        <v>125</v>
      </c>
      <c r="O204" s="390"/>
      <c r="P204" s="389" t="s">
        <v>126</v>
      </c>
      <c r="Q204" s="390"/>
      <c r="R204" s="389" t="s">
        <v>127</v>
      </c>
      <c r="S204" s="390"/>
      <c r="T204" s="389" t="s">
        <v>128</v>
      </c>
      <c r="U204" s="390"/>
      <c r="V204" s="389" t="s">
        <v>129</v>
      </c>
      <c r="W204" s="390"/>
      <c r="X204" s="389" t="s">
        <v>130</v>
      </c>
      <c r="Y204" s="390"/>
      <c r="Z204" s="571" t="s">
        <v>103</v>
      </c>
      <c r="AA204" s="572"/>
    </row>
    <row r="205" spans="1:27">
      <c r="A205" s="440" t="s">
        <v>145</v>
      </c>
      <c r="B205" s="394" t="s">
        <v>132</v>
      </c>
      <c r="C205" s="394" t="s">
        <v>133</v>
      </c>
      <c r="D205" s="394" t="s">
        <v>134</v>
      </c>
      <c r="E205" s="394" t="s">
        <v>135</v>
      </c>
      <c r="F205" s="394" t="s">
        <v>134</v>
      </c>
      <c r="G205" s="394" t="s">
        <v>135</v>
      </c>
      <c r="H205" s="394" t="s">
        <v>134</v>
      </c>
      <c r="I205" s="394" t="s">
        <v>135</v>
      </c>
      <c r="J205" s="395" t="s">
        <v>134</v>
      </c>
      <c r="K205" s="396" t="s">
        <v>135</v>
      </c>
      <c r="L205" s="394" t="s">
        <v>134</v>
      </c>
      <c r="M205" s="394" t="s">
        <v>135</v>
      </c>
      <c r="N205" s="394" t="s">
        <v>134</v>
      </c>
      <c r="O205" s="394" t="s">
        <v>135</v>
      </c>
      <c r="P205" s="394" t="s">
        <v>134</v>
      </c>
      <c r="Q205" s="394" t="s">
        <v>135</v>
      </c>
      <c r="R205" s="394" t="s">
        <v>134</v>
      </c>
      <c r="S205" s="394" t="s">
        <v>135</v>
      </c>
      <c r="T205" s="394" t="s">
        <v>134</v>
      </c>
      <c r="U205" s="394" t="s">
        <v>135</v>
      </c>
      <c r="V205" s="394" t="s">
        <v>134</v>
      </c>
      <c r="W205" s="394" t="s">
        <v>135</v>
      </c>
      <c r="X205" s="394" t="s">
        <v>134</v>
      </c>
      <c r="Y205" s="394" t="s">
        <v>135</v>
      </c>
      <c r="Z205" s="394" t="s">
        <v>134</v>
      </c>
      <c r="AA205" s="394" t="s">
        <v>135</v>
      </c>
    </row>
    <row r="206" spans="1:27">
      <c r="A206" s="393" t="s">
        <v>146</v>
      </c>
      <c r="B206" s="412">
        <v>6025</v>
      </c>
      <c r="C206" s="412">
        <v>1562479</v>
      </c>
      <c r="D206" s="412">
        <v>5953</v>
      </c>
      <c r="E206" s="412">
        <v>1186109</v>
      </c>
      <c r="F206" s="412">
        <v>5066</v>
      </c>
      <c r="G206" s="412">
        <v>1570229</v>
      </c>
      <c r="H206" s="412">
        <v>7242</v>
      </c>
      <c r="I206" s="412">
        <v>1397285</v>
      </c>
      <c r="J206" s="413">
        <v>9565</v>
      </c>
      <c r="K206" s="414">
        <v>2314635</v>
      </c>
      <c r="L206" s="412">
        <v>11407</v>
      </c>
      <c r="M206" s="412">
        <v>2211195</v>
      </c>
      <c r="N206" s="412">
        <v>8718</v>
      </c>
      <c r="O206" s="412">
        <v>1911196</v>
      </c>
      <c r="P206" s="412"/>
      <c r="Q206" s="412"/>
      <c r="R206" s="412"/>
      <c r="S206" s="412"/>
      <c r="T206" s="412"/>
      <c r="U206" s="412"/>
      <c r="V206" s="412"/>
      <c r="W206" s="412"/>
      <c r="X206" s="412"/>
      <c r="Y206" s="412"/>
      <c r="Z206" s="412">
        <f>SUM(B206,D206,F206,H206,J206,L206,N206,P206,R206,T206,V206,X206)</f>
        <v>53976</v>
      </c>
      <c r="AA206" s="406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2.875" style="5" customWidth="1"/>
    <col min="3" max="3" width="12.375" style="59" customWidth="1"/>
    <col min="4" max="4" width="10" style="109" customWidth="1"/>
    <col min="5" max="5" width="13.25" style="5" customWidth="1"/>
    <col min="6" max="6" width="13.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>
      <c r="A1" s="488" t="s">
        <v>496</v>
      </c>
      <c r="B1" s="129"/>
      <c r="C1" s="130"/>
      <c r="D1" s="131"/>
      <c r="E1" s="129"/>
      <c r="F1" s="130"/>
      <c r="G1" s="131"/>
    </row>
    <row r="2" spans="1:7" ht="9.75" customHeight="1"/>
    <row r="3" spans="1:7" s="122" customFormat="1">
      <c r="A3" s="132" t="s">
        <v>411</v>
      </c>
      <c r="B3" s="133"/>
      <c r="C3" s="134"/>
      <c r="D3" s="135"/>
      <c r="E3" s="133"/>
      <c r="F3" s="136"/>
      <c r="G3" s="137"/>
    </row>
    <row r="4" spans="1:7">
      <c r="A4" s="138" t="s">
        <v>476</v>
      </c>
      <c r="B4" s="68"/>
      <c r="C4" s="139"/>
      <c r="D4" s="140"/>
      <c r="E4" s="68"/>
      <c r="F4" s="141"/>
      <c r="G4" s="142"/>
    </row>
    <row r="5" spans="1:7">
      <c r="A5" s="573" t="s">
        <v>50</v>
      </c>
      <c r="B5" s="143" t="s">
        <v>51</v>
      </c>
      <c r="C5" s="144"/>
      <c r="D5" s="145"/>
      <c r="E5" s="146" t="s">
        <v>52</v>
      </c>
      <c r="F5" s="144"/>
      <c r="G5" s="145"/>
    </row>
    <row r="6" spans="1:7">
      <c r="A6" s="574"/>
      <c r="B6" s="534" t="s">
        <v>474</v>
      </c>
      <c r="C6" s="535" t="s">
        <v>475</v>
      </c>
      <c r="D6" s="536" t="s">
        <v>466</v>
      </c>
      <c r="E6" s="534" t="s">
        <v>474</v>
      </c>
      <c r="F6" s="535" t="s">
        <v>475</v>
      </c>
      <c r="G6" s="536" t="s">
        <v>466</v>
      </c>
    </row>
    <row r="7" spans="1:7">
      <c r="A7" s="31">
        <v>1</v>
      </c>
      <c r="B7" s="370">
        <v>50974</v>
      </c>
      <c r="C7" s="376">
        <v>52420</v>
      </c>
      <c r="D7" s="481">
        <f>IFERROR((B7-C7)/C7,0)</f>
        <v>-2.7584891262876766E-2</v>
      </c>
      <c r="E7" s="482">
        <v>50122063</v>
      </c>
      <c r="F7" s="376">
        <v>48431613</v>
      </c>
      <c r="G7" s="481">
        <f>IFERROR((E7-F7)/F7,0)</f>
        <v>3.4903855050212762E-2</v>
      </c>
    </row>
    <row r="8" spans="1:7">
      <c r="A8" s="31">
        <v>2</v>
      </c>
      <c r="B8" s="370">
        <v>59471</v>
      </c>
      <c r="C8" s="376">
        <v>69917</v>
      </c>
      <c r="D8" s="481">
        <f>IFERROR((B8-C8)/C8,0)</f>
        <v>-0.14940572392980248</v>
      </c>
      <c r="E8" s="482">
        <v>56279023</v>
      </c>
      <c r="F8" s="376">
        <v>73872480</v>
      </c>
      <c r="G8" s="481">
        <f t="shared" ref="G8:G18" si="0">IFERROR((E8-F8)/F8,0)</f>
        <v>-0.23815982623028223</v>
      </c>
    </row>
    <row r="9" spans="1:7">
      <c r="A9" s="31">
        <v>3</v>
      </c>
      <c r="B9" s="370"/>
      <c r="C9" s="376"/>
      <c r="D9" s="481">
        <f t="shared" ref="D9:D18" si="1">IFERROR((B9-C9)/C9,0)</f>
        <v>0</v>
      </c>
      <c r="E9" s="482"/>
      <c r="F9" s="376"/>
      <c r="G9" s="481">
        <f t="shared" si="0"/>
        <v>0</v>
      </c>
    </row>
    <row r="10" spans="1:7">
      <c r="A10" s="31">
        <v>4</v>
      </c>
      <c r="B10" s="374"/>
      <c r="C10" s="373"/>
      <c r="D10" s="481">
        <f t="shared" si="1"/>
        <v>0</v>
      </c>
      <c r="E10" s="482"/>
      <c r="F10" s="373"/>
      <c r="G10" s="481">
        <f t="shared" si="0"/>
        <v>0</v>
      </c>
    </row>
    <row r="11" spans="1:7">
      <c r="A11" s="31">
        <v>5</v>
      </c>
      <c r="B11" s="370"/>
      <c r="C11" s="376"/>
      <c r="D11" s="481">
        <f t="shared" si="1"/>
        <v>0</v>
      </c>
      <c r="E11" s="482"/>
      <c r="F11" s="376"/>
      <c r="G11" s="481">
        <f t="shared" si="0"/>
        <v>0</v>
      </c>
    </row>
    <row r="12" spans="1:7">
      <c r="A12" s="31">
        <v>6</v>
      </c>
      <c r="B12" s="370"/>
      <c r="C12" s="376"/>
      <c r="D12" s="481">
        <f t="shared" si="1"/>
        <v>0</v>
      </c>
      <c r="E12" s="482"/>
      <c r="F12" s="376"/>
      <c r="G12" s="481">
        <f t="shared" si="0"/>
        <v>0</v>
      </c>
    </row>
    <row r="13" spans="1:7">
      <c r="A13" s="31">
        <v>7</v>
      </c>
      <c r="B13" s="370"/>
      <c r="C13" s="376"/>
      <c r="D13" s="481">
        <f t="shared" si="1"/>
        <v>0</v>
      </c>
      <c r="E13" s="482"/>
      <c r="F13" s="376"/>
      <c r="G13" s="481">
        <f t="shared" si="0"/>
        <v>0</v>
      </c>
    </row>
    <row r="14" spans="1:7">
      <c r="A14" s="31">
        <v>8</v>
      </c>
      <c r="B14" s="370"/>
      <c r="C14" s="376"/>
      <c r="D14" s="481">
        <f t="shared" si="1"/>
        <v>0</v>
      </c>
      <c r="E14" s="482"/>
      <c r="F14" s="376"/>
      <c r="G14" s="481">
        <f t="shared" si="0"/>
        <v>0</v>
      </c>
    </row>
    <row r="15" spans="1:7">
      <c r="A15" s="31">
        <v>9</v>
      </c>
      <c r="B15" s="27"/>
      <c r="C15" s="90"/>
      <c r="D15" s="481">
        <f t="shared" si="1"/>
        <v>0</v>
      </c>
      <c r="E15" s="482"/>
      <c r="F15" s="90"/>
      <c r="G15" s="481">
        <f t="shared" si="0"/>
        <v>0</v>
      </c>
    </row>
    <row r="16" spans="1:7">
      <c r="A16" s="31">
        <v>10</v>
      </c>
      <c r="B16" s="27"/>
      <c r="C16" s="90"/>
      <c r="D16" s="481">
        <f t="shared" si="1"/>
        <v>0</v>
      </c>
      <c r="E16" s="482"/>
      <c r="F16" s="90"/>
      <c r="G16" s="481">
        <f t="shared" si="0"/>
        <v>0</v>
      </c>
    </row>
    <row r="17" spans="1:7">
      <c r="A17" s="31">
        <v>11</v>
      </c>
      <c r="B17" s="27"/>
      <c r="C17" s="90"/>
      <c r="D17" s="481">
        <f t="shared" si="1"/>
        <v>0</v>
      </c>
      <c r="E17" s="482"/>
      <c r="F17" s="90"/>
      <c r="G17" s="481">
        <f t="shared" si="0"/>
        <v>0</v>
      </c>
    </row>
    <row r="18" spans="1:7">
      <c r="A18" s="31">
        <v>12</v>
      </c>
      <c r="B18" s="27"/>
      <c r="C18" s="90"/>
      <c r="D18" s="481">
        <f t="shared" si="1"/>
        <v>0</v>
      </c>
      <c r="E18" s="482"/>
      <c r="F18" s="90"/>
      <c r="G18" s="481">
        <f t="shared" si="0"/>
        <v>0</v>
      </c>
    </row>
    <row r="19" spans="1:7" s="115" customFormat="1">
      <c r="A19" s="32" t="s">
        <v>49</v>
      </c>
      <c r="B19" s="33">
        <f>SUM(B7:B18)</f>
        <v>110445</v>
      </c>
      <c r="C19" s="90">
        <f>SUM(C7:C18)</f>
        <v>122337</v>
      </c>
      <c r="D19" s="481">
        <f>(B19-C19)/C19</f>
        <v>-9.7206895706123245E-2</v>
      </c>
      <c r="E19" s="33">
        <f>SUM(E7:E18)</f>
        <v>106401086</v>
      </c>
      <c r="F19" s="90">
        <f>SUM(F7:F18)</f>
        <v>122304093</v>
      </c>
      <c r="G19" s="148">
        <f>(E19-F19)/F19</f>
        <v>-0.13002841204995486</v>
      </c>
    </row>
    <row r="20" spans="1:7" s="115" customFormat="1" ht="10.5" customHeight="1">
      <c r="A20" s="38"/>
      <c r="B20" s="39"/>
      <c r="C20" s="483"/>
      <c r="D20" s="149"/>
      <c r="E20" s="39"/>
      <c r="F20" s="483"/>
      <c r="G20" s="149"/>
    </row>
    <row r="21" spans="1:7" ht="23.25">
      <c r="A21" s="1" t="s">
        <v>497</v>
      </c>
      <c r="B21" s="129"/>
      <c r="C21" s="130"/>
      <c r="D21" s="131"/>
      <c r="E21" s="129"/>
      <c r="F21" s="130"/>
      <c r="G21" s="131"/>
    </row>
    <row r="22" spans="1:7" ht="6.75" customHeight="1">
      <c r="B22" s="97"/>
      <c r="C22" s="150"/>
      <c r="D22" s="151"/>
      <c r="E22" s="97"/>
      <c r="F22" s="150"/>
      <c r="G22" s="151"/>
    </row>
    <row r="23" spans="1:7" s="122" customFormat="1">
      <c r="A23" s="152" t="s">
        <v>443</v>
      </c>
      <c r="B23" s="153"/>
      <c r="C23" s="154"/>
      <c r="D23" s="155"/>
      <c r="E23" s="153"/>
      <c r="F23" s="156"/>
      <c r="G23" s="157"/>
    </row>
    <row r="24" spans="1:7">
      <c r="A24" s="138" t="s">
        <v>477</v>
      </c>
      <c r="B24" s="158"/>
      <c r="C24" s="159"/>
      <c r="D24" s="160"/>
      <c r="E24" s="158"/>
      <c r="F24" s="161"/>
      <c r="G24" s="162"/>
    </row>
    <row r="25" spans="1:7">
      <c r="A25" s="573" t="s">
        <v>50</v>
      </c>
      <c r="B25" s="163" t="s">
        <v>51</v>
      </c>
      <c r="C25" s="164"/>
      <c r="D25" s="165"/>
      <c r="E25" s="166" t="s">
        <v>52</v>
      </c>
      <c r="F25" s="164"/>
      <c r="G25" s="165"/>
    </row>
    <row r="26" spans="1:7">
      <c r="A26" s="574"/>
      <c r="B26" s="534" t="s">
        <v>474</v>
      </c>
      <c r="C26" s="535" t="s">
        <v>475</v>
      </c>
      <c r="D26" s="536" t="s">
        <v>466</v>
      </c>
      <c r="E26" s="534" t="s">
        <v>474</v>
      </c>
      <c r="F26" s="535" t="s">
        <v>475</v>
      </c>
      <c r="G26" s="536" t="s">
        <v>466</v>
      </c>
    </row>
    <row r="27" spans="1:7">
      <c r="A27" s="31">
        <v>1</v>
      </c>
      <c r="B27" s="484">
        <v>1215</v>
      </c>
      <c r="C27" s="376">
        <v>1271</v>
      </c>
      <c r="D27" s="481">
        <f>IFERROR((B27-C27)/C27,0)</f>
        <v>-4.4059795436664044E-2</v>
      </c>
      <c r="E27" s="482">
        <v>283794</v>
      </c>
      <c r="F27" s="376">
        <v>706443</v>
      </c>
      <c r="G27" s="481">
        <f>IFERROR((E27-F27)/F27,0)</f>
        <v>-0.59827756804158294</v>
      </c>
    </row>
    <row r="28" spans="1:7">
      <c r="A28" s="31">
        <v>2</v>
      </c>
      <c r="B28" s="484">
        <v>2853</v>
      </c>
      <c r="C28" s="376">
        <v>1635</v>
      </c>
      <c r="D28" s="481">
        <f>IFERROR((B28-C28)/C28,0)</f>
        <v>0.74495412844036701</v>
      </c>
      <c r="E28" s="482">
        <v>736048</v>
      </c>
      <c r="F28" s="376">
        <v>879950</v>
      </c>
      <c r="G28" s="481">
        <f t="shared" ref="G28:G39" si="2">IFERROR((E28-F28)/F28,0)</f>
        <v>-0.16353429172112052</v>
      </c>
    </row>
    <row r="29" spans="1:7">
      <c r="A29" s="31">
        <v>3</v>
      </c>
      <c r="B29" s="484"/>
      <c r="C29" s="376"/>
      <c r="D29" s="481">
        <f t="shared" ref="D29:D39" si="3">IFERROR((B29-C29)/C29,0)</f>
        <v>0</v>
      </c>
      <c r="E29" s="482"/>
      <c r="F29" s="376"/>
      <c r="G29" s="481">
        <f t="shared" si="2"/>
        <v>0</v>
      </c>
    </row>
    <row r="30" spans="1:7">
      <c r="A30" s="31">
        <v>4</v>
      </c>
      <c r="B30" s="484"/>
      <c r="C30" s="485"/>
      <c r="D30" s="481">
        <f t="shared" si="3"/>
        <v>0</v>
      </c>
      <c r="E30" s="375"/>
      <c r="F30" s="373"/>
      <c r="G30" s="481">
        <f t="shared" si="2"/>
        <v>0</v>
      </c>
    </row>
    <row r="31" spans="1:7">
      <c r="A31" s="31">
        <v>5</v>
      </c>
      <c r="B31" s="484"/>
      <c r="C31" s="376"/>
      <c r="D31" s="481">
        <f t="shared" si="3"/>
        <v>0</v>
      </c>
      <c r="E31" s="482"/>
      <c r="F31" s="376"/>
      <c r="G31" s="481">
        <f t="shared" si="2"/>
        <v>0</v>
      </c>
    </row>
    <row r="32" spans="1:7">
      <c r="A32" s="31">
        <v>6</v>
      </c>
      <c r="B32" s="484"/>
      <c r="C32" s="376"/>
      <c r="D32" s="481">
        <f t="shared" si="3"/>
        <v>0</v>
      </c>
      <c r="E32" s="482"/>
      <c r="F32" s="376"/>
      <c r="G32" s="481">
        <f t="shared" si="2"/>
        <v>0</v>
      </c>
    </row>
    <row r="33" spans="1:12">
      <c r="A33" s="31">
        <v>7</v>
      </c>
      <c r="B33" s="484"/>
      <c r="C33" s="376"/>
      <c r="D33" s="481">
        <f t="shared" si="3"/>
        <v>0</v>
      </c>
      <c r="E33" s="482"/>
      <c r="F33" s="376"/>
      <c r="G33" s="481">
        <f t="shared" si="2"/>
        <v>0</v>
      </c>
    </row>
    <row r="34" spans="1:12">
      <c r="A34" s="31">
        <v>8</v>
      </c>
      <c r="B34" s="484"/>
      <c r="C34" s="376"/>
      <c r="D34" s="481">
        <f t="shared" si="3"/>
        <v>0</v>
      </c>
      <c r="E34" s="482"/>
      <c r="F34" s="376"/>
      <c r="G34" s="481">
        <f t="shared" si="2"/>
        <v>0</v>
      </c>
    </row>
    <row r="35" spans="1:12">
      <c r="A35" s="31">
        <v>9</v>
      </c>
      <c r="B35" s="486"/>
      <c r="C35" s="90"/>
      <c r="D35" s="481">
        <f t="shared" si="3"/>
        <v>0</v>
      </c>
      <c r="E35" s="27"/>
      <c r="F35" s="90"/>
      <c r="G35" s="481">
        <f t="shared" si="2"/>
        <v>0</v>
      </c>
    </row>
    <row r="36" spans="1:12">
      <c r="A36" s="31">
        <v>10</v>
      </c>
      <c r="B36" s="486"/>
      <c r="C36" s="90"/>
      <c r="D36" s="481">
        <f t="shared" si="3"/>
        <v>0</v>
      </c>
      <c r="E36" s="27"/>
      <c r="F36" s="90"/>
      <c r="G36" s="481">
        <f t="shared" si="2"/>
        <v>0</v>
      </c>
    </row>
    <row r="37" spans="1:12">
      <c r="A37" s="31">
        <v>11</v>
      </c>
      <c r="B37" s="486"/>
      <c r="C37" s="90"/>
      <c r="D37" s="481">
        <f t="shared" si="3"/>
        <v>0</v>
      </c>
      <c r="E37" s="27"/>
      <c r="F37" s="90"/>
      <c r="G37" s="481">
        <f t="shared" si="2"/>
        <v>0</v>
      </c>
      <c r="I37" s="478"/>
      <c r="J37" s="478"/>
      <c r="K37" s="478"/>
      <c r="L37" s="478"/>
    </row>
    <row r="38" spans="1:12">
      <c r="A38" s="31">
        <v>12</v>
      </c>
      <c r="B38" s="33"/>
      <c r="C38" s="90"/>
      <c r="D38" s="481">
        <f t="shared" si="3"/>
        <v>0</v>
      </c>
      <c r="E38" s="33"/>
      <c r="F38" s="90"/>
      <c r="G38" s="481">
        <f t="shared" si="2"/>
        <v>0</v>
      </c>
      <c r="I38" s="478"/>
      <c r="J38" s="478"/>
      <c r="K38" s="478"/>
      <c r="L38" s="478"/>
    </row>
    <row r="39" spans="1:12" s="115" customFormat="1">
      <c r="A39" s="32" t="s">
        <v>49</v>
      </c>
      <c r="B39" s="33">
        <f>SUM(B27:B38)</f>
        <v>4068</v>
      </c>
      <c r="C39" s="90">
        <f>SUM(C27:C38)</f>
        <v>2906</v>
      </c>
      <c r="D39" s="481">
        <f t="shared" si="3"/>
        <v>0.39986235375086027</v>
      </c>
      <c r="E39" s="33">
        <f>SUM(E27:E38)</f>
        <v>1019842</v>
      </c>
      <c r="F39" s="90">
        <f>SUM(F27:F38)</f>
        <v>1586393</v>
      </c>
      <c r="G39" s="481">
        <f t="shared" si="2"/>
        <v>-0.35713155567378324</v>
      </c>
    </row>
    <row r="40" spans="1:12" s="115" customFormat="1" ht="10.5" customHeight="1">
      <c r="A40" s="38"/>
      <c r="B40" s="39"/>
      <c r="C40" s="483"/>
      <c r="D40" s="149"/>
      <c r="E40" s="39"/>
      <c r="F40" s="483"/>
      <c r="G40" s="167"/>
    </row>
    <row r="41" spans="1:12" s="13" customFormat="1">
      <c r="A41" s="55" t="s">
        <v>461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29 B30 B31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workbookViewId="0">
      <selection activeCell="A2" sqref="A2"/>
    </sheetView>
  </sheetViews>
  <sheetFormatPr defaultRowHeight="16.5"/>
  <cols>
    <col min="1" max="1" width="6.5" style="96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23.25">
      <c r="B1" s="1"/>
      <c r="C1" s="1"/>
      <c r="D1" s="1"/>
      <c r="E1" s="178" t="s">
        <v>498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5" customFormat="1">
      <c r="A3" s="112" t="s">
        <v>37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38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39</v>
      </c>
      <c r="B5" s="120" t="s">
        <v>40</v>
      </c>
      <c r="C5" s="121" t="s">
        <v>41</v>
      </c>
      <c r="D5" s="120" t="s">
        <v>42</v>
      </c>
      <c r="E5" s="120" t="s">
        <v>43</v>
      </c>
      <c r="F5" s="120" t="s">
        <v>44</v>
      </c>
      <c r="G5" s="120" t="s">
        <v>45</v>
      </c>
      <c r="H5" s="120" t="s">
        <v>46</v>
      </c>
      <c r="I5" s="555" t="s">
        <v>499</v>
      </c>
      <c r="J5" s="120" t="s">
        <v>47</v>
      </c>
      <c r="K5" s="5"/>
      <c r="L5" s="5"/>
      <c r="M5" s="5"/>
      <c r="N5" s="5"/>
    </row>
    <row r="6" spans="1:14" s="122" customFormat="1">
      <c r="A6" s="123"/>
      <c r="B6" s="124" t="s">
        <v>48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>SUM(C7:J7)</f>
        <v>50974</v>
      </c>
      <c r="C7" s="370">
        <v>22378</v>
      </c>
      <c r="D7" s="527">
        <v>20715</v>
      </c>
      <c r="E7" s="370">
        <v>2335</v>
      </c>
      <c r="F7" s="370">
        <v>892</v>
      </c>
      <c r="G7" s="370">
        <v>623</v>
      </c>
      <c r="H7" s="370">
        <v>3810</v>
      </c>
      <c r="I7" s="371">
        <v>221</v>
      </c>
      <c r="J7" s="371">
        <v>0</v>
      </c>
    </row>
    <row r="8" spans="1:14">
      <c r="A8" s="127"/>
      <c r="B8" s="27">
        <f>SUM(C8:J8)</f>
        <v>50122063</v>
      </c>
      <c r="C8" s="372">
        <v>14462100</v>
      </c>
      <c r="D8" s="527">
        <v>26943251</v>
      </c>
      <c r="E8" s="372">
        <v>3300092</v>
      </c>
      <c r="F8" s="372">
        <v>1315986</v>
      </c>
      <c r="G8" s="372">
        <v>523342</v>
      </c>
      <c r="H8" s="372">
        <v>3225531</v>
      </c>
      <c r="I8" s="370">
        <v>351761</v>
      </c>
      <c r="J8" s="370">
        <v>0</v>
      </c>
    </row>
    <row r="9" spans="1:14">
      <c r="A9" s="126">
        <v>2</v>
      </c>
      <c r="B9" s="27">
        <f>SUM(C9:I9)</f>
        <v>59471</v>
      </c>
      <c r="C9" s="370">
        <v>24533</v>
      </c>
      <c r="D9" s="527">
        <v>25949</v>
      </c>
      <c r="E9" s="370">
        <v>3190</v>
      </c>
      <c r="F9" s="370">
        <v>793</v>
      </c>
      <c r="G9" s="370">
        <v>595</v>
      </c>
      <c r="H9" s="370">
        <v>4195</v>
      </c>
      <c r="I9" s="370">
        <v>216</v>
      </c>
      <c r="J9" s="371">
        <v>0</v>
      </c>
    </row>
    <row r="10" spans="1:14">
      <c r="A10" s="127"/>
      <c r="B10" s="27">
        <f>SUM(C10:J10)</f>
        <v>56279023</v>
      </c>
      <c r="C10" s="372">
        <v>20260947</v>
      </c>
      <c r="D10" s="527">
        <v>25497807</v>
      </c>
      <c r="E10" s="372">
        <v>4572092</v>
      </c>
      <c r="F10" s="372">
        <v>915553</v>
      </c>
      <c r="G10" s="372">
        <v>379790</v>
      </c>
      <c r="H10" s="372">
        <v>4260943</v>
      </c>
      <c r="I10" s="372">
        <v>391891</v>
      </c>
      <c r="J10" s="370">
        <v>0</v>
      </c>
    </row>
    <row r="11" spans="1:14">
      <c r="A11" s="126">
        <v>3</v>
      </c>
      <c r="B11" s="27"/>
      <c r="C11" s="370"/>
      <c r="D11" s="370"/>
      <c r="E11" s="370"/>
      <c r="F11" s="370"/>
      <c r="G11" s="370"/>
      <c r="H11" s="370"/>
      <c r="I11" s="370"/>
      <c r="J11" s="370"/>
    </row>
    <row r="12" spans="1:14">
      <c r="A12" s="127"/>
      <c r="B12" s="27"/>
      <c r="C12" s="372"/>
      <c r="D12" s="372"/>
      <c r="E12" s="372"/>
      <c r="F12" s="372"/>
      <c r="G12" s="372"/>
      <c r="H12" s="372"/>
      <c r="I12" s="372"/>
      <c r="J12" s="372"/>
      <c r="L12" s="478"/>
    </row>
    <row r="13" spans="1:14">
      <c r="A13" s="126">
        <v>4</v>
      </c>
      <c r="B13" s="27"/>
      <c r="C13" s="371"/>
      <c r="D13" s="371"/>
      <c r="E13" s="371"/>
      <c r="F13" s="371"/>
      <c r="G13" s="371"/>
      <c r="H13" s="371"/>
      <c r="I13" s="371"/>
      <c r="J13" s="372"/>
    </row>
    <row r="14" spans="1:14">
      <c r="A14" s="127"/>
      <c r="B14" s="27"/>
      <c r="C14" s="370"/>
      <c r="D14" s="370"/>
      <c r="E14" s="370"/>
      <c r="F14" s="370"/>
      <c r="G14" s="370"/>
      <c r="H14" s="370"/>
      <c r="I14" s="370"/>
      <c r="J14" s="372"/>
    </row>
    <row r="15" spans="1:14">
      <c r="A15" s="128">
        <v>5</v>
      </c>
      <c r="B15" s="27"/>
      <c r="C15" s="370"/>
      <c r="D15" s="370"/>
      <c r="E15" s="370"/>
      <c r="F15" s="370"/>
      <c r="G15" s="370"/>
      <c r="H15" s="370"/>
      <c r="I15" s="370"/>
      <c r="J15" s="370"/>
    </row>
    <row r="16" spans="1:14">
      <c r="A16" s="128"/>
      <c r="B16" s="27"/>
      <c r="C16" s="370"/>
      <c r="D16" s="370"/>
      <c r="E16" s="370"/>
      <c r="F16" s="370"/>
      <c r="G16" s="370"/>
      <c r="H16" s="370"/>
      <c r="I16" s="370"/>
      <c r="J16" s="370"/>
    </row>
    <row r="17" spans="1:10">
      <c r="A17" s="126">
        <v>6</v>
      </c>
      <c r="B17" s="27"/>
      <c r="C17" s="370"/>
      <c r="D17" s="370"/>
      <c r="E17" s="370"/>
      <c r="F17" s="370"/>
      <c r="G17" s="370"/>
      <c r="H17" s="370"/>
      <c r="I17" s="370"/>
      <c r="J17" s="370"/>
    </row>
    <row r="18" spans="1:10">
      <c r="A18" s="127"/>
      <c r="B18" s="27"/>
      <c r="C18" s="370"/>
      <c r="D18" s="370"/>
      <c r="E18" s="370"/>
      <c r="F18" s="370"/>
      <c r="G18" s="370"/>
      <c r="H18" s="370"/>
      <c r="I18" s="370"/>
      <c r="J18" s="370"/>
    </row>
    <row r="19" spans="1:10">
      <c r="A19" s="126">
        <v>7</v>
      </c>
      <c r="B19" s="27"/>
      <c r="C19" s="370"/>
      <c r="D19" s="370"/>
      <c r="E19" s="370"/>
      <c r="F19" s="370"/>
      <c r="G19" s="370"/>
      <c r="H19" s="370"/>
      <c r="I19" s="370"/>
      <c r="J19" s="370"/>
    </row>
    <row r="20" spans="1:10">
      <c r="A20" s="127"/>
      <c r="B20" s="27"/>
      <c r="C20" s="370"/>
      <c r="D20" s="370"/>
      <c r="E20" s="370"/>
      <c r="F20" s="370"/>
      <c r="G20" s="370"/>
      <c r="H20" s="370"/>
      <c r="I20" s="370"/>
      <c r="J20" s="370"/>
    </row>
    <row r="21" spans="1:10">
      <c r="A21" s="126">
        <v>8</v>
      </c>
      <c r="B21" s="27"/>
      <c r="C21" s="370"/>
      <c r="D21" s="370"/>
      <c r="E21" s="370"/>
      <c r="F21" s="370"/>
      <c r="G21" s="370"/>
      <c r="H21" s="370"/>
      <c r="I21" s="370"/>
      <c r="J21" s="370"/>
    </row>
    <row r="22" spans="1:10">
      <c r="A22" s="127"/>
      <c r="B22" s="27"/>
      <c r="C22" s="370"/>
      <c r="D22" s="370"/>
      <c r="E22" s="370"/>
      <c r="F22" s="370"/>
      <c r="G22" s="370"/>
      <c r="H22" s="370"/>
      <c r="I22" s="370"/>
      <c r="J22" s="370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03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04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08"/>
      <c r="J30" s="27">
        <v>0</v>
      </c>
    </row>
    <row r="31" spans="1:10" s="115" customFormat="1">
      <c r="A31" s="575" t="s">
        <v>49</v>
      </c>
      <c r="B31" s="33">
        <f>SUM(B7,B9,B11,B13,B15,B17,B19,B21,B23,B25,B27,B29)</f>
        <v>110445</v>
      </c>
      <c r="C31" s="33">
        <f>SUM(C7+C9+C11+C13+C15+C17+C19+C21+C23+C25+C27+C29)</f>
        <v>46911</v>
      </c>
      <c r="D31" s="33">
        <f t="shared" ref="D31:J31" si="0">SUM(D7+D9+D11+D13+D15+D17+D19+D21+D23+D25+D27+D29)</f>
        <v>46664</v>
      </c>
      <c r="E31" s="33">
        <f t="shared" si="0"/>
        <v>5525</v>
      </c>
      <c r="F31" s="33">
        <f t="shared" si="0"/>
        <v>1685</v>
      </c>
      <c r="G31" s="33">
        <f t="shared" si="0"/>
        <v>1218</v>
      </c>
      <c r="H31" s="33">
        <f t="shared" si="0"/>
        <v>8005</v>
      </c>
      <c r="I31" s="33">
        <f t="shared" si="0"/>
        <v>437</v>
      </c>
      <c r="J31" s="33">
        <f t="shared" si="0"/>
        <v>0</v>
      </c>
    </row>
    <row r="32" spans="1:10" s="115" customFormat="1">
      <c r="A32" s="574"/>
      <c r="B32" s="33">
        <f>SUM(B8,B10,B12,B14,B16,B18,B20,B22,B24,B26,B28,B30)</f>
        <v>106401086</v>
      </c>
      <c r="C32" s="33">
        <f t="shared" ref="C32:J32" si="1">SUM(C8,C10,C12,C14,C16,C18,C20,C22,C24,C26,C28,C30)</f>
        <v>34723047</v>
      </c>
      <c r="D32" s="33">
        <f t="shared" si="1"/>
        <v>52441058</v>
      </c>
      <c r="E32" s="33">
        <f t="shared" si="1"/>
        <v>7872184</v>
      </c>
      <c r="F32" s="33">
        <f t="shared" si="1"/>
        <v>2231539</v>
      </c>
      <c r="G32" s="33">
        <f t="shared" si="1"/>
        <v>903132</v>
      </c>
      <c r="H32" s="33">
        <f t="shared" si="1"/>
        <v>7486474</v>
      </c>
      <c r="I32" s="33">
        <f t="shared" si="1"/>
        <v>743652</v>
      </c>
      <c r="J32" s="33">
        <f t="shared" si="1"/>
        <v>0</v>
      </c>
    </row>
    <row r="33" spans="1:10" s="115" customFormat="1">
      <c r="A33" s="487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33" t="s">
        <v>461</v>
      </c>
    </row>
    <row r="35" spans="1:10">
      <c r="D35" s="478"/>
      <c r="E35" s="478"/>
      <c r="F35" s="478"/>
      <c r="G35" s="478"/>
      <c r="H35" s="478"/>
    </row>
    <row r="36" spans="1:10">
      <c r="D36" s="478"/>
      <c r="E36" s="478"/>
      <c r="F36" s="478"/>
      <c r="G36" s="478"/>
      <c r="H36" s="478"/>
    </row>
    <row r="37" spans="1:10">
      <c r="D37" s="478"/>
      <c r="F37" s="478"/>
      <c r="G37" s="478"/>
    </row>
    <row r="38" spans="1:10">
      <c r="D38" s="478"/>
      <c r="E38" s="478"/>
      <c r="G38" s="478"/>
      <c r="H38" s="478"/>
    </row>
    <row r="39" spans="1:10">
      <c r="F39" s="478"/>
      <c r="G39" s="478"/>
      <c r="H39" s="478"/>
    </row>
    <row r="40" spans="1:10">
      <c r="F40" s="478"/>
      <c r="G40" s="478"/>
      <c r="H40" s="478"/>
    </row>
    <row r="41" spans="1:10">
      <c r="G41" s="478"/>
      <c r="H41" s="478"/>
    </row>
    <row r="42" spans="1:10">
      <c r="G42" s="478"/>
      <c r="H42" s="478"/>
    </row>
    <row r="43" spans="1:10">
      <c r="G43" s="478"/>
      <c r="H43" s="478"/>
    </row>
    <row r="44" spans="1:10">
      <c r="G44" s="478"/>
      <c r="H44" s="478"/>
    </row>
    <row r="45" spans="1:10">
      <c r="G45" s="478"/>
      <c r="H45" s="478"/>
    </row>
    <row r="46" spans="1:10">
      <c r="G46" s="478"/>
      <c r="H46" s="478"/>
    </row>
    <row r="47" spans="1:10">
      <c r="G47" s="478"/>
    </row>
    <row r="48" spans="1:10">
      <c r="G48" s="478"/>
      <c r="H48" s="478"/>
    </row>
    <row r="49" spans="7:8">
      <c r="G49" s="478"/>
    </row>
    <row r="50" spans="7:8">
      <c r="G50" s="478"/>
    </row>
    <row r="51" spans="7:8">
      <c r="G51" s="478"/>
    </row>
    <row r="52" spans="7:8">
      <c r="G52" s="478"/>
    </row>
    <row r="53" spans="7:8">
      <c r="G53" s="478"/>
    </row>
    <row r="54" spans="7:8">
      <c r="G54" s="478"/>
    </row>
    <row r="55" spans="7:8">
      <c r="G55" s="478"/>
    </row>
    <row r="56" spans="7:8">
      <c r="G56" s="478"/>
    </row>
    <row r="57" spans="7:8">
      <c r="G57" s="478"/>
    </row>
    <row r="58" spans="7:8">
      <c r="G58" s="478"/>
    </row>
    <row r="59" spans="7:8">
      <c r="G59" s="478"/>
    </row>
    <row r="60" spans="7:8">
      <c r="G60" s="478"/>
    </row>
    <row r="62" spans="7:8">
      <c r="G62" s="478"/>
      <c r="H62" s="478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76" t="s">
        <v>500</v>
      </c>
      <c r="B1" s="576"/>
      <c r="C1" s="576"/>
      <c r="D1" s="576"/>
      <c r="E1" s="576"/>
      <c r="F1" s="576"/>
      <c r="G1" s="576"/>
      <c r="H1" s="576"/>
      <c r="I1" s="576"/>
    </row>
    <row r="2" spans="1:9" ht="12" customHeight="1"/>
    <row r="3" spans="1:9">
      <c r="A3" s="526" t="s">
        <v>104</v>
      </c>
      <c r="B3" s="63"/>
      <c r="C3" s="63"/>
      <c r="D3" s="170"/>
      <c r="E3" s="63"/>
      <c r="F3" s="63"/>
      <c r="G3" s="63"/>
      <c r="H3" s="63"/>
      <c r="I3" s="170"/>
    </row>
    <row r="4" spans="1:9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71" t="s">
        <v>53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8"/>
      <c r="G5" s="8" t="s">
        <v>54</v>
      </c>
      <c r="H5" s="8"/>
      <c r="I5" s="12" t="s">
        <v>3</v>
      </c>
    </row>
    <row r="6" spans="1:9">
      <c r="A6" s="172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11</v>
      </c>
      <c r="C7" s="22">
        <f>SUM(C8:C10)</f>
        <v>20904</v>
      </c>
      <c r="D7" s="23">
        <f>IF(B7,C7/B7,0)</f>
        <v>1900.3636363636363</v>
      </c>
      <c r="E7" s="21">
        <f>SUM(E8:E10)</f>
        <v>16</v>
      </c>
      <c r="F7" s="24">
        <f>E7/$E$66</f>
        <v>4.3285358727410453E-4</v>
      </c>
      <c r="G7" s="21">
        <f>SUM(G8:G10)</f>
        <v>29181</v>
      </c>
      <c r="H7" s="24">
        <f>G7/$G$66</f>
        <v>5.1760974662292498E-3</v>
      </c>
      <c r="I7" s="25">
        <f>IF(E7,G7/E7,0)</f>
        <v>1823.8125</v>
      </c>
    </row>
    <row r="8" spans="1:9">
      <c r="A8" s="26" t="s">
        <v>385</v>
      </c>
      <c r="B8" s="27">
        <f>VLOOKUP(A8,[6]進出口值表查詢結果!$B$10:$D$20,3,0)</f>
        <v>9</v>
      </c>
      <c r="C8" s="28">
        <f>VLOOKUP(A8,[6]進出口值表查詢結果!$B$10:$D$20,2,0)</f>
        <v>20556</v>
      </c>
      <c r="D8" s="23">
        <f t="shared" ref="D8:D65" si="0">IF(B8,C8/B8,0)</f>
        <v>2284</v>
      </c>
      <c r="E8" s="27">
        <f>VLOOKUP(A8,[7]進出口值表查詢結果!$B$10:$D$21,3,0)</f>
        <v>14</v>
      </c>
      <c r="F8" s="24">
        <f t="shared" ref="F8:F66" si="1">E8/$E$66</f>
        <v>3.7874688886484149E-4</v>
      </c>
      <c r="G8" s="27">
        <f>VLOOKUP(A8,[7]進出口值表查詢結果!$B$10:$D$21,2,0)</f>
        <v>28833</v>
      </c>
      <c r="H8" s="24">
        <f>G8/$G$66</f>
        <v>5.1143695638870487E-3</v>
      </c>
      <c r="I8" s="25">
        <f t="shared" ref="I8:I65" si="2">IF(E8,G8/E8,0)</f>
        <v>2059.5</v>
      </c>
    </row>
    <row r="9" spans="1:9">
      <c r="A9" s="30" t="s">
        <v>6</v>
      </c>
      <c r="B9" s="27">
        <f>VLOOKUP(A9,[6]進出口值表查詢結果!$B$10:$D$20,3,0)</f>
        <v>2</v>
      </c>
      <c r="C9" s="28">
        <f>VLOOKUP(A9,[6]進出口值表查詢結果!$B$10:$D$20,2,0)</f>
        <v>348</v>
      </c>
      <c r="D9" s="23">
        <f t="shared" si="0"/>
        <v>174</v>
      </c>
      <c r="E9" s="27">
        <f>VLOOKUP(A9,[7]進出口值表查詢結果!$B$10:$D$21,3,0)</f>
        <v>2</v>
      </c>
      <c r="F9" s="24">
        <f t="shared" si="1"/>
        <v>5.4106698409263067E-5</v>
      </c>
      <c r="G9" s="27">
        <f>VLOOKUP(A9,[7]進出口值表查詢結果!$B$10:$D$21,2,0)</f>
        <v>348</v>
      </c>
      <c r="H9" s="24">
        <f>G9/$G$66</f>
        <v>6.1727902342201393E-5</v>
      </c>
      <c r="I9" s="25">
        <f t="shared" si="2"/>
        <v>174</v>
      </c>
    </row>
    <row r="10" spans="1:9">
      <c r="A10" s="30" t="s">
        <v>7</v>
      </c>
      <c r="B10" s="27">
        <v>0</v>
      </c>
      <c r="C10" s="28">
        <f>_xlfn.IFNA(VLOOKUP(A10,[8]進!$C$3:$F$50,3,0),-[4]整車!$B$22)</f>
        <v>0</v>
      </c>
      <c r="D10" s="23">
        <f t="shared" si="0"/>
        <v>0</v>
      </c>
      <c r="E10" s="27">
        <v>0</v>
      </c>
      <c r="F10" s="24">
        <f t="shared" si="1"/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4">
        <f t="shared" si="1"/>
        <v>0</v>
      </c>
      <c r="G11" s="27"/>
      <c r="H11" s="29"/>
      <c r="I11" s="25"/>
    </row>
    <row r="12" spans="1:9">
      <c r="A12" s="32" t="s">
        <v>8</v>
      </c>
      <c r="B12" s="33">
        <f>SUM(B13:B39)</f>
        <v>12</v>
      </c>
      <c r="C12" s="33">
        <f>SUM(C13:C39)</f>
        <v>36839</v>
      </c>
      <c r="D12" s="23">
        <f t="shared" si="0"/>
        <v>3069.9166666666665</v>
      </c>
      <c r="E12" s="33">
        <f>SUM(E13:E39)</f>
        <v>28</v>
      </c>
      <c r="F12" s="24">
        <f t="shared" si="1"/>
        <v>7.5749377772968299E-4</v>
      </c>
      <c r="G12" s="33">
        <f>SUM(G13:G39)</f>
        <v>89931</v>
      </c>
      <c r="H12" s="24">
        <f t="shared" ref="H12:H39" si="3">G12/$G$66</f>
        <v>1.595187352165665E-2</v>
      </c>
      <c r="I12" s="25">
        <f t="shared" si="2"/>
        <v>3211.8214285714284</v>
      </c>
    </row>
    <row r="13" spans="1:9">
      <c r="A13" s="444" t="s">
        <v>196</v>
      </c>
      <c r="B13" s="27">
        <v>0</v>
      </c>
      <c r="C13" s="28">
        <v>0</v>
      </c>
      <c r="D13" s="23">
        <f t="shared" si="0"/>
        <v>0</v>
      </c>
      <c r="E13" s="27">
        <v>0</v>
      </c>
      <c r="F13" s="24">
        <f t="shared" si="1"/>
        <v>0</v>
      </c>
      <c r="G13" s="28">
        <v>0</v>
      </c>
      <c r="H13" s="24">
        <f t="shared" si="3"/>
        <v>0</v>
      </c>
      <c r="I13" s="25">
        <f t="shared" si="2"/>
        <v>0</v>
      </c>
    </row>
    <row r="14" spans="1:9">
      <c r="A14" s="444" t="s">
        <v>197</v>
      </c>
      <c r="B14" s="27">
        <f>VLOOKUP(A14,[6]進出口值表查詢結果!$B$10:$D$20,3,0)</f>
        <v>8</v>
      </c>
      <c r="C14" s="28">
        <f>VLOOKUP(A14,[6]進出口值表查詢結果!$B$10:$D$20,2,0)</f>
        <v>35509</v>
      </c>
      <c r="D14" s="23">
        <f t="shared" si="0"/>
        <v>4438.625</v>
      </c>
      <c r="E14" s="27">
        <f>VLOOKUP(A14,[7]進出口值表查詢結果!$B$10:$D$21,3,0)</f>
        <v>17</v>
      </c>
      <c r="F14" s="24">
        <f t="shared" si="1"/>
        <v>4.5990693647873608E-4</v>
      </c>
      <c r="G14" s="27">
        <f>VLOOKUP(A14,[7]進出口值表查詢結果!$B$10:$D$21,2,0)</f>
        <v>87047</v>
      </c>
      <c r="H14" s="24">
        <f t="shared" si="3"/>
        <v>1.5440312399947141E-2</v>
      </c>
      <c r="I14" s="25">
        <f t="shared" si="2"/>
        <v>5120.411764705882</v>
      </c>
    </row>
    <row r="15" spans="1:9">
      <c r="A15" s="445" t="s">
        <v>9</v>
      </c>
      <c r="B15" s="27">
        <v>0</v>
      </c>
      <c r="C15" s="28">
        <v>0</v>
      </c>
      <c r="D15" s="23">
        <f t="shared" si="0"/>
        <v>0</v>
      </c>
      <c r="E15" s="27">
        <v>0</v>
      </c>
      <c r="F15" s="24">
        <f t="shared" si="1"/>
        <v>0</v>
      </c>
      <c r="G15" s="28">
        <v>0</v>
      </c>
      <c r="H15" s="24">
        <f t="shared" si="3"/>
        <v>0</v>
      </c>
      <c r="I15" s="25">
        <f t="shared" si="2"/>
        <v>0</v>
      </c>
    </row>
    <row r="16" spans="1:9">
      <c r="A16" s="444" t="s">
        <v>198</v>
      </c>
      <c r="B16" s="27">
        <v>0</v>
      </c>
      <c r="C16" s="28">
        <v>0</v>
      </c>
      <c r="D16" s="23">
        <f t="shared" si="0"/>
        <v>0</v>
      </c>
      <c r="E16" s="27">
        <f>VLOOKUP(A16,[7]進出口值表查詢結果!$B$10:$D$21,3,0)</f>
        <v>1</v>
      </c>
      <c r="F16" s="24">
        <f t="shared" si="1"/>
        <v>2.7053349204631533E-5</v>
      </c>
      <c r="G16" s="27">
        <f>VLOOKUP(A16,[7]進出口值表查詢結果!$B$10:$D$21,2,0)</f>
        <v>63</v>
      </c>
      <c r="H16" s="24">
        <f t="shared" si="3"/>
        <v>1.117487887229508E-5</v>
      </c>
      <c r="I16" s="25">
        <f t="shared" si="2"/>
        <v>63</v>
      </c>
    </row>
    <row r="17" spans="1:9">
      <c r="A17" s="445" t="s">
        <v>10</v>
      </c>
      <c r="B17" s="27">
        <f>VLOOKUP(A17,[6]進出口值表查詢結果!$B$10:$D$20,3,0)</f>
        <v>4</v>
      </c>
      <c r="C17" s="28">
        <f>VLOOKUP(A17,[6]進出口值表查詢結果!$B$10:$D$20,2,0)</f>
        <v>1330</v>
      </c>
      <c r="D17" s="23">
        <f t="shared" si="0"/>
        <v>332.5</v>
      </c>
      <c r="E17" s="27">
        <f>VLOOKUP(A17,[7]進出口值表查詢結果!$B$10:$D$21,3,0)</f>
        <v>10</v>
      </c>
      <c r="F17" s="24">
        <f t="shared" si="1"/>
        <v>2.7053349204631536E-4</v>
      </c>
      <c r="G17" s="27">
        <f>VLOOKUP(A17,[7]進出口值表查詢結果!$B$10:$D$21,2,0)</f>
        <v>2821</v>
      </c>
      <c r="H17" s="24">
        <f t="shared" si="3"/>
        <v>5.0038624283721303E-4</v>
      </c>
      <c r="I17" s="25">
        <f t="shared" si="2"/>
        <v>282.10000000000002</v>
      </c>
    </row>
    <row r="18" spans="1:9">
      <c r="A18" s="445" t="s">
        <v>11</v>
      </c>
      <c r="B18" s="27">
        <v>0</v>
      </c>
      <c r="C18" s="28">
        <v>0</v>
      </c>
      <c r="D18" s="23">
        <f t="shared" si="0"/>
        <v>0</v>
      </c>
      <c r="E18" s="27">
        <v>0</v>
      </c>
      <c r="F18" s="24">
        <f t="shared" si="1"/>
        <v>0</v>
      </c>
      <c r="G18" s="28">
        <v>0</v>
      </c>
      <c r="H18" s="24">
        <f t="shared" si="3"/>
        <v>0</v>
      </c>
      <c r="I18" s="25">
        <f t="shared" si="2"/>
        <v>0</v>
      </c>
    </row>
    <row r="19" spans="1:9">
      <c r="A19" s="444" t="s">
        <v>199</v>
      </c>
      <c r="B19" s="27">
        <v>0</v>
      </c>
      <c r="C19" s="28">
        <v>0</v>
      </c>
      <c r="D19" s="23">
        <f t="shared" si="0"/>
        <v>0</v>
      </c>
      <c r="E19" s="27">
        <v>0</v>
      </c>
      <c r="F19" s="24">
        <f t="shared" si="1"/>
        <v>0</v>
      </c>
      <c r="G19" s="28">
        <v>0</v>
      </c>
      <c r="H19" s="24">
        <f t="shared" si="3"/>
        <v>0</v>
      </c>
      <c r="I19" s="25">
        <f t="shared" si="2"/>
        <v>0</v>
      </c>
    </row>
    <row r="20" spans="1:9">
      <c r="A20" s="445" t="s">
        <v>200</v>
      </c>
      <c r="B20" s="27">
        <v>0</v>
      </c>
      <c r="C20" s="28">
        <v>0</v>
      </c>
      <c r="D20" s="23">
        <f t="shared" si="0"/>
        <v>0</v>
      </c>
      <c r="E20" s="27">
        <v>0</v>
      </c>
      <c r="F20" s="24">
        <f t="shared" si="1"/>
        <v>0</v>
      </c>
      <c r="G20" s="28">
        <v>0</v>
      </c>
      <c r="H20" s="24">
        <f t="shared" si="3"/>
        <v>0</v>
      </c>
      <c r="I20" s="25">
        <f t="shared" si="2"/>
        <v>0</v>
      </c>
    </row>
    <row r="21" spans="1:9">
      <c r="A21" s="444" t="s">
        <v>201</v>
      </c>
      <c r="B21" s="27">
        <v>0</v>
      </c>
      <c r="C21" s="28">
        <v>0</v>
      </c>
      <c r="D21" s="23">
        <f t="shared" si="0"/>
        <v>0</v>
      </c>
      <c r="E21" s="27">
        <v>0</v>
      </c>
      <c r="F21" s="24">
        <f t="shared" si="1"/>
        <v>0</v>
      </c>
      <c r="G21" s="28">
        <v>0</v>
      </c>
      <c r="H21" s="24">
        <f t="shared" si="3"/>
        <v>0</v>
      </c>
      <c r="I21" s="25">
        <f t="shared" si="2"/>
        <v>0</v>
      </c>
    </row>
    <row r="22" spans="1:9">
      <c r="A22" s="445" t="s">
        <v>13</v>
      </c>
      <c r="B22" s="27">
        <v>0</v>
      </c>
      <c r="C22" s="28">
        <v>0</v>
      </c>
      <c r="D22" s="23">
        <f t="shared" si="0"/>
        <v>0</v>
      </c>
      <c r="E22" s="27">
        <v>0</v>
      </c>
      <c r="F22" s="24">
        <f t="shared" si="1"/>
        <v>0</v>
      </c>
      <c r="G22" s="28">
        <v>0</v>
      </c>
      <c r="H22" s="24">
        <f t="shared" si="3"/>
        <v>0</v>
      </c>
      <c r="I22" s="25">
        <f t="shared" si="2"/>
        <v>0</v>
      </c>
    </row>
    <row r="23" spans="1:9">
      <c r="A23" s="445" t="s">
        <v>14</v>
      </c>
      <c r="B23" s="27">
        <v>0</v>
      </c>
      <c r="C23" s="28">
        <v>0</v>
      </c>
      <c r="D23" s="23">
        <f t="shared" si="0"/>
        <v>0</v>
      </c>
      <c r="E23" s="27">
        <v>0</v>
      </c>
      <c r="F23" s="24">
        <f t="shared" si="1"/>
        <v>0</v>
      </c>
      <c r="G23" s="28">
        <v>0</v>
      </c>
      <c r="H23" s="24">
        <f t="shared" si="3"/>
        <v>0</v>
      </c>
      <c r="I23" s="25">
        <f t="shared" si="2"/>
        <v>0</v>
      </c>
    </row>
    <row r="24" spans="1:9">
      <c r="A24" s="445" t="s">
        <v>15</v>
      </c>
      <c r="B24" s="27">
        <v>0</v>
      </c>
      <c r="C24" s="28">
        <v>0</v>
      </c>
      <c r="D24" s="23">
        <f t="shared" si="0"/>
        <v>0</v>
      </c>
      <c r="E24" s="27">
        <v>0</v>
      </c>
      <c r="F24" s="24">
        <f t="shared" si="1"/>
        <v>0</v>
      </c>
      <c r="G24" s="28">
        <v>0</v>
      </c>
      <c r="H24" s="24">
        <f t="shared" si="3"/>
        <v>0</v>
      </c>
      <c r="I24" s="25">
        <f t="shared" si="2"/>
        <v>0</v>
      </c>
    </row>
    <row r="25" spans="1:9">
      <c r="A25" s="444" t="s">
        <v>202</v>
      </c>
      <c r="B25" s="27">
        <v>0</v>
      </c>
      <c r="C25" s="28">
        <v>0</v>
      </c>
      <c r="D25" s="23">
        <f t="shared" si="0"/>
        <v>0</v>
      </c>
      <c r="E25" s="27">
        <v>0</v>
      </c>
      <c r="F25" s="24">
        <f t="shared" si="1"/>
        <v>0</v>
      </c>
      <c r="G25" s="28">
        <v>0</v>
      </c>
      <c r="H25" s="24">
        <f t="shared" si="3"/>
        <v>0</v>
      </c>
      <c r="I25" s="25">
        <f t="shared" si="2"/>
        <v>0</v>
      </c>
    </row>
    <row r="26" spans="1:9">
      <c r="A26" s="444" t="s">
        <v>203</v>
      </c>
      <c r="B26" s="27">
        <v>0</v>
      </c>
      <c r="C26" s="28">
        <v>0</v>
      </c>
      <c r="D26" s="23">
        <f t="shared" si="0"/>
        <v>0</v>
      </c>
      <c r="E26" s="27">
        <v>0</v>
      </c>
      <c r="F26" s="24">
        <f t="shared" si="1"/>
        <v>0</v>
      </c>
      <c r="G26" s="28">
        <v>0</v>
      </c>
      <c r="H26" s="24">
        <f t="shared" si="3"/>
        <v>0</v>
      </c>
      <c r="I26" s="25">
        <f t="shared" si="2"/>
        <v>0</v>
      </c>
    </row>
    <row r="27" spans="1:9">
      <c r="A27" s="446" t="s">
        <v>204</v>
      </c>
      <c r="B27" s="27">
        <v>0</v>
      </c>
      <c r="C27" s="28">
        <v>0</v>
      </c>
      <c r="D27" s="23">
        <f t="shared" si="0"/>
        <v>0</v>
      </c>
      <c r="E27" s="27">
        <v>0</v>
      </c>
      <c r="F27" s="24">
        <f t="shared" si="1"/>
        <v>0</v>
      </c>
      <c r="G27" s="28">
        <v>0</v>
      </c>
      <c r="H27" s="24">
        <f t="shared" si="3"/>
        <v>0</v>
      </c>
      <c r="I27" s="25">
        <f t="shared" si="2"/>
        <v>0</v>
      </c>
    </row>
    <row r="28" spans="1:9">
      <c r="A28" s="446" t="s">
        <v>205</v>
      </c>
      <c r="B28" s="27">
        <v>0</v>
      </c>
      <c r="C28" s="28">
        <v>0</v>
      </c>
      <c r="D28" s="23">
        <f t="shared" si="0"/>
        <v>0</v>
      </c>
      <c r="E28" s="27">
        <v>0</v>
      </c>
      <c r="F28" s="24">
        <f t="shared" si="1"/>
        <v>0</v>
      </c>
      <c r="G28" s="28">
        <v>0</v>
      </c>
      <c r="H28" s="24">
        <f t="shared" si="3"/>
        <v>0</v>
      </c>
      <c r="I28" s="25">
        <f t="shared" si="2"/>
        <v>0</v>
      </c>
    </row>
    <row r="29" spans="1:9">
      <c r="A29" s="445" t="s">
        <v>206</v>
      </c>
      <c r="B29" s="27">
        <v>0</v>
      </c>
      <c r="C29" s="28">
        <v>0</v>
      </c>
      <c r="D29" s="23">
        <f t="shared" si="0"/>
        <v>0</v>
      </c>
      <c r="E29" s="27">
        <v>0</v>
      </c>
      <c r="F29" s="24">
        <f t="shared" si="1"/>
        <v>0</v>
      </c>
      <c r="G29" s="28">
        <v>0</v>
      </c>
      <c r="H29" s="24">
        <f t="shared" si="3"/>
        <v>0</v>
      </c>
      <c r="I29" s="25">
        <f t="shared" si="2"/>
        <v>0</v>
      </c>
    </row>
    <row r="30" spans="1:9">
      <c r="A30" s="445" t="s">
        <v>207</v>
      </c>
      <c r="B30" s="27">
        <v>0</v>
      </c>
      <c r="C30" s="28">
        <v>0</v>
      </c>
      <c r="D30" s="23">
        <f t="shared" si="0"/>
        <v>0</v>
      </c>
      <c r="E30" s="27">
        <v>0</v>
      </c>
      <c r="F30" s="24">
        <f t="shared" si="1"/>
        <v>0</v>
      </c>
      <c r="G30" s="28">
        <v>0</v>
      </c>
      <c r="H30" s="24">
        <f t="shared" si="3"/>
        <v>0</v>
      </c>
      <c r="I30" s="25">
        <f t="shared" si="2"/>
        <v>0</v>
      </c>
    </row>
    <row r="31" spans="1:9">
      <c r="A31" s="445" t="s">
        <v>16</v>
      </c>
      <c r="B31" s="27">
        <v>0</v>
      </c>
      <c r="C31" s="28">
        <v>0</v>
      </c>
      <c r="D31" s="23">
        <f t="shared" si="0"/>
        <v>0</v>
      </c>
      <c r="E31" s="27">
        <v>0</v>
      </c>
      <c r="F31" s="24">
        <f t="shared" si="1"/>
        <v>0</v>
      </c>
      <c r="G31" s="28">
        <v>0</v>
      </c>
      <c r="H31" s="24">
        <f t="shared" si="3"/>
        <v>0</v>
      </c>
      <c r="I31" s="25">
        <f t="shared" si="2"/>
        <v>0</v>
      </c>
    </row>
    <row r="32" spans="1:9">
      <c r="A32" s="445" t="s">
        <v>17</v>
      </c>
      <c r="B32" s="27">
        <v>0</v>
      </c>
      <c r="C32" s="28">
        <v>0</v>
      </c>
      <c r="D32" s="23">
        <f t="shared" si="0"/>
        <v>0</v>
      </c>
      <c r="E32" s="27">
        <v>0</v>
      </c>
      <c r="F32" s="24">
        <f t="shared" si="1"/>
        <v>0</v>
      </c>
      <c r="G32" s="28">
        <v>0</v>
      </c>
      <c r="H32" s="24">
        <f t="shared" si="3"/>
        <v>0</v>
      </c>
      <c r="I32" s="25">
        <f t="shared" si="2"/>
        <v>0</v>
      </c>
    </row>
    <row r="33" spans="1:9">
      <c r="A33" s="445" t="s">
        <v>208</v>
      </c>
      <c r="B33" s="27">
        <v>0</v>
      </c>
      <c r="C33" s="28">
        <v>0</v>
      </c>
      <c r="D33" s="23">
        <f t="shared" si="0"/>
        <v>0</v>
      </c>
      <c r="E33" s="27">
        <v>0</v>
      </c>
      <c r="F33" s="24">
        <f t="shared" si="1"/>
        <v>0</v>
      </c>
      <c r="G33" s="28">
        <v>0</v>
      </c>
      <c r="H33" s="24">
        <f t="shared" si="3"/>
        <v>0</v>
      </c>
      <c r="I33" s="25">
        <f t="shared" si="2"/>
        <v>0</v>
      </c>
    </row>
    <row r="34" spans="1:9">
      <c r="A34" s="445" t="s">
        <v>209</v>
      </c>
      <c r="B34" s="27">
        <v>0</v>
      </c>
      <c r="C34" s="28">
        <v>0</v>
      </c>
      <c r="D34" s="23">
        <f t="shared" si="0"/>
        <v>0</v>
      </c>
      <c r="E34" s="27">
        <v>0</v>
      </c>
      <c r="F34" s="24">
        <f t="shared" si="1"/>
        <v>0</v>
      </c>
      <c r="G34" s="28">
        <v>0</v>
      </c>
      <c r="H34" s="24">
        <f t="shared" si="3"/>
        <v>0</v>
      </c>
      <c r="I34" s="25">
        <f t="shared" si="2"/>
        <v>0</v>
      </c>
    </row>
    <row r="35" spans="1:9">
      <c r="A35" s="445" t="s">
        <v>210</v>
      </c>
      <c r="B35" s="27">
        <v>0</v>
      </c>
      <c r="C35" s="28">
        <v>0</v>
      </c>
      <c r="D35" s="23">
        <f t="shared" si="0"/>
        <v>0</v>
      </c>
      <c r="E35" s="27">
        <v>0</v>
      </c>
      <c r="F35" s="24">
        <f t="shared" si="1"/>
        <v>0</v>
      </c>
      <c r="G35" s="28">
        <v>0</v>
      </c>
      <c r="H35" s="24">
        <f t="shared" si="3"/>
        <v>0</v>
      </c>
      <c r="I35" s="25">
        <f t="shared" si="2"/>
        <v>0</v>
      </c>
    </row>
    <row r="36" spans="1:9">
      <c r="A36" s="445" t="s">
        <v>211</v>
      </c>
      <c r="B36" s="27">
        <v>0</v>
      </c>
      <c r="C36" s="28">
        <v>0</v>
      </c>
      <c r="D36" s="23">
        <f t="shared" si="0"/>
        <v>0</v>
      </c>
      <c r="E36" s="27">
        <v>0</v>
      </c>
      <c r="F36" s="24">
        <f t="shared" si="1"/>
        <v>0</v>
      </c>
      <c r="G36" s="28">
        <v>0</v>
      </c>
      <c r="H36" s="24">
        <f t="shared" si="3"/>
        <v>0</v>
      </c>
      <c r="I36" s="25">
        <f t="shared" si="2"/>
        <v>0</v>
      </c>
    </row>
    <row r="37" spans="1:9">
      <c r="A37" s="445" t="s">
        <v>212</v>
      </c>
      <c r="B37" s="27">
        <v>0</v>
      </c>
      <c r="C37" s="28">
        <v>0</v>
      </c>
      <c r="D37" s="23">
        <f t="shared" si="0"/>
        <v>0</v>
      </c>
      <c r="E37" s="27">
        <v>0</v>
      </c>
      <c r="F37" s="24">
        <f t="shared" si="1"/>
        <v>0</v>
      </c>
      <c r="G37" s="28">
        <v>0</v>
      </c>
      <c r="H37" s="24">
        <f t="shared" si="3"/>
        <v>0</v>
      </c>
      <c r="I37" s="25">
        <f t="shared" si="2"/>
        <v>0</v>
      </c>
    </row>
    <row r="38" spans="1:9">
      <c r="A38" s="445" t="s">
        <v>213</v>
      </c>
      <c r="B38" s="27">
        <v>0</v>
      </c>
      <c r="C38" s="28">
        <v>0</v>
      </c>
      <c r="D38" s="23">
        <f t="shared" si="0"/>
        <v>0</v>
      </c>
      <c r="E38" s="27">
        <v>0</v>
      </c>
      <c r="F38" s="24">
        <f t="shared" si="1"/>
        <v>0</v>
      </c>
      <c r="G38" s="28">
        <v>0</v>
      </c>
      <c r="H38" s="24">
        <f t="shared" si="3"/>
        <v>0</v>
      </c>
      <c r="I38" s="25">
        <f t="shared" si="2"/>
        <v>0</v>
      </c>
    </row>
    <row r="39" spans="1:9">
      <c r="A39" s="445" t="s">
        <v>18</v>
      </c>
      <c r="B39" s="27">
        <v>0</v>
      </c>
      <c r="C39" s="28">
        <v>0</v>
      </c>
      <c r="D39" s="23">
        <f t="shared" si="0"/>
        <v>0</v>
      </c>
      <c r="E39" s="27">
        <v>0</v>
      </c>
      <c r="F39" s="24">
        <f t="shared" si="1"/>
        <v>0</v>
      </c>
      <c r="G39" s="28">
        <v>0</v>
      </c>
      <c r="H39" s="24">
        <f t="shared" si="3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>
        <f t="shared" si="1"/>
        <v>0</v>
      </c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0</v>
      </c>
      <c r="F41" s="24">
        <f t="shared" si="1"/>
        <v>0</v>
      </c>
      <c r="G41" s="33">
        <f>SUM(G42:G45)</f>
        <v>0</v>
      </c>
      <c r="H41" s="24">
        <f>G41/$G$66</f>
        <v>0</v>
      </c>
      <c r="I41" s="25">
        <f t="shared" si="2"/>
        <v>0</v>
      </c>
    </row>
    <row r="42" spans="1:9">
      <c r="A42" s="26" t="s">
        <v>214</v>
      </c>
      <c r="B42" s="27">
        <v>0</v>
      </c>
      <c r="C42" s="28">
        <v>0</v>
      </c>
      <c r="D42" s="23">
        <f t="shared" si="0"/>
        <v>0</v>
      </c>
      <c r="E42" s="28">
        <v>0</v>
      </c>
      <c r="F42" s="24">
        <f t="shared" si="1"/>
        <v>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215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f t="shared" si="1"/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216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f t="shared" si="1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f t="shared" si="1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4">
        <f t="shared" si="1"/>
        <v>0</v>
      </c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14975</v>
      </c>
      <c r="C47" s="33">
        <f>SUM(C48:C64)</f>
        <v>1554404</v>
      </c>
      <c r="D47" s="23">
        <f t="shared" si="0"/>
        <v>103.79993322203673</v>
      </c>
      <c r="E47" s="33">
        <f>SUM(E48:E64)</f>
        <v>36599</v>
      </c>
      <c r="F47" s="24">
        <f t="shared" si="1"/>
        <v>0.99012552754030947</v>
      </c>
      <c r="G47" s="33">
        <f>SUM(G48:G64)</f>
        <v>4276254</v>
      </c>
      <c r="H47" s="24">
        <f t="shared" ref="H47:H66" si="4">G47/$G$66</f>
        <v>0.75851778535186232</v>
      </c>
      <c r="I47" s="25">
        <f t="shared" si="2"/>
        <v>116.84073335337031</v>
      </c>
    </row>
    <row r="48" spans="1:9" ht="16.899999999999999" customHeight="1">
      <c r="A48" s="476" t="s">
        <v>157</v>
      </c>
      <c r="B48" s="27">
        <f>VLOOKUP(A48,[6]進出口值表查詢結果!$B$10:$D$20,3,0)</f>
        <v>1</v>
      </c>
      <c r="C48" s="28">
        <f>VLOOKUP(A48,[6]進出口值表查詢結果!$B$10:$D$20,2,0)</f>
        <v>25</v>
      </c>
      <c r="D48" s="23">
        <f t="shared" si="0"/>
        <v>25</v>
      </c>
      <c r="E48" s="27">
        <f>VLOOKUP(A48,[7]進出口值表查詢結果!$B$10:$D$21,3,0)</f>
        <v>2</v>
      </c>
      <c r="F48" s="24">
        <f t="shared" si="1"/>
        <v>5.4106698409263067E-5</v>
      </c>
      <c r="G48" s="27">
        <f>VLOOKUP(A48,[7]進出口值表查詢結果!$B$10:$D$21,2,0)</f>
        <v>57</v>
      </c>
      <c r="H48" s="24">
        <f t="shared" si="4"/>
        <v>1.0110604693981263E-5</v>
      </c>
      <c r="I48" s="25">
        <f t="shared" si="2"/>
        <v>28.5</v>
      </c>
    </row>
    <row r="49" spans="1:9">
      <c r="A49" s="26" t="s">
        <v>217</v>
      </c>
      <c r="B49" s="27">
        <f>VLOOKUP(A49,[6]進出口值表查詢結果!$B$10:$D$20,3,0)</f>
        <v>8</v>
      </c>
      <c r="C49" s="28">
        <f>VLOOKUP(A49,[6]進出口值表查詢結果!$B$10:$D$20,2,0)</f>
        <v>1926</v>
      </c>
      <c r="D49" s="23">
        <f t="shared" si="0"/>
        <v>240.75</v>
      </c>
      <c r="E49" s="27">
        <f>VLOOKUP(A49,[7]進出口值表查詢結果!$B$10:$D$21,3,0)</f>
        <v>25</v>
      </c>
      <c r="F49" s="24">
        <f t="shared" si="1"/>
        <v>6.7633373011578835E-4</v>
      </c>
      <c r="G49" s="27">
        <f>VLOOKUP(A49,[7]進出口值表查詢結果!$B$10:$D$21,2,0)</f>
        <v>5479</v>
      </c>
      <c r="H49" s="24">
        <f t="shared" si="4"/>
        <v>9.7185970383023405E-4</v>
      </c>
      <c r="I49" s="25">
        <f t="shared" si="2"/>
        <v>219.16</v>
      </c>
    </row>
    <row r="50" spans="1:9">
      <c r="A50" s="457" t="s">
        <v>218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f t="shared" si="1"/>
        <v>0</v>
      </c>
      <c r="G50" s="27">
        <v>0</v>
      </c>
      <c r="H50" s="24">
        <f t="shared" si="4"/>
        <v>0</v>
      </c>
      <c r="I50" s="25">
        <f t="shared" si="2"/>
        <v>0</v>
      </c>
    </row>
    <row r="51" spans="1:9">
      <c r="A51" s="26" t="s">
        <v>219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f t="shared" si="1"/>
        <v>0</v>
      </c>
      <c r="G51" s="27">
        <v>0</v>
      </c>
      <c r="H51" s="24">
        <f t="shared" si="4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f t="shared" si="1"/>
        <v>0</v>
      </c>
      <c r="G52" s="27">
        <v>0</v>
      </c>
      <c r="H52" s="24">
        <f t="shared" si="4"/>
        <v>0</v>
      </c>
      <c r="I52" s="25">
        <f t="shared" si="2"/>
        <v>0</v>
      </c>
    </row>
    <row r="53" spans="1:9">
      <c r="A53" s="26" t="s">
        <v>220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f t="shared" si="1"/>
        <v>0</v>
      </c>
      <c r="G53" s="27">
        <v>0</v>
      </c>
      <c r="H53" s="24">
        <f t="shared" si="4"/>
        <v>0</v>
      </c>
      <c r="I53" s="25">
        <f t="shared" si="2"/>
        <v>0</v>
      </c>
    </row>
    <row r="54" spans="1:9">
      <c r="A54" s="30" t="s">
        <v>107</v>
      </c>
      <c r="B54" s="27">
        <v>0</v>
      </c>
      <c r="C54" s="28">
        <v>0</v>
      </c>
      <c r="D54" s="23">
        <f t="shared" si="0"/>
        <v>0</v>
      </c>
      <c r="E54" s="28">
        <v>0</v>
      </c>
      <c r="F54" s="24">
        <f t="shared" si="1"/>
        <v>0</v>
      </c>
      <c r="G54" s="27">
        <v>0</v>
      </c>
      <c r="H54" s="24">
        <f t="shared" si="4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f t="shared" si="1"/>
        <v>0</v>
      </c>
      <c r="G55" s="27">
        <v>0</v>
      </c>
      <c r="H55" s="24">
        <f t="shared" si="4"/>
        <v>0</v>
      </c>
      <c r="I55" s="25">
        <f t="shared" si="2"/>
        <v>0</v>
      </c>
    </row>
    <row r="56" spans="1:9">
      <c r="A56" s="287" t="s">
        <v>225</v>
      </c>
      <c r="B56" s="27">
        <v>0</v>
      </c>
      <c r="C56" s="28">
        <v>0</v>
      </c>
      <c r="D56" s="23">
        <f t="shared" si="0"/>
        <v>0</v>
      </c>
      <c r="E56" s="28">
        <v>0</v>
      </c>
      <c r="F56" s="24">
        <f t="shared" si="1"/>
        <v>0</v>
      </c>
      <c r="G56" s="27">
        <v>0</v>
      </c>
      <c r="H56" s="24">
        <f t="shared" si="4"/>
        <v>0</v>
      </c>
      <c r="I56" s="25">
        <f t="shared" si="2"/>
        <v>0</v>
      </c>
    </row>
    <row r="57" spans="1:9">
      <c r="A57" s="37" t="s">
        <v>223</v>
      </c>
      <c r="B57" s="27">
        <v>0</v>
      </c>
      <c r="C57" s="28">
        <v>0</v>
      </c>
      <c r="D57" s="23">
        <f t="shared" si="0"/>
        <v>0</v>
      </c>
      <c r="E57" s="28">
        <v>0</v>
      </c>
      <c r="F57" s="24">
        <f t="shared" si="1"/>
        <v>0</v>
      </c>
      <c r="G57" s="27">
        <v>0</v>
      </c>
      <c r="H57" s="24">
        <f t="shared" si="4"/>
        <v>0</v>
      </c>
      <c r="I57" s="25">
        <f t="shared" si="2"/>
        <v>0</v>
      </c>
    </row>
    <row r="58" spans="1:9">
      <c r="A58" s="37" t="s">
        <v>386</v>
      </c>
      <c r="B58" s="27">
        <f>VLOOKUP(A58,[6]進出口值表查詢結果!$B$10:$D$20,3,0)</f>
        <v>18</v>
      </c>
      <c r="C58" s="28">
        <f>VLOOKUP(A58,[6]進出口值表查詢結果!$B$10:$D$20,2,0)</f>
        <v>14380</v>
      </c>
      <c r="D58" s="23">
        <f t="shared" si="0"/>
        <v>798.88888888888891</v>
      </c>
      <c r="E58" s="27">
        <f>VLOOKUP(A58,[7]進出口值表查詢結果!$B$10:$D$21,3,0)</f>
        <v>246</v>
      </c>
      <c r="F58" s="24">
        <f t="shared" si="1"/>
        <v>6.6551239043393575E-3</v>
      </c>
      <c r="G58" s="27">
        <f>VLOOKUP(A58,[7]進出口值表查詢結果!$B$10:$D$21,2,0)</f>
        <v>184948</v>
      </c>
      <c r="H58" s="24">
        <f t="shared" si="4"/>
        <v>3.2805896788463976E-2</v>
      </c>
      <c r="I58" s="25">
        <f t="shared" si="2"/>
        <v>751.82113821138216</v>
      </c>
    </row>
    <row r="59" spans="1:9">
      <c r="A59" s="37" t="s">
        <v>108</v>
      </c>
      <c r="B59" s="27">
        <f>VLOOKUP(A59,[6]進出口值表查詢結果!$B$10:$D$20,3,0)</f>
        <v>28</v>
      </c>
      <c r="C59" s="28">
        <f>VLOOKUP(A59,[6]進出口值表查詢結果!$B$10:$D$20,2,0)</f>
        <v>28096</v>
      </c>
      <c r="D59" s="23">
        <f t="shared" si="0"/>
        <v>1003.4285714285714</v>
      </c>
      <c r="E59" s="27">
        <f>VLOOKUP(A59,[7]進出口值表查詢結果!$B$10:$D$21,3,0)</f>
        <v>29</v>
      </c>
      <c r="F59" s="24">
        <f t="shared" si="1"/>
        <v>7.8454712693431443E-4</v>
      </c>
      <c r="G59" s="27">
        <f>VLOOKUP(A59,[7]進出口值表查詢結果!$B$10:$D$21,2,0)</f>
        <v>28921</v>
      </c>
      <c r="H59" s="24">
        <f t="shared" si="4"/>
        <v>5.1299789185023179E-3</v>
      </c>
      <c r="I59" s="25">
        <f t="shared" si="2"/>
        <v>997.27586206896547</v>
      </c>
    </row>
    <row r="60" spans="1:9">
      <c r="A60" s="37" t="s">
        <v>109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f t="shared" si="1"/>
        <v>0</v>
      </c>
      <c r="G60" s="27">
        <v>0</v>
      </c>
      <c r="H60" s="24">
        <f t="shared" si="4"/>
        <v>0</v>
      </c>
      <c r="I60" s="25">
        <f t="shared" si="2"/>
        <v>0</v>
      </c>
    </row>
    <row r="61" spans="1:9">
      <c r="A61" s="37" t="s">
        <v>110</v>
      </c>
      <c r="B61" s="27">
        <f>VLOOKUP(A61,[6]進出口值表查詢結果!$B$10:$D$20,3,0)</f>
        <v>14920</v>
      </c>
      <c r="C61" s="28">
        <f>VLOOKUP(A61,[6]進出口值表查詢結果!$B$10:$D$20,2,0)</f>
        <v>1509977</v>
      </c>
      <c r="D61" s="23">
        <f t="shared" si="0"/>
        <v>101.20489276139411</v>
      </c>
      <c r="E61" s="27">
        <f>VLOOKUP(A61,[7]進出口值表查詢結果!$B$10:$D$21,3,0)</f>
        <v>36297</v>
      </c>
      <c r="F61" s="24">
        <f t="shared" si="1"/>
        <v>0.98195541608051073</v>
      </c>
      <c r="G61" s="27">
        <f>VLOOKUP(A61,[7]進出口值表查詢結果!$B$10:$D$21,2,0)</f>
        <v>4056849</v>
      </c>
      <c r="H61" s="24">
        <f t="shared" si="4"/>
        <v>0.71959993933637179</v>
      </c>
      <c r="I61" s="25">
        <f t="shared" si="2"/>
        <v>111.76816265807092</v>
      </c>
    </row>
    <row r="62" spans="1:9">
      <c r="A62" s="37" t="s">
        <v>387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f t="shared" si="1"/>
        <v>0</v>
      </c>
      <c r="G62" s="27">
        <v>0</v>
      </c>
      <c r="H62" s="24">
        <f t="shared" si="4"/>
        <v>0</v>
      </c>
      <c r="I62" s="25">
        <f t="shared" si="2"/>
        <v>0</v>
      </c>
    </row>
    <row r="63" spans="1:9">
      <c r="A63" s="37" t="s">
        <v>388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f t="shared" si="1"/>
        <v>0</v>
      </c>
      <c r="G63" s="27">
        <v>0</v>
      </c>
      <c r="H63" s="24">
        <f t="shared" si="4"/>
        <v>0</v>
      </c>
      <c r="I63" s="25">
        <f t="shared" si="2"/>
        <v>0</v>
      </c>
    </row>
    <row r="64" spans="1:9">
      <c r="A64" s="37" t="s">
        <v>389</v>
      </c>
      <c r="B64" s="27">
        <v>0</v>
      </c>
      <c r="C64" s="28">
        <v>0</v>
      </c>
      <c r="D64" s="23">
        <f t="shared" si="0"/>
        <v>0</v>
      </c>
      <c r="E64" s="28">
        <v>0</v>
      </c>
      <c r="F64" s="24">
        <f t="shared" si="1"/>
        <v>0</v>
      </c>
      <c r="G64" s="27">
        <v>0</v>
      </c>
      <c r="H64" s="24">
        <f t="shared" si="4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6</v>
      </c>
      <c r="C65" s="27">
        <f>C66-C47-C41-C12-C7</f>
        <v>22900</v>
      </c>
      <c r="D65" s="23">
        <f t="shared" si="0"/>
        <v>3816.6666666666665</v>
      </c>
      <c r="E65" s="27">
        <f>E66-E47-E41-E12-E7</f>
        <v>321</v>
      </c>
      <c r="F65" s="24">
        <f t="shared" si="1"/>
        <v>8.6841250946867229E-3</v>
      </c>
      <c r="G65" s="27">
        <f>G66-G47-G41-G12-G7</f>
        <v>1242279</v>
      </c>
      <c r="H65" s="24">
        <f t="shared" si="4"/>
        <v>0.22035424366025175</v>
      </c>
      <c r="I65" s="25">
        <f t="shared" si="2"/>
        <v>3870.0280373831774</v>
      </c>
    </row>
    <row r="66" spans="1:9">
      <c r="A66" s="32" t="s">
        <v>398</v>
      </c>
      <c r="B66" s="27">
        <f>VLOOKUP(A66,[6]進出口值表查詢結果!$B$10:$D$20,3,0)</f>
        <v>15004</v>
      </c>
      <c r="C66" s="28">
        <f>VLOOKUP(A66,[6]進出口值表查詢結果!$B$10:$D$20,2,0)</f>
        <v>1635047</v>
      </c>
      <c r="D66" s="52">
        <f t="shared" ref="D66" si="5">C66/B66</f>
        <v>108.97407358037857</v>
      </c>
      <c r="E66" s="27">
        <f>VLOOKUP(A66,[7]進出口值表查詢結果!$B$10:$D$21,3,0)</f>
        <v>36964</v>
      </c>
      <c r="F66" s="24">
        <f t="shared" si="1"/>
        <v>1</v>
      </c>
      <c r="G66" s="27">
        <f>VLOOKUP(A66,[7]進出口值表查詢結果!$B$10:$D$21,2,0)</f>
        <v>5637645</v>
      </c>
      <c r="H66" s="532">
        <f t="shared" si="4"/>
        <v>1</v>
      </c>
      <c r="I66" s="52">
        <f>G66/E66</f>
        <v>152.51717887674494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148</v>
      </c>
      <c r="B68" s="102"/>
      <c r="C68" s="102"/>
      <c r="D68" s="173"/>
      <c r="E68" s="102"/>
      <c r="F68" s="174"/>
      <c r="G68" s="102"/>
      <c r="H68" s="174"/>
      <c r="I68" s="175"/>
    </row>
    <row r="69" spans="1:9">
      <c r="A69" s="8" t="s">
        <v>480</v>
      </c>
      <c r="B69" s="8" t="s">
        <v>415</v>
      </c>
      <c r="C69" s="8" t="s">
        <v>416</v>
      </c>
      <c r="D69" s="9" t="s">
        <v>0</v>
      </c>
      <c r="E69" s="10" t="s">
        <v>417</v>
      </c>
      <c r="F69" s="45" t="s">
        <v>1</v>
      </c>
      <c r="G69" s="8" t="s">
        <v>418</v>
      </c>
      <c r="H69" s="45" t="s">
        <v>1</v>
      </c>
      <c r="I69" s="495" t="s">
        <v>111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51"/>
      <c r="G70" s="50" t="s">
        <v>3</v>
      </c>
      <c r="H70" s="51"/>
      <c r="I70" s="43" t="s">
        <v>3</v>
      </c>
    </row>
    <row r="71" spans="1:9">
      <c r="A71" s="32" t="s">
        <v>30</v>
      </c>
      <c r="B71" s="27"/>
      <c r="C71" s="27"/>
      <c r="D71" s="505" t="e">
        <f>C71/B71</f>
        <v>#DIV/0!</v>
      </c>
      <c r="E71" s="27"/>
      <c r="F71" s="53">
        <v>1</v>
      </c>
      <c r="G71" s="27"/>
      <c r="H71" s="53">
        <v>1</v>
      </c>
      <c r="I71" s="52" t="e">
        <f>G71/E71</f>
        <v>#DIV/0!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460</v>
      </c>
      <c r="B73" s="13"/>
      <c r="C73" s="168"/>
      <c r="D73" s="176"/>
      <c r="E73" s="13"/>
      <c r="F73" s="13"/>
      <c r="G73" s="169"/>
      <c r="H73" s="13"/>
      <c r="I73" s="177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5.25" style="5" customWidth="1"/>
    <col min="3" max="3" width="16.375" style="5" customWidth="1"/>
    <col min="4" max="4" width="13.875" style="5" customWidth="1"/>
    <col min="5" max="5" width="14.625" style="5" customWidth="1"/>
    <col min="6" max="6" width="11" style="5" customWidth="1"/>
    <col min="7" max="7" width="16.375" style="5" customWidth="1"/>
    <col min="8" max="8" width="10.8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501</v>
      </c>
      <c r="B1" s="1"/>
      <c r="C1" s="1"/>
      <c r="D1" s="1"/>
      <c r="E1" s="2"/>
      <c r="F1" s="2"/>
      <c r="G1" s="2"/>
      <c r="H1" s="2"/>
      <c r="I1" s="2"/>
    </row>
    <row r="2" spans="1:9" ht="13.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5" customFormat="1" ht="21.75">
      <c r="A3" s="211" t="s">
        <v>151</v>
      </c>
      <c r="B3" s="212"/>
      <c r="C3" s="212"/>
      <c r="D3" s="212"/>
      <c r="E3" s="213"/>
      <c r="F3" s="213"/>
      <c r="G3" s="213"/>
      <c r="H3" s="213"/>
      <c r="I3" s="214"/>
    </row>
    <row r="4" spans="1:9" s="215" customFormat="1" ht="21.75">
      <c r="A4" s="216" t="s">
        <v>155</v>
      </c>
      <c r="B4" s="217"/>
      <c r="C4" s="217"/>
      <c r="D4" s="217"/>
      <c r="E4" s="218"/>
      <c r="F4" s="218"/>
      <c r="G4" s="218"/>
      <c r="H4" s="218"/>
      <c r="I4" s="219"/>
    </row>
    <row r="5" spans="1:9" s="223" customFormat="1">
      <c r="A5" s="8" t="s">
        <v>502</v>
      </c>
      <c r="B5" s="8" t="s">
        <v>488</v>
      </c>
      <c r="C5" s="8" t="s">
        <v>489</v>
      </c>
      <c r="D5" s="9" t="s">
        <v>0</v>
      </c>
      <c r="E5" s="10" t="s">
        <v>490</v>
      </c>
      <c r="F5" s="11" t="s">
        <v>1</v>
      </c>
      <c r="G5" s="8" t="s">
        <v>491</v>
      </c>
      <c r="H5" s="222" t="s">
        <v>1</v>
      </c>
      <c r="I5" s="221" t="s">
        <v>0</v>
      </c>
    </row>
    <row r="6" spans="1:9" s="223" customFormat="1">
      <c r="A6" s="224"/>
      <c r="B6" s="225" t="s">
        <v>2</v>
      </c>
      <c r="C6" s="226" t="s">
        <v>3</v>
      </c>
      <c r="D6" s="224" t="s">
        <v>3</v>
      </c>
      <c r="E6" s="222" t="s">
        <v>2</v>
      </c>
      <c r="F6" s="222"/>
      <c r="G6" s="220" t="s">
        <v>3</v>
      </c>
      <c r="H6" s="220"/>
      <c r="I6" s="221" t="s">
        <v>3</v>
      </c>
    </row>
    <row r="7" spans="1:9" s="223" customFormat="1">
      <c r="A7" s="227" t="s">
        <v>4</v>
      </c>
      <c r="B7" s="228"/>
      <c r="C7" s="229"/>
      <c r="D7" s="227"/>
      <c r="E7" s="230"/>
      <c r="F7" s="231"/>
      <c r="G7" s="231"/>
      <c r="H7" s="231"/>
      <c r="I7" s="232"/>
    </row>
    <row r="8" spans="1:9" s="223" customFormat="1">
      <c r="A8" s="233" t="s">
        <v>5</v>
      </c>
      <c r="B8" s="234">
        <f>SUM(B9:B11)</f>
        <v>6291</v>
      </c>
      <c r="C8" s="235">
        <f>SUM(C9:C11)</f>
        <v>15328094</v>
      </c>
      <c r="D8" s="236">
        <f>IF(B8,C8/B8,0)</f>
        <v>2436.5115243999362</v>
      </c>
      <c r="E8" s="234">
        <f>SUM(E9:E11)</f>
        <v>10029</v>
      </c>
      <c r="F8" s="237">
        <f>E8/E64</f>
        <v>0.21044127830119394</v>
      </c>
      <c r="G8" s="235">
        <f>SUM(G9:G11)</f>
        <v>24613028</v>
      </c>
      <c r="H8" s="237">
        <f>G8/G64</f>
        <v>0.27562020298156825</v>
      </c>
      <c r="I8" s="238">
        <f>IF(E8,G8/E8,0)</f>
        <v>2454.185661581414</v>
      </c>
    </row>
    <row r="9" spans="1:9" s="223" customFormat="1">
      <c r="A9" s="239" t="s">
        <v>158</v>
      </c>
      <c r="B9" s="240">
        <f>VLOOKUP(A9,[9]進出口值表查詢結果!$B$10:$D$44,3,0)</f>
        <v>5417</v>
      </c>
      <c r="C9" s="240">
        <f>VLOOKUP(A9,[9]進出口值表查詢結果!$B$10:$D$44,2,0)</f>
        <v>13172886</v>
      </c>
      <c r="D9" s="236">
        <f t="shared" ref="D9:D63" si="0">IF(B9,C9/B9,0)</f>
        <v>2431.7677681373452</v>
      </c>
      <c r="E9" s="240">
        <f>VLOOKUP(A9,[10]進出口值表查詢結果!$B$10:$D$47,3,0)</f>
        <v>8665</v>
      </c>
      <c r="F9" s="237">
        <f>E9/E64</f>
        <v>0.18182008938875716</v>
      </c>
      <c r="G9" s="240">
        <f>VLOOKUP(A9,[10]進出口值表查詢結果!$B$10:$D$47,2,0)</f>
        <v>21327787</v>
      </c>
      <c r="H9" s="237">
        <f>G9/G64</f>
        <v>0.23883160503809822</v>
      </c>
      <c r="I9" s="238">
        <f t="shared" ref="I9:I63" si="1">IF(E9,G9/E9,0)</f>
        <v>2461.3718407386036</v>
      </c>
    </row>
    <row r="10" spans="1:9" s="223" customFormat="1">
      <c r="A10" s="37" t="s">
        <v>6</v>
      </c>
      <c r="B10" s="240">
        <f>VLOOKUP(A10,[9]進出口值表查詢結果!$B$10:$D$44,3,0)</f>
        <v>843</v>
      </c>
      <c r="C10" s="240">
        <f>VLOOKUP(A10,[9]進出口值表查詢結果!$B$10:$D$44,2,0)</f>
        <v>2013935</v>
      </c>
      <c r="D10" s="236">
        <f t="shared" si="0"/>
        <v>2389.009489916963</v>
      </c>
      <c r="E10" s="240">
        <f>VLOOKUP(A10,[10]進出口值表查詢結果!$B$10:$D$47,3,0)</f>
        <v>1285</v>
      </c>
      <c r="F10" s="237">
        <f>E10/E64</f>
        <v>2.6963510082464275E-2</v>
      </c>
      <c r="G10" s="240">
        <f>VLOOKUP(A10,[10]進出口值表查詢結果!$B$10:$D$47,2,0)</f>
        <v>2950279</v>
      </c>
      <c r="H10" s="237">
        <f>G10/G64</f>
        <v>3.3037645625408549E-2</v>
      </c>
      <c r="I10" s="238">
        <f t="shared" si="1"/>
        <v>2295.9369649805449</v>
      </c>
    </row>
    <row r="11" spans="1:9" s="223" customFormat="1">
      <c r="A11" s="37" t="s">
        <v>7</v>
      </c>
      <c r="B11" s="240">
        <f>VLOOKUP(A11,[9]進出口值表查詢結果!$B$10:$D$44,3,0)</f>
        <v>31</v>
      </c>
      <c r="C11" s="240">
        <f>VLOOKUP(A11,[9]進出口值表查詢結果!$B$10:$D$44,2,0)</f>
        <v>141273</v>
      </c>
      <c r="D11" s="236">
        <f t="shared" si="0"/>
        <v>4557.1935483870966</v>
      </c>
      <c r="E11" s="240">
        <f>VLOOKUP(A11,[10]進出口值表查詢結果!$B$10:$D$47,3,0)</f>
        <v>79</v>
      </c>
      <c r="F11" s="237">
        <f>E11/E64</f>
        <v>1.6576788299725118E-3</v>
      </c>
      <c r="G11" s="240">
        <f>VLOOKUP(A11,[10]進出口值表查詢結果!$B$10:$D$47,2,0)</f>
        <v>334962</v>
      </c>
      <c r="H11" s="237">
        <f>G11/G64</f>
        <v>3.7509523180614779E-3</v>
      </c>
      <c r="I11" s="238">
        <f t="shared" si="1"/>
        <v>4240.0253164556962</v>
      </c>
    </row>
    <row r="12" spans="1:9" s="223" customFormat="1">
      <c r="A12" s="37"/>
      <c r="B12" s="34"/>
      <c r="C12" s="34"/>
      <c r="D12" s="236"/>
      <c r="E12" s="241"/>
      <c r="F12" s="242"/>
      <c r="G12" s="241"/>
      <c r="H12" s="242"/>
      <c r="I12" s="238"/>
    </row>
    <row r="13" spans="1:9" s="223" customFormat="1">
      <c r="A13" s="243" t="s">
        <v>8</v>
      </c>
      <c r="B13" s="244">
        <f>SUM(B14:B40)</f>
        <v>15684</v>
      </c>
      <c r="C13" s="244">
        <f>SUM(C14:C40)</f>
        <v>26652424</v>
      </c>
      <c r="D13" s="236">
        <f t="shared" si="0"/>
        <v>1699.3384340729406</v>
      </c>
      <c r="E13" s="244">
        <f>SUM(E14:E40)</f>
        <v>30407</v>
      </c>
      <c r="F13" s="237">
        <f>E13/E64</f>
        <v>0.63803848332878699</v>
      </c>
      <c r="G13" s="244">
        <f>SUM(G14:G40)</f>
        <v>49308374</v>
      </c>
      <c r="H13" s="237">
        <f>G13/G64</f>
        <v>0.55216221468447857</v>
      </c>
      <c r="I13" s="238">
        <f t="shared" si="1"/>
        <v>1621.6125892064326</v>
      </c>
    </row>
    <row r="14" spans="1:9" s="223" customFormat="1">
      <c r="A14" s="239" t="s">
        <v>243</v>
      </c>
      <c r="B14" s="240">
        <f>VLOOKUP(A14,[9]進出口值表查詢結果!$B$10:$D$44,3,0)</f>
        <v>12055</v>
      </c>
      <c r="C14" s="240">
        <f>VLOOKUP(A14,[9]進出口值表查詢結果!$B$10:$D$44,2,0)</f>
        <v>19957304</v>
      </c>
      <c r="D14" s="236">
        <f t="shared" si="0"/>
        <v>1655.5208627125674</v>
      </c>
      <c r="E14" s="240">
        <f>VLOOKUP(A14,[10]進出口值表查詢結果!$B$10:$D$47,3,0)</f>
        <v>19784</v>
      </c>
      <c r="F14" s="237">
        <f>E14/E64</f>
        <v>0.415133138888306</v>
      </c>
      <c r="G14" s="240">
        <f>VLOOKUP(A14,[10]進出口值表查詢結果!$B$10:$D$47,2,0)</f>
        <v>34112745</v>
      </c>
      <c r="H14" s="237">
        <f>G14/G64</f>
        <v>0.38199939077623757</v>
      </c>
      <c r="I14" s="238">
        <f t="shared" si="1"/>
        <v>1724.2592498989081</v>
      </c>
    </row>
    <row r="15" spans="1:9" s="223" customFormat="1">
      <c r="A15" s="239" t="s">
        <v>244</v>
      </c>
      <c r="B15" s="240">
        <f>VLOOKUP(A15,[9]進出口值表查詢結果!$B$10:$D$44,3,0)</f>
        <v>1241</v>
      </c>
      <c r="C15" s="240">
        <f>VLOOKUP(A15,[9]進出口值表查詢結果!$B$10:$D$44,2,0)</f>
        <v>2782862</v>
      </c>
      <c r="D15" s="236">
        <f t="shared" si="0"/>
        <v>2242.4351329572924</v>
      </c>
      <c r="E15" s="240">
        <f>VLOOKUP(A15,[10]進出口值表查詢結果!$B$10:$D$47,3,0)</f>
        <v>6685</v>
      </c>
      <c r="F15" s="237">
        <f>E15/E64</f>
        <v>0.14027320225780054</v>
      </c>
      <c r="G15" s="240">
        <f>VLOOKUP(A15,[10]進出口值表查詢結果!$B$10:$D$47,2,0)</f>
        <v>8631769</v>
      </c>
      <c r="H15" s="237">
        <f>G15/G64</f>
        <v>9.6659782123110091E-2</v>
      </c>
      <c r="I15" s="238">
        <f t="shared" si="1"/>
        <v>1291.2145100972325</v>
      </c>
    </row>
    <row r="16" spans="1:9" s="223" customFormat="1">
      <c r="A16" s="37" t="s">
        <v>9</v>
      </c>
      <c r="B16" s="240">
        <f>VLOOKUP(A16,[9]進出口值表查詢結果!$B$10:$D$44,3,0)</f>
        <v>359</v>
      </c>
      <c r="C16" s="240">
        <f>VLOOKUP(A16,[9]進出口值表查詢結果!$B$10:$D$44,2,0)</f>
        <v>733925</v>
      </c>
      <c r="D16" s="236">
        <f t="shared" si="0"/>
        <v>2044.3593314763232</v>
      </c>
      <c r="E16" s="240">
        <f>VLOOKUP(A16,[10]進出口值表查詢結果!$B$10:$D$47,3,0)</f>
        <v>468</v>
      </c>
      <c r="F16" s="237">
        <f>E16/E64</f>
        <v>9.8201733218624757E-3</v>
      </c>
      <c r="G16" s="240">
        <f>VLOOKUP(A16,[10]進出口值表查詢結果!$B$10:$D$47,2,0)</f>
        <v>1021873</v>
      </c>
      <c r="H16" s="237">
        <f>G16/G64</f>
        <v>1.1443079806409195E-2</v>
      </c>
      <c r="I16" s="238">
        <f t="shared" si="1"/>
        <v>2183.4893162393164</v>
      </c>
    </row>
    <row r="17" spans="1:9" s="223" customFormat="1">
      <c r="A17" s="239" t="s">
        <v>245</v>
      </c>
      <c r="B17" s="240">
        <f>VLOOKUP(A17,[9]進出口值表查詢結果!$B$10:$D$44,3,0)</f>
        <v>309</v>
      </c>
      <c r="C17" s="240">
        <f>VLOOKUP(A17,[9]進出口值表查詢結果!$B$10:$D$44,2,0)</f>
        <v>913241</v>
      </c>
      <c r="D17" s="236">
        <f t="shared" si="0"/>
        <v>2955.4724919093851</v>
      </c>
      <c r="E17" s="240">
        <f>VLOOKUP(A17,[10]進出口值表查詢結果!$B$10:$D$47,3,0)</f>
        <v>405</v>
      </c>
      <c r="F17" s="237">
        <f>E17/E64</f>
        <v>8.4982269131502197E-3</v>
      </c>
      <c r="G17" s="240">
        <f>VLOOKUP(A17,[10]進出口值表查詢結果!$B$10:$D$47,2,0)</f>
        <v>1215683</v>
      </c>
      <c r="H17" s="237">
        <f>G17/G64</f>
        <v>1.3613391867966909E-2</v>
      </c>
      <c r="I17" s="238">
        <f t="shared" si="1"/>
        <v>3001.6864197530863</v>
      </c>
    </row>
    <row r="18" spans="1:9" s="223" customFormat="1">
      <c r="A18" s="37" t="s">
        <v>10</v>
      </c>
      <c r="B18" s="240">
        <f>VLOOKUP(A18,[9]進出口值表查詢結果!$B$10:$D$44,3,0)</f>
        <v>307</v>
      </c>
      <c r="C18" s="240">
        <f>VLOOKUP(A18,[9]進出口值表查詢結果!$B$10:$D$44,2,0)</f>
        <v>781343</v>
      </c>
      <c r="D18" s="236">
        <f t="shared" si="0"/>
        <v>2545.0912052117264</v>
      </c>
      <c r="E18" s="240">
        <f>VLOOKUP(A18,[10]進出口值表查詢結果!$B$10:$D$47,3,0)</f>
        <v>646</v>
      </c>
      <c r="F18" s="237">
        <f>E18/E64</f>
        <v>1.3555196508382819E-2</v>
      </c>
      <c r="G18" s="240">
        <f>VLOOKUP(A18,[10]進出口值表查詢結果!$B$10:$D$47,2,0)</f>
        <v>1634530</v>
      </c>
      <c r="H18" s="237">
        <f>G18/G64</f>
        <v>1.8303700397182449E-2</v>
      </c>
      <c r="I18" s="238">
        <f t="shared" si="1"/>
        <v>2530.2321981424147</v>
      </c>
    </row>
    <row r="19" spans="1:9" s="223" customFormat="1">
      <c r="A19" s="37" t="s">
        <v>11</v>
      </c>
      <c r="B19" s="240">
        <f>VLOOKUP(A19,[9]進出口值表查詢結果!$B$10:$D$44,3,0)</f>
        <v>37</v>
      </c>
      <c r="C19" s="240">
        <f>VLOOKUP(A19,[9]進出口值表查詢結果!$B$10:$D$44,2,0)</f>
        <v>128096</v>
      </c>
      <c r="D19" s="236">
        <f t="shared" si="0"/>
        <v>3462.0540540540542</v>
      </c>
      <c r="E19" s="240">
        <f>VLOOKUP(A19,[10]進出口值表查詢結果!$B$10:$D$47,3,0)</f>
        <v>37</v>
      </c>
      <c r="F19" s="237">
        <f>E19/E64</f>
        <v>7.7638122416434099E-4</v>
      </c>
      <c r="G19" s="240">
        <f>VLOOKUP(A19,[10]進出口值表查詢結果!$B$10:$D$47,2,0)</f>
        <v>128096</v>
      </c>
      <c r="H19" s="237">
        <f>G19/G64</f>
        <v>1.4344373037371496E-3</v>
      </c>
      <c r="I19" s="238">
        <f t="shared" si="1"/>
        <v>3462.0540540540542</v>
      </c>
    </row>
    <row r="20" spans="1:9" s="223" customFormat="1">
      <c r="A20" s="239" t="s">
        <v>247</v>
      </c>
      <c r="B20" s="240">
        <f>VLOOKUP(A20,[9]進出口值表查詢結果!$B$10:$D$44,3,0)</f>
        <v>165</v>
      </c>
      <c r="C20" s="240">
        <f>VLOOKUP(A20,[9]進出口值表查詢結果!$B$10:$D$44,2,0)</f>
        <v>338708</v>
      </c>
      <c r="D20" s="236">
        <f t="shared" si="0"/>
        <v>2052.7757575757578</v>
      </c>
      <c r="E20" s="240">
        <f>VLOOKUP(A20,[10]進出口值表查詢結果!$B$10:$D$47,3,0)</f>
        <v>709</v>
      </c>
      <c r="F20" s="237">
        <f>E20/E64</f>
        <v>1.4877142917095075E-2</v>
      </c>
      <c r="G20" s="240">
        <f>VLOOKUP(A20,[10]進出口值表查詢結果!$B$10:$D$47,2,0)</f>
        <v>742768</v>
      </c>
      <c r="H20" s="237">
        <f>G20/G64</f>
        <v>8.3176221523094795E-3</v>
      </c>
      <c r="I20" s="238">
        <f t="shared" si="1"/>
        <v>1047.6276445698165</v>
      </c>
    </row>
    <row r="21" spans="1:9" s="223" customFormat="1">
      <c r="A21" s="37" t="s">
        <v>12</v>
      </c>
      <c r="B21" s="240">
        <v>0</v>
      </c>
      <c r="C21" s="240">
        <v>0</v>
      </c>
      <c r="D21" s="236">
        <f t="shared" si="0"/>
        <v>0</v>
      </c>
      <c r="E21" s="240">
        <v>0</v>
      </c>
      <c r="F21" s="237">
        <f>E21/E64</f>
        <v>0</v>
      </c>
      <c r="G21" s="240">
        <v>0</v>
      </c>
      <c r="H21" s="237">
        <f>G21/G64</f>
        <v>0</v>
      </c>
      <c r="I21" s="238">
        <f t="shared" si="1"/>
        <v>0</v>
      </c>
    </row>
    <row r="22" spans="1:9" s="223" customFormat="1">
      <c r="A22" s="239" t="s">
        <v>248</v>
      </c>
      <c r="B22" s="240">
        <v>0</v>
      </c>
      <c r="C22" s="240">
        <v>0</v>
      </c>
      <c r="D22" s="236">
        <f t="shared" si="0"/>
        <v>0</v>
      </c>
      <c r="E22" s="240">
        <v>0</v>
      </c>
      <c r="F22" s="237">
        <f>E22/E64</f>
        <v>0</v>
      </c>
      <c r="G22" s="240">
        <v>0</v>
      </c>
      <c r="H22" s="237">
        <f>G22/G64</f>
        <v>0</v>
      </c>
      <c r="I22" s="238">
        <f t="shared" si="1"/>
        <v>0</v>
      </c>
    </row>
    <row r="23" spans="1:9" s="223" customFormat="1">
      <c r="A23" s="37" t="s">
        <v>13</v>
      </c>
      <c r="B23" s="240">
        <v>0</v>
      </c>
      <c r="C23" s="240">
        <v>0</v>
      </c>
      <c r="D23" s="236">
        <f t="shared" si="0"/>
        <v>0</v>
      </c>
      <c r="E23" s="240">
        <v>0</v>
      </c>
      <c r="F23" s="237">
        <f>E23/E64</f>
        <v>0</v>
      </c>
      <c r="G23" s="240">
        <v>0</v>
      </c>
      <c r="H23" s="237">
        <f>G23/G64</f>
        <v>0</v>
      </c>
      <c r="I23" s="238">
        <f t="shared" si="1"/>
        <v>0</v>
      </c>
    </row>
    <row r="24" spans="1:9" s="223" customFormat="1">
      <c r="A24" s="37" t="s">
        <v>14</v>
      </c>
      <c r="B24" s="240">
        <v>0</v>
      </c>
      <c r="C24" s="240">
        <v>0</v>
      </c>
      <c r="D24" s="236">
        <f t="shared" si="0"/>
        <v>0</v>
      </c>
      <c r="E24" s="240">
        <v>0</v>
      </c>
      <c r="F24" s="237">
        <f>E24/E64</f>
        <v>0</v>
      </c>
      <c r="G24" s="240">
        <v>0</v>
      </c>
      <c r="H24" s="237">
        <f>G24/G64</f>
        <v>0</v>
      </c>
      <c r="I24" s="238">
        <f t="shared" si="1"/>
        <v>0</v>
      </c>
    </row>
    <row r="25" spans="1:9" s="223" customFormat="1">
      <c r="A25" s="37" t="s">
        <v>15</v>
      </c>
      <c r="B25" s="240">
        <v>0</v>
      </c>
      <c r="C25" s="240">
        <v>0</v>
      </c>
      <c r="D25" s="236">
        <f t="shared" si="0"/>
        <v>0</v>
      </c>
      <c r="E25" s="240">
        <v>0</v>
      </c>
      <c r="F25" s="237">
        <f>E25/E64</f>
        <v>0</v>
      </c>
      <c r="G25" s="240">
        <v>0</v>
      </c>
      <c r="H25" s="237">
        <f>G25/G64</f>
        <v>0</v>
      </c>
      <c r="I25" s="238">
        <f t="shared" si="1"/>
        <v>0</v>
      </c>
    </row>
    <row r="26" spans="1:9" s="223" customFormat="1">
      <c r="A26" s="239" t="s">
        <v>251</v>
      </c>
      <c r="B26" s="240">
        <f>VLOOKUP(A26,[9]進出口值表查詢結果!$B$10:$D$44,3,0)</f>
        <v>790</v>
      </c>
      <c r="C26" s="240">
        <f>VLOOKUP(A26,[9]進出口值表查詢結果!$B$10:$D$44,2,0)</f>
        <v>281818</v>
      </c>
      <c r="D26" s="236">
        <f t="shared" si="0"/>
        <v>356.73164556962024</v>
      </c>
      <c r="E26" s="240">
        <f>VLOOKUP(A26,[10]進出口值表查詢結果!$B$10:$D$47,3,0)</f>
        <v>790</v>
      </c>
      <c r="F26" s="237">
        <f>E26/E64</f>
        <v>1.6576788299725118E-2</v>
      </c>
      <c r="G26" s="240">
        <f>VLOOKUP(A26,[10]進出口值表查詢結果!$B$10:$D$47,2,0)</f>
        <v>281818</v>
      </c>
      <c r="H26" s="237">
        <f>G26/G64</f>
        <v>3.1558382155929617E-3</v>
      </c>
      <c r="I26" s="238">
        <f t="shared" si="1"/>
        <v>356.73164556962024</v>
      </c>
    </row>
    <row r="27" spans="1:9" s="223" customFormat="1">
      <c r="A27" s="239" t="s">
        <v>253</v>
      </c>
      <c r="B27" s="240">
        <v>0</v>
      </c>
      <c r="C27" s="240">
        <v>0</v>
      </c>
      <c r="D27" s="236">
        <f t="shared" si="0"/>
        <v>0</v>
      </c>
      <c r="E27" s="240">
        <v>0</v>
      </c>
      <c r="F27" s="237">
        <f>E27/E64</f>
        <v>0</v>
      </c>
      <c r="G27" s="240">
        <v>0</v>
      </c>
      <c r="H27" s="237">
        <f>G27/G64</f>
        <v>0</v>
      </c>
      <c r="I27" s="238">
        <f t="shared" si="1"/>
        <v>0</v>
      </c>
    </row>
    <row r="28" spans="1:9" s="223" customFormat="1">
      <c r="A28" s="246" t="s">
        <v>254</v>
      </c>
      <c r="B28" s="240">
        <f>VLOOKUP(A28,[9]進出口值表查詢結果!$B$10:$D$44,3,0)</f>
        <v>419</v>
      </c>
      <c r="C28" s="240">
        <f>VLOOKUP(A28,[9]進出口值表查詢結果!$B$10:$D$44,2,0)</f>
        <v>733480</v>
      </c>
      <c r="D28" s="236">
        <f t="shared" si="0"/>
        <v>1750.5489260143197</v>
      </c>
      <c r="E28" s="240">
        <f>VLOOKUP(A28,[10]進出口值表查詢結果!$B$10:$D$47,3,0)</f>
        <v>803</v>
      </c>
      <c r="F28" s="237">
        <f>E28/E64</f>
        <v>1.6849570891999077E-2</v>
      </c>
      <c r="G28" s="240">
        <f>VLOOKUP(A28,[10]進出口值表查詢結果!$B$10:$D$47,2,0)</f>
        <v>1393677</v>
      </c>
      <c r="H28" s="237">
        <f>G28/G64</f>
        <v>1.5606594102551831E-2</v>
      </c>
      <c r="I28" s="238">
        <f t="shared" si="1"/>
        <v>1735.5877957658779</v>
      </c>
    </row>
    <row r="29" spans="1:9" s="223" customFormat="1">
      <c r="A29" s="246" t="s">
        <v>255</v>
      </c>
      <c r="B29" s="240">
        <v>0</v>
      </c>
      <c r="C29" s="240">
        <v>0</v>
      </c>
      <c r="D29" s="236">
        <f t="shared" si="0"/>
        <v>0</v>
      </c>
      <c r="E29" s="240">
        <v>0</v>
      </c>
      <c r="F29" s="237">
        <f>E29/E64</f>
        <v>0</v>
      </c>
      <c r="G29" s="240">
        <v>0</v>
      </c>
      <c r="H29" s="237">
        <f>G29/G64</f>
        <v>0</v>
      </c>
      <c r="I29" s="238">
        <f t="shared" si="1"/>
        <v>0</v>
      </c>
    </row>
    <row r="30" spans="1:9" s="223" customFormat="1">
      <c r="A30" s="246" t="s">
        <v>256</v>
      </c>
      <c r="B30" s="240">
        <f>VLOOKUP(A30,[9]進出口值表查詢結果!$B$10:$D$44,3,0)</f>
        <v>2</v>
      </c>
      <c r="C30" s="240">
        <f>VLOOKUP(A30,[9]進出口值表查詢結果!$B$10:$D$44,2,0)</f>
        <v>1647</v>
      </c>
      <c r="D30" s="236">
        <f t="shared" si="0"/>
        <v>823.5</v>
      </c>
      <c r="E30" s="240">
        <f>VLOOKUP(A30,[10]進出口值表查詢結果!$B$10:$D$47,3,0)</f>
        <v>71</v>
      </c>
      <c r="F30" s="237">
        <f>E30/E64</f>
        <v>1.4898126193423841E-3</v>
      </c>
      <c r="G30" s="240">
        <f>VLOOKUP(A30,[10]進出口值表查詢結果!$B$10:$D$47,2,0)</f>
        <v>125529</v>
      </c>
      <c r="H30" s="237">
        <f>G30/G64</f>
        <v>1.4056916710968386E-3</v>
      </c>
      <c r="I30" s="238">
        <f t="shared" si="1"/>
        <v>1768.0140845070423</v>
      </c>
    </row>
    <row r="31" spans="1:9" s="223" customFormat="1">
      <c r="A31" s="246" t="s">
        <v>257</v>
      </c>
      <c r="B31" s="240">
        <v>0</v>
      </c>
      <c r="C31" s="240">
        <v>0</v>
      </c>
      <c r="D31" s="236">
        <f t="shared" si="0"/>
        <v>0</v>
      </c>
      <c r="E31" s="240">
        <v>0</v>
      </c>
      <c r="F31" s="237">
        <f>E31/E64</f>
        <v>0</v>
      </c>
      <c r="G31" s="240">
        <v>0</v>
      </c>
      <c r="H31" s="237">
        <f>G31/G64</f>
        <v>0</v>
      </c>
      <c r="I31" s="238">
        <f t="shared" si="1"/>
        <v>0</v>
      </c>
    </row>
    <row r="32" spans="1:9" s="223" customFormat="1">
      <c r="A32" s="30" t="s">
        <v>259</v>
      </c>
      <c r="B32" s="240">
        <v>0</v>
      </c>
      <c r="C32" s="240">
        <v>0</v>
      </c>
      <c r="D32" s="236">
        <f t="shared" si="0"/>
        <v>0</v>
      </c>
      <c r="E32" s="240">
        <v>0</v>
      </c>
      <c r="F32" s="237">
        <f>E32/E64</f>
        <v>0</v>
      </c>
      <c r="G32" s="240">
        <v>0</v>
      </c>
      <c r="H32" s="237">
        <f>G32/G64</f>
        <v>0</v>
      </c>
      <c r="I32" s="238">
        <f t="shared" si="1"/>
        <v>0</v>
      </c>
    </row>
    <row r="33" spans="1:9" s="223" customFormat="1">
      <c r="A33" s="246" t="s">
        <v>261</v>
      </c>
      <c r="B33" s="240">
        <v>0</v>
      </c>
      <c r="C33" s="240">
        <v>0</v>
      </c>
      <c r="D33" s="236">
        <f t="shared" si="0"/>
        <v>0</v>
      </c>
      <c r="E33" s="240">
        <v>0</v>
      </c>
      <c r="F33" s="237">
        <f>E33/E64</f>
        <v>0</v>
      </c>
      <c r="G33" s="240">
        <v>0</v>
      </c>
      <c r="H33" s="237">
        <f>G33/G64</f>
        <v>0</v>
      </c>
      <c r="I33" s="238">
        <f t="shared" si="1"/>
        <v>0</v>
      </c>
    </row>
    <row r="34" spans="1:9" s="223" customFormat="1">
      <c r="A34" s="246" t="s">
        <v>262</v>
      </c>
      <c r="B34" s="240">
        <v>0</v>
      </c>
      <c r="C34" s="240">
        <v>0</v>
      </c>
      <c r="D34" s="236">
        <f t="shared" si="0"/>
        <v>0</v>
      </c>
      <c r="E34" s="240">
        <v>0</v>
      </c>
      <c r="F34" s="237">
        <f>E34/E64</f>
        <v>0</v>
      </c>
      <c r="G34" s="240">
        <v>0</v>
      </c>
      <c r="H34" s="237">
        <f>G34/G64</f>
        <v>0</v>
      </c>
      <c r="I34" s="238">
        <f t="shared" si="1"/>
        <v>0</v>
      </c>
    </row>
    <row r="35" spans="1:9" s="223" customFormat="1">
      <c r="A35" s="247" t="s">
        <v>380</v>
      </c>
      <c r="B35" s="240">
        <v>0</v>
      </c>
      <c r="C35" s="240">
        <v>0</v>
      </c>
      <c r="D35" s="236">
        <f t="shared" si="0"/>
        <v>0</v>
      </c>
      <c r="E35" s="240">
        <v>0</v>
      </c>
      <c r="F35" s="237">
        <f>E35/E64</f>
        <v>0</v>
      </c>
      <c r="G35" s="240">
        <v>0</v>
      </c>
      <c r="H35" s="237">
        <f>G35/G64</f>
        <v>0</v>
      </c>
      <c r="I35" s="238">
        <f t="shared" si="1"/>
        <v>0</v>
      </c>
    </row>
    <row r="36" spans="1:9" s="223" customFormat="1">
      <c r="A36" s="246" t="s">
        <v>265</v>
      </c>
      <c r="B36" s="240">
        <v>0</v>
      </c>
      <c r="C36" s="240">
        <v>0</v>
      </c>
      <c r="D36" s="236">
        <f t="shared" si="0"/>
        <v>0</v>
      </c>
      <c r="E36" s="240">
        <f>VLOOKUP(A36,[10]進出口值表查詢結果!$B$10:$D$47,3,0)</f>
        <v>9</v>
      </c>
      <c r="F36" s="237">
        <f>E36/E64</f>
        <v>1.8884948695889378E-4</v>
      </c>
      <c r="G36" s="240">
        <f>VLOOKUP(A36,[10]進出口值表查詢結果!$B$10:$D$47,2,0)</f>
        <v>19886</v>
      </c>
      <c r="H36" s="237">
        <f>G36/G64</f>
        <v>2.2268626828407566E-4</v>
      </c>
      <c r="I36" s="238">
        <f t="shared" si="1"/>
        <v>2209.5555555555557</v>
      </c>
    </row>
    <row r="37" spans="1:9" s="223" customFormat="1">
      <c r="A37" s="246" t="s">
        <v>381</v>
      </c>
      <c r="B37" s="240">
        <v>0</v>
      </c>
      <c r="C37" s="240">
        <v>0</v>
      </c>
      <c r="D37" s="236">
        <f t="shared" si="0"/>
        <v>0</v>
      </c>
      <c r="E37" s="240">
        <v>0</v>
      </c>
      <c r="F37" s="237">
        <f>E37/E64</f>
        <v>0</v>
      </c>
      <c r="G37" s="240">
        <v>0</v>
      </c>
      <c r="H37" s="237">
        <f>G37/G64</f>
        <v>0</v>
      </c>
      <c r="I37" s="238">
        <f t="shared" si="1"/>
        <v>0</v>
      </c>
    </row>
    <row r="38" spans="1:9" s="223" customFormat="1">
      <c r="A38" s="246" t="s">
        <v>267</v>
      </c>
      <c r="B38" s="240">
        <v>0</v>
      </c>
      <c r="C38" s="240">
        <v>0</v>
      </c>
      <c r="D38" s="236">
        <f t="shared" si="0"/>
        <v>0</v>
      </c>
      <c r="E38" s="240">
        <v>0</v>
      </c>
      <c r="F38" s="237">
        <f>E38/E64</f>
        <v>0</v>
      </c>
      <c r="G38" s="240">
        <v>0</v>
      </c>
      <c r="H38" s="237">
        <f>G38/G64</f>
        <v>0</v>
      </c>
      <c r="I38" s="238">
        <f t="shared" si="1"/>
        <v>0</v>
      </c>
    </row>
    <row r="39" spans="1:9" s="223" customFormat="1">
      <c r="A39" s="246" t="s">
        <v>268</v>
      </c>
      <c r="B39" s="240">
        <v>0</v>
      </c>
      <c r="C39" s="240">
        <v>0</v>
      </c>
      <c r="D39" s="236">
        <f t="shared" si="0"/>
        <v>0</v>
      </c>
      <c r="E39" s="240">
        <v>0</v>
      </c>
      <c r="F39" s="237">
        <f>E39/E64</f>
        <v>0</v>
      </c>
      <c r="G39" s="240">
        <v>0</v>
      </c>
      <c r="H39" s="237">
        <f>G39/G64</f>
        <v>0</v>
      </c>
      <c r="I39" s="238">
        <f t="shared" si="1"/>
        <v>0</v>
      </c>
    </row>
    <row r="40" spans="1:9" s="223" customFormat="1">
      <c r="A40" s="30" t="s">
        <v>269</v>
      </c>
      <c r="B40" s="240">
        <v>0</v>
      </c>
      <c r="C40" s="240">
        <v>0</v>
      </c>
      <c r="D40" s="236">
        <f t="shared" si="0"/>
        <v>0</v>
      </c>
      <c r="E40" s="240">
        <v>0</v>
      </c>
      <c r="F40" s="237">
        <f>E40/E64</f>
        <v>0</v>
      </c>
      <c r="G40" s="240">
        <v>0</v>
      </c>
      <c r="H40" s="237">
        <f>G40/G64</f>
        <v>0</v>
      </c>
      <c r="I40" s="238">
        <f t="shared" si="1"/>
        <v>0</v>
      </c>
    </row>
    <row r="41" spans="1:9" s="223" customFormat="1">
      <c r="A41" s="30"/>
      <c r="B41" s="34"/>
      <c r="C41" s="35"/>
      <c r="D41" s="236"/>
      <c r="E41" s="241"/>
      <c r="F41" s="242"/>
      <c r="G41" s="241"/>
      <c r="H41" s="242"/>
      <c r="I41" s="238"/>
    </row>
    <row r="42" spans="1:9" s="223" customFormat="1">
      <c r="A42" s="245" t="s">
        <v>19</v>
      </c>
      <c r="B42" s="244">
        <f>SUM(B43:B46)</f>
        <v>522</v>
      </c>
      <c r="C42" s="244">
        <f>SUM(C43:C46)</f>
        <v>1432816</v>
      </c>
      <c r="D42" s="236">
        <f t="shared" si="0"/>
        <v>2744.8582375478927</v>
      </c>
      <c r="E42" s="244">
        <f>SUM(E43:E46)</f>
        <v>1130</v>
      </c>
      <c r="F42" s="237">
        <f>E42/E64</f>
        <v>2.371110225150555E-2</v>
      </c>
      <c r="G42" s="244">
        <f>SUM(G43:G46)</f>
        <v>2578234</v>
      </c>
      <c r="H42" s="237">
        <f>G42/G64</f>
        <v>2.8871432576844287E-2</v>
      </c>
      <c r="I42" s="238">
        <f t="shared" si="1"/>
        <v>2281.6230088495577</v>
      </c>
    </row>
    <row r="43" spans="1:9" s="223" customFormat="1">
      <c r="A43" s="239" t="s">
        <v>178</v>
      </c>
      <c r="B43" s="240">
        <f>VLOOKUP(A43,[9]進出口值表查詢結果!$B$10:$D$44,3,0)</f>
        <v>522</v>
      </c>
      <c r="C43" s="240">
        <f>VLOOKUP(A43,[9]進出口值表查詢結果!$B$10:$D$44,2,0)</f>
        <v>1432816</v>
      </c>
      <c r="D43" s="236">
        <f t="shared" si="0"/>
        <v>2744.8582375478927</v>
      </c>
      <c r="E43" s="240">
        <f>VLOOKUP(A43,[10]進出口值表查詢結果!$B$10:$D$47,3,0)</f>
        <v>839</v>
      </c>
      <c r="F43" s="237">
        <f>E43/E64</f>
        <v>1.7604968839834652E-2</v>
      </c>
      <c r="G43" s="240">
        <f>VLOOKUP(A43,[10]進出口值表查詢結果!$B$10:$D$47,2,0)</f>
        <v>2092030</v>
      </c>
      <c r="H43" s="237">
        <f>G43/G64</f>
        <v>2.3426850741141245E-2</v>
      </c>
      <c r="I43" s="238">
        <f t="shared" si="1"/>
        <v>2493.4803337306316</v>
      </c>
    </row>
    <row r="44" spans="1:9" s="223" customFormat="1">
      <c r="A44" s="239" t="s">
        <v>271</v>
      </c>
      <c r="B44" s="240">
        <v>0</v>
      </c>
      <c r="C44" s="240">
        <v>0</v>
      </c>
      <c r="D44" s="236">
        <f t="shared" si="0"/>
        <v>0</v>
      </c>
      <c r="E44" s="240">
        <f>VLOOKUP(A44,[10]進出口值表查詢結果!$B$10:$D$47,3,0)</f>
        <v>291</v>
      </c>
      <c r="F44" s="237">
        <f>E44/E64</f>
        <v>6.1061334116708985E-3</v>
      </c>
      <c r="G44" s="240">
        <f>VLOOKUP(A44,[10]進出口值表查詢結果!$B$10:$D$47,2,0)</f>
        <v>486204</v>
      </c>
      <c r="H44" s="237">
        <f>G44/G64</f>
        <v>5.4445818357030436E-3</v>
      </c>
      <c r="I44" s="238">
        <f t="shared" si="1"/>
        <v>1670.8041237113403</v>
      </c>
    </row>
    <row r="45" spans="1:9" s="223" customFormat="1">
      <c r="A45" s="239" t="s">
        <v>272</v>
      </c>
      <c r="B45" s="240">
        <v>0</v>
      </c>
      <c r="C45" s="240">
        <v>0</v>
      </c>
      <c r="D45" s="236">
        <f t="shared" si="0"/>
        <v>0</v>
      </c>
      <c r="E45" s="240">
        <v>0</v>
      </c>
      <c r="F45" s="237">
        <f>E45/E64</f>
        <v>0</v>
      </c>
      <c r="G45" s="240">
        <v>0</v>
      </c>
      <c r="H45" s="237">
        <f>G45/G64</f>
        <v>0</v>
      </c>
      <c r="I45" s="238">
        <f t="shared" si="1"/>
        <v>0</v>
      </c>
    </row>
    <row r="46" spans="1:9" s="223" customFormat="1">
      <c r="A46" s="37" t="s">
        <v>20</v>
      </c>
      <c r="B46" s="240">
        <v>0</v>
      </c>
      <c r="C46" s="240">
        <v>0</v>
      </c>
      <c r="D46" s="236">
        <f t="shared" si="0"/>
        <v>0</v>
      </c>
      <c r="E46" s="240">
        <v>0</v>
      </c>
      <c r="F46" s="237">
        <f>E46/E64</f>
        <v>0</v>
      </c>
      <c r="G46" s="240">
        <v>0</v>
      </c>
      <c r="H46" s="237">
        <f>G46/G64</f>
        <v>0</v>
      </c>
      <c r="I46" s="238">
        <f t="shared" si="1"/>
        <v>0</v>
      </c>
    </row>
    <row r="47" spans="1:9" s="223" customFormat="1">
      <c r="A47" s="37"/>
      <c r="B47" s="240"/>
      <c r="C47" s="35"/>
      <c r="D47" s="236"/>
      <c r="E47" s="241"/>
      <c r="F47" s="242"/>
      <c r="G47" s="241"/>
      <c r="H47" s="242"/>
      <c r="I47" s="238"/>
    </row>
    <row r="48" spans="1:9" s="223" customFormat="1">
      <c r="A48" s="245" t="s">
        <v>21</v>
      </c>
      <c r="B48" s="244">
        <f>SUM(B49:B62)</f>
        <v>2222</v>
      </c>
      <c r="C48" s="244">
        <f>SUM(C49:C62)</f>
        <v>3977132</v>
      </c>
      <c r="D48" s="236">
        <f t="shared" si="0"/>
        <v>1789.8883888388839</v>
      </c>
      <c r="E48" s="244">
        <f>SUM(E49:E62)</f>
        <v>5361</v>
      </c>
      <c r="F48" s="237">
        <f>E48/E64</f>
        <v>0.11249134439851438</v>
      </c>
      <c r="G48" s="244">
        <f>SUM(G49:G62)</f>
        <v>10668633</v>
      </c>
      <c r="H48" s="237">
        <f>G48/G64</f>
        <v>0.11946887611698395</v>
      </c>
      <c r="I48" s="238">
        <f t="shared" si="1"/>
        <v>1990.0453273642977</v>
      </c>
    </row>
    <row r="49" spans="1:9" s="223" customFormat="1">
      <c r="A49" s="245" t="s">
        <v>157</v>
      </c>
      <c r="B49" s="240">
        <f>VLOOKUP(A49,[9]進出口值表查詢結果!$B$10:$D$44,3,0)</f>
        <v>634</v>
      </c>
      <c r="C49" s="240">
        <f>VLOOKUP(A49,[9]進出口值表查詢結果!$B$10:$D$44,2,0)</f>
        <v>898005</v>
      </c>
      <c r="D49" s="236">
        <f t="shared" si="0"/>
        <v>1416.4116719242902</v>
      </c>
      <c r="E49" s="240">
        <f>VLOOKUP(A49,[10]進出口值表查詢結果!$B$10:$D$47,3,0)</f>
        <v>2104</v>
      </c>
      <c r="F49" s="237">
        <f>E49/E64</f>
        <v>4.4148813395723609E-2</v>
      </c>
      <c r="G49" s="240">
        <f>VLOOKUP(A49,[10]進出口值表查詢結果!$B$10:$D$47,2,0)</f>
        <v>4296452</v>
      </c>
      <c r="H49" s="237">
        <f>G49/G64</f>
        <v>4.8112283151043621E-2</v>
      </c>
      <c r="I49" s="238">
        <f t="shared" si="1"/>
        <v>2042.0399239543726</v>
      </c>
    </row>
    <row r="50" spans="1:9" s="223" customFormat="1">
      <c r="A50" s="239" t="s">
        <v>382</v>
      </c>
      <c r="B50" s="240">
        <f>VLOOKUP(A50,[9]進出口值表查詢結果!$B$10:$D$44,3,0)</f>
        <v>215</v>
      </c>
      <c r="C50" s="240">
        <f>VLOOKUP(A50,[9]進出口值表查詢結果!$B$10:$D$44,2,0)</f>
        <v>228129</v>
      </c>
      <c r="D50" s="236">
        <f t="shared" si="0"/>
        <v>1061.0651162790698</v>
      </c>
      <c r="E50" s="240">
        <f>VLOOKUP(A50,[10]進出口值表查詢結果!$B$10:$D$47,3,0)</f>
        <v>693</v>
      </c>
      <c r="F50" s="237">
        <f>E50/E64</f>
        <v>1.4541410495834819E-2</v>
      </c>
      <c r="G50" s="240">
        <f>VLOOKUP(A50,[10]進出口值表查詢結果!$B$10:$D$47,2,0)</f>
        <v>657752</v>
      </c>
      <c r="H50" s="237">
        <f>G50/G64</f>
        <v>7.365600841616581E-3</v>
      </c>
      <c r="I50" s="238">
        <f t="shared" si="1"/>
        <v>949.13708513708514</v>
      </c>
    </row>
    <row r="51" spans="1:9" s="223" customFormat="1">
      <c r="A51" s="239" t="s">
        <v>383</v>
      </c>
      <c r="B51" s="240">
        <v>0</v>
      </c>
      <c r="C51" s="240">
        <v>0</v>
      </c>
      <c r="D51" s="236">
        <f t="shared" si="0"/>
        <v>0</v>
      </c>
      <c r="E51" s="240">
        <v>0</v>
      </c>
      <c r="F51" s="237">
        <f>E51/E64</f>
        <v>0</v>
      </c>
      <c r="G51" s="240">
        <v>0</v>
      </c>
      <c r="H51" s="237">
        <f>G51/G64</f>
        <v>0</v>
      </c>
      <c r="I51" s="238">
        <f t="shared" si="1"/>
        <v>0</v>
      </c>
    </row>
    <row r="52" spans="1:9" s="223" customFormat="1">
      <c r="A52" s="239" t="s">
        <v>295</v>
      </c>
      <c r="B52" s="240">
        <f>VLOOKUP(A52,[9]進出口值表查詢結果!$B$10:$D$44,3,0)</f>
        <v>43</v>
      </c>
      <c r="C52" s="240">
        <f>VLOOKUP(A52,[9]進出口值表查詢結果!$B$10:$D$44,2,0)</f>
        <v>131232</v>
      </c>
      <c r="D52" s="236">
        <f t="shared" si="0"/>
        <v>3051.9069767441861</v>
      </c>
      <c r="E52" s="240">
        <f>VLOOKUP(A52,[10]進出口值表查詢結果!$B$10:$D$47,3,0)</f>
        <v>43</v>
      </c>
      <c r="F52" s="237">
        <f>E52/E64</f>
        <v>9.0228088213693684E-4</v>
      </c>
      <c r="G52" s="240">
        <f>VLOOKUP(A52,[10]進出口值表查詢結果!$B$10:$D$47,2,0)</f>
        <v>131232</v>
      </c>
      <c r="H52" s="237">
        <f>G52/G64</f>
        <v>1.4695546796467775E-3</v>
      </c>
      <c r="I52" s="238">
        <f t="shared" si="1"/>
        <v>3051.9069767441861</v>
      </c>
    </row>
    <row r="53" spans="1:9" s="223" customFormat="1">
      <c r="A53" s="37" t="s">
        <v>22</v>
      </c>
      <c r="B53" s="240">
        <f>VLOOKUP(A53,[9]進出口值表查詢結果!$B$10:$D$44,3,0)</f>
        <v>13</v>
      </c>
      <c r="C53" s="240">
        <f>VLOOKUP(A53,[9]進出口值表查詢結果!$B$10:$D$44,2,0)</f>
        <v>35128</v>
      </c>
      <c r="D53" s="236">
        <f t="shared" si="0"/>
        <v>2702.1538461538462</v>
      </c>
      <c r="E53" s="240">
        <f>VLOOKUP(A53,[10]進出口值表查詢結果!$B$10:$D$47,3,0)</f>
        <v>25</v>
      </c>
      <c r="F53" s="237">
        <f>E53/E64</f>
        <v>5.2458190821914929E-4</v>
      </c>
      <c r="G53" s="240">
        <f>VLOOKUP(A53,[10]進出口值表查詢結果!$B$10:$D$47,2,0)</f>
        <v>76105</v>
      </c>
      <c r="H53" s="237">
        <f>G53/G64</f>
        <v>8.5223465994969212E-4</v>
      </c>
      <c r="I53" s="238">
        <f t="shared" si="1"/>
        <v>3044.2</v>
      </c>
    </row>
    <row r="54" spans="1:9" s="223" customFormat="1">
      <c r="A54" s="239" t="s">
        <v>301</v>
      </c>
      <c r="B54" s="240">
        <f>VLOOKUP(A54,[9]進出口值表查詢結果!$B$10:$D$44,3,0)</f>
        <v>105</v>
      </c>
      <c r="C54" s="240">
        <f>VLOOKUP(A54,[9]進出口值表查詢結果!$B$10:$D$44,2,0)</f>
        <v>368989</v>
      </c>
      <c r="D54" s="236">
        <f t="shared" si="0"/>
        <v>3514.1809523809525</v>
      </c>
      <c r="E54" s="240">
        <f>VLOOKUP(A54,[10]進出口值表查詢結果!$B$10:$D$47,3,0)</f>
        <v>227</v>
      </c>
      <c r="F54" s="237">
        <f>E54/E64</f>
        <v>4.7632037266298758E-3</v>
      </c>
      <c r="G54" s="240">
        <f>VLOOKUP(A54,[10]進出口值表查詢結果!$B$10:$D$47,2,0)</f>
        <v>738288</v>
      </c>
      <c r="H54" s="237">
        <f>G54/G64</f>
        <v>8.2674544724385818E-3</v>
      </c>
      <c r="I54" s="238">
        <f t="shared" si="1"/>
        <v>3252.3700440528632</v>
      </c>
    </row>
    <row r="55" spans="1:9" s="223" customFormat="1">
      <c r="A55" s="26" t="s">
        <v>384</v>
      </c>
      <c r="B55" s="240">
        <f>VLOOKUP(A55,[9]進出口值表查詢結果!$B$10:$D$44,3,0)</f>
        <v>833</v>
      </c>
      <c r="C55" s="240">
        <f>VLOOKUP(A55,[9]進出口值表查詢結果!$B$10:$D$44,2,0)</f>
        <v>1473995</v>
      </c>
      <c r="D55" s="236">
        <f t="shared" si="0"/>
        <v>1769.5018007202882</v>
      </c>
      <c r="E55" s="240">
        <f>VLOOKUP(A55,[10]進出口值表查詢結果!$B$10:$D$47,3,0)</f>
        <v>1359</v>
      </c>
      <c r="F55" s="237">
        <f>E55/E64</f>
        <v>2.8516272530792957E-2</v>
      </c>
      <c r="G55" s="240">
        <f>VLOOKUP(A55,[10]進出口值表查詢結果!$B$10:$D$47,2,0)</f>
        <v>2729180</v>
      </c>
      <c r="H55" s="237">
        <f>G55/G64</f>
        <v>3.056174744420867E-2</v>
      </c>
      <c r="I55" s="238">
        <f t="shared" si="1"/>
        <v>2008.2266372332597</v>
      </c>
    </row>
    <row r="56" spans="1:9" s="223" customFormat="1">
      <c r="A56" s="37" t="s">
        <v>23</v>
      </c>
      <c r="B56" s="240">
        <f>VLOOKUP(A56,[9]進出口值表查詢結果!$B$10:$D$44,3,0)</f>
        <v>28</v>
      </c>
      <c r="C56" s="240">
        <f>VLOOKUP(A56,[9]進出口值表查詢結果!$B$10:$D$44,2,0)</f>
        <v>72189</v>
      </c>
      <c r="D56" s="236">
        <f t="shared" si="0"/>
        <v>2578.1785714285716</v>
      </c>
      <c r="E56" s="240">
        <f>VLOOKUP(A56,[10]進出口值表查詢結果!$B$10:$D$47,3,0)</f>
        <v>63</v>
      </c>
      <c r="F56" s="237">
        <f>E56/E64</f>
        <v>1.3219464087122564E-3</v>
      </c>
      <c r="G56" s="240">
        <f>VLOOKUP(A56,[10]進出口值表查詢結果!$B$10:$D$47,2,0)</f>
        <v>143676</v>
      </c>
      <c r="H56" s="237">
        <f>G56/G64</f>
        <v>1.6089043690024566E-3</v>
      </c>
      <c r="I56" s="238">
        <f t="shared" si="1"/>
        <v>2280.5714285714284</v>
      </c>
    </row>
    <row r="57" spans="1:9" s="223" customFormat="1">
      <c r="A57" s="37" t="s">
        <v>237</v>
      </c>
      <c r="B57" s="240">
        <f>VLOOKUP(A57,[9]進出口值表查詢結果!$B$10:$D$44,3,0)</f>
        <v>5</v>
      </c>
      <c r="C57" s="240">
        <f>VLOOKUP(A57,[9]進出口值表查詢結果!$B$10:$D$44,2,0)</f>
        <v>7380</v>
      </c>
      <c r="D57" s="236">
        <f t="shared" si="0"/>
        <v>1476</v>
      </c>
      <c r="E57" s="240">
        <f>VLOOKUP(A57,[10]進出口值表查詢結果!$B$10:$D$47,3,0)</f>
        <v>5</v>
      </c>
      <c r="F57" s="237">
        <f>E57/E64</f>
        <v>1.0491638164382987E-4</v>
      </c>
      <c r="G57" s="240">
        <f>VLOOKUP(A57,[10]進出口值表查詢結果!$B$10:$D$47,2,0)</f>
        <v>7380</v>
      </c>
      <c r="H57" s="237">
        <f>G57/G64</f>
        <v>8.2642294073040251E-5</v>
      </c>
      <c r="I57" s="238">
        <f t="shared" si="1"/>
        <v>1476</v>
      </c>
    </row>
    <row r="58" spans="1:9" s="223" customFormat="1">
      <c r="A58" s="37" t="s">
        <v>230</v>
      </c>
      <c r="B58" s="240">
        <f>VLOOKUP(A58,[9]進出口值表查詢結果!$B$10:$D$44,3,0)</f>
        <v>8</v>
      </c>
      <c r="C58" s="240">
        <f>VLOOKUP(A58,[9]進出口值表查詢結果!$B$10:$D$44,2,0)</f>
        <v>16756</v>
      </c>
      <c r="D58" s="236">
        <f t="shared" si="0"/>
        <v>2094.5</v>
      </c>
      <c r="E58" s="240">
        <f>VLOOKUP(A58,[10]進出口值表查詢結果!$B$10:$D$47,3,0)</f>
        <v>29</v>
      </c>
      <c r="F58" s="237">
        <f>E58/E64</f>
        <v>6.0851501353421326E-4</v>
      </c>
      <c r="G58" s="240">
        <f>VLOOKUP(A58,[10]進出口值表查詢結果!$B$10:$D$47,2,0)</f>
        <v>60048</v>
      </c>
      <c r="H58" s="237">
        <f>G58/G64</f>
        <v>6.7242608055527377E-4</v>
      </c>
      <c r="I58" s="238">
        <f t="shared" si="1"/>
        <v>2070.6206896551726</v>
      </c>
    </row>
    <row r="59" spans="1:9" s="223" customFormat="1">
      <c r="A59" s="37" t="s">
        <v>275</v>
      </c>
      <c r="B59" s="240">
        <v>0</v>
      </c>
      <c r="C59" s="240">
        <v>0</v>
      </c>
      <c r="D59" s="236">
        <f t="shared" si="0"/>
        <v>0</v>
      </c>
      <c r="E59" s="240">
        <v>0</v>
      </c>
      <c r="F59" s="237">
        <f>E59/E64</f>
        <v>0</v>
      </c>
      <c r="G59" s="240">
        <v>0</v>
      </c>
      <c r="H59" s="237">
        <f>G59/G64</f>
        <v>0</v>
      </c>
      <c r="I59" s="238">
        <f t="shared" si="1"/>
        <v>0</v>
      </c>
    </row>
    <row r="60" spans="1:9" s="223" customFormat="1">
      <c r="A60" s="37" t="s">
        <v>280</v>
      </c>
      <c r="B60" s="240">
        <v>0</v>
      </c>
      <c r="C60" s="240">
        <v>0</v>
      </c>
      <c r="D60" s="236">
        <f t="shared" si="0"/>
        <v>0</v>
      </c>
      <c r="E60" s="240">
        <v>0</v>
      </c>
      <c r="F60" s="237">
        <f>E60/E64</f>
        <v>0</v>
      </c>
      <c r="G60" s="240">
        <v>0</v>
      </c>
      <c r="H60" s="237">
        <f>G60/G64</f>
        <v>0</v>
      </c>
      <c r="I60" s="238">
        <f t="shared" si="1"/>
        <v>0</v>
      </c>
    </row>
    <row r="61" spans="1:9" s="223" customFormat="1">
      <c r="A61" s="37" t="s">
        <v>286</v>
      </c>
      <c r="B61" s="240">
        <f>VLOOKUP(A61,[9]進出口值表查詢結果!$B$10:$D$44,3,0)</f>
        <v>198</v>
      </c>
      <c r="C61" s="240">
        <f>VLOOKUP(A61,[9]進出口值表查詢結果!$B$10:$D$44,2,0)</f>
        <v>406589</v>
      </c>
      <c r="D61" s="236">
        <f t="shared" si="0"/>
        <v>2053.4797979797981</v>
      </c>
      <c r="E61" s="240">
        <f>VLOOKUP(A61,[10]進出口值表查詢結果!$B$10:$D$47,3,0)</f>
        <v>647</v>
      </c>
      <c r="F61" s="237">
        <f>E61/E64</f>
        <v>1.3576179784711585E-2</v>
      </c>
      <c r="G61" s="240">
        <f>VLOOKUP(A61,[10]進出口值表查詢結果!$B$10:$D$47,2,0)</f>
        <v>1432406</v>
      </c>
      <c r="H61" s="237">
        <f>G61/G64</f>
        <v>1.604028697615004E-2</v>
      </c>
      <c r="I61" s="238">
        <f t="shared" si="1"/>
        <v>2213.9196290571872</v>
      </c>
    </row>
    <row r="62" spans="1:9" s="223" customFormat="1">
      <c r="A62" s="37" t="s">
        <v>334</v>
      </c>
      <c r="B62" s="240">
        <f>VLOOKUP(A62,[9]進出口值表查詢結果!$B$10:$D$44,3,0)</f>
        <v>140</v>
      </c>
      <c r="C62" s="240">
        <f>VLOOKUP(A62,[9]進出口值表查詢結果!$B$10:$D$44,2,0)</f>
        <v>338740</v>
      </c>
      <c r="D62" s="236">
        <f t="shared" si="0"/>
        <v>2419.5714285714284</v>
      </c>
      <c r="E62" s="240">
        <f>VLOOKUP(A62,[10]進出口值表查詢結果!$B$10:$D$47,3,0)</f>
        <v>166</v>
      </c>
      <c r="F62" s="237">
        <f>E62/E64</f>
        <v>3.4832238705751516E-3</v>
      </c>
      <c r="G62" s="240">
        <f>VLOOKUP(A62,[10]進出口值表查詢結果!$B$10:$D$47,2,0)</f>
        <v>396114</v>
      </c>
      <c r="H62" s="237">
        <f>G62/G64</f>
        <v>4.4357411482992227E-3</v>
      </c>
      <c r="I62" s="238">
        <f t="shared" si="1"/>
        <v>2386.2289156626507</v>
      </c>
    </row>
    <row r="63" spans="1:9" s="223" customFormat="1">
      <c r="A63" s="37" t="s">
        <v>29</v>
      </c>
      <c r="B63" s="34">
        <f>B64-B48-B42-B13-B8</f>
        <v>458</v>
      </c>
      <c r="C63" s="34">
        <f>C64-C48-C42-C13-C8</f>
        <v>1299142</v>
      </c>
      <c r="D63" s="236">
        <f t="shared" si="0"/>
        <v>2836.5545851528386</v>
      </c>
      <c r="E63" s="34">
        <f>E64-E48-E42-E13-E8</f>
        <v>730</v>
      </c>
      <c r="F63" s="242">
        <f>E63/$E$64</f>
        <v>1.531779171999916E-2</v>
      </c>
      <c r="G63" s="241">
        <v>184798</v>
      </c>
      <c r="H63" s="242">
        <f>G63/$G$64</f>
        <v>2.0693943983888471E-3</v>
      </c>
      <c r="I63" s="238">
        <f t="shared" si="1"/>
        <v>253.14794520547946</v>
      </c>
    </row>
    <row r="64" spans="1:9" s="223" customFormat="1">
      <c r="A64" s="243" t="s">
        <v>399</v>
      </c>
      <c r="B64" s="240">
        <f>VLOOKUP(A64,[9]進出口值表查詢結果!$B$10:$D$44,3,0)</f>
        <v>25177</v>
      </c>
      <c r="C64" s="240">
        <f>VLOOKUP(A64,[9]進出口值表查詢結果!$B$10:$D$44,2,0)</f>
        <v>48689608</v>
      </c>
      <c r="D64" s="507">
        <f t="shared" ref="D64" si="2">C64/B64</f>
        <v>1933.8923620764983</v>
      </c>
      <c r="E64" s="240">
        <f>VLOOKUP(A64,[10]進出口值表查詢結果!$B$10:$D$47,3,0)</f>
        <v>47657</v>
      </c>
      <c r="F64" s="508">
        <f>E64/$E$64</f>
        <v>1</v>
      </c>
      <c r="G64" s="240">
        <f>VLOOKUP(A64,[10]進出口值表查詢結果!$B$10:$D$47,2,0)</f>
        <v>89300522</v>
      </c>
      <c r="H64" s="237">
        <f>G64/$G$64</f>
        <v>1</v>
      </c>
      <c r="I64" s="238">
        <f>G64/E64</f>
        <v>1873.817529429045</v>
      </c>
    </row>
    <row r="65" spans="1:9" s="223" customFormat="1" ht="4.5" customHeight="1">
      <c r="A65" s="248"/>
      <c r="B65" s="249"/>
      <c r="C65" s="250"/>
      <c r="D65" s="251"/>
      <c r="E65" s="252"/>
      <c r="F65" s="253"/>
      <c r="G65" s="250"/>
      <c r="H65" s="253"/>
      <c r="I65" s="254"/>
    </row>
    <row r="66" spans="1:9" s="223" customFormat="1" ht="15" customHeight="1">
      <c r="A66" s="255" t="s">
        <v>462</v>
      </c>
      <c r="B66" s="256"/>
      <c r="C66" s="256"/>
      <c r="D66" s="256"/>
    </row>
    <row r="67" spans="1:9" s="223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2" customWidth="1"/>
    <col min="2" max="2" width="12.125" style="262" customWidth="1"/>
    <col min="3" max="3" width="13.5" customWidth="1"/>
    <col min="4" max="4" width="13.75" style="264" customWidth="1"/>
    <col min="5" max="5" width="14.625" style="262" customWidth="1"/>
    <col min="6" max="6" width="15.125" style="263" customWidth="1"/>
    <col min="7" max="7" width="12.25" style="296" customWidth="1"/>
    <col min="8" max="8" width="12.5" style="262" customWidth="1"/>
    <col min="9" max="9" width="12.25" style="262" customWidth="1"/>
    <col min="10" max="10" width="11.625" style="262" customWidth="1"/>
    <col min="11" max="256" width="8.875" style="262"/>
    <col min="257" max="257" width="19.5" style="262" customWidth="1"/>
    <col min="258" max="259" width="12.125" style="262" customWidth="1"/>
    <col min="260" max="260" width="13.75" style="262" customWidth="1"/>
    <col min="261" max="261" width="14.625" style="262" customWidth="1"/>
    <col min="262" max="262" width="15.125" style="262" customWidth="1"/>
    <col min="263" max="263" width="12.25" style="262" customWidth="1"/>
    <col min="264" max="264" width="12.5" style="262" customWidth="1"/>
    <col min="265" max="265" width="12.25" style="262" customWidth="1"/>
    <col min="266" max="266" width="11.625" style="262" customWidth="1"/>
    <col min="267" max="512" width="8.875" style="262"/>
    <col min="513" max="513" width="19.5" style="262" customWidth="1"/>
    <col min="514" max="515" width="12.125" style="262" customWidth="1"/>
    <col min="516" max="516" width="13.75" style="262" customWidth="1"/>
    <col min="517" max="517" width="14.625" style="262" customWidth="1"/>
    <col min="518" max="518" width="15.125" style="262" customWidth="1"/>
    <col min="519" max="519" width="12.25" style="262" customWidth="1"/>
    <col min="520" max="520" width="12.5" style="262" customWidth="1"/>
    <col min="521" max="521" width="12.25" style="262" customWidth="1"/>
    <col min="522" max="522" width="11.625" style="262" customWidth="1"/>
    <col min="523" max="768" width="8.875" style="262"/>
    <col min="769" max="769" width="19.5" style="262" customWidth="1"/>
    <col min="770" max="771" width="12.125" style="262" customWidth="1"/>
    <col min="772" max="772" width="13.75" style="262" customWidth="1"/>
    <col min="773" max="773" width="14.625" style="262" customWidth="1"/>
    <col min="774" max="774" width="15.125" style="262" customWidth="1"/>
    <col min="775" max="775" width="12.25" style="262" customWidth="1"/>
    <col min="776" max="776" width="12.5" style="262" customWidth="1"/>
    <col min="777" max="777" width="12.25" style="262" customWidth="1"/>
    <col min="778" max="778" width="11.625" style="262" customWidth="1"/>
    <col min="779" max="1024" width="8.875" style="262"/>
    <col min="1025" max="1025" width="19.5" style="262" customWidth="1"/>
    <col min="1026" max="1027" width="12.125" style="262" customWidth="1"/>
    <col min="1028" max="1028" width="13.75" style="262" customWidth="1"/>
    <col min="1029" max="1029" width="14.625" style="262" customWidth="1"/>
    <col min="1030" max="1030" width="15.125" style="262" customWidth="1"/>
    <col min="1031" max="1031" width="12.25" style="262" customWidth="1"/>
    <col min="1032" max="1032" width="12.5" style="262" customWidth="1"/>
    <col min="1033" max="1033" width="12.25" style="262" customWidth="1"/>
    <col min="1034" max="1034" width="11.625" style="262" customWidth="1"/>
    <col min="1035" max="1280" width="8.875" style="262"/>
    <col min="1281" max="1281" width="19.5" style="262" customWidth="1"/>
    <col min="1282" max="1283" width="12.125" style="262" customWidth="1"/>
    <col min="1284" max="1284" width="13.75" style="262" customWidth="1"/>
    <col min="1285" max="1285" width="14.625" style="262" customWidth="1"/>
    <col min="1286" max="1286" width="15.125" style="262" customWidth="1"/>
    <col min="1287" max="1287" width="12.25" style="262" customWidth="1"/>
    <col min="1288" max="1288" width="12.5" style="262" customWidth="1"/>
    <col min="1289" max="1289" width="12.25" style="262" customWidth="1"/>
    <col min="1290" max="1290" width="11.625" style="262" customWidth="1"/>
    <col min="1291" max="1536" width="8.875" style="262"/>
    <col min="1537" max="1537" width="19.5" style="262" customWidth="1"/>
    <col min="1538" max="1539" width="12.125" style="262" customWidth="1"/>
    <col min="1540" max="1540" width="13.75" style="262" customWidth="1"/>
    <col min="1541" max="1541" width="14.625" style="262" customWidth="1"/>
    <col min="1542" max="1542" width="15.125" style="262" customWidth="1"/>
    <col min="1543" max="1543" width="12.25" style="262" customWidth="1"/>
    <col min="1544" max="1544" width="12.5" style="262" customWidth="1"/>
    <col min="1545" max="1545" width="12.25" style="262" customWidth="1"/>
    <col min="1546" max="1546" width="11.625" style="262" customWidth="1"/>
    <col min="1547" max="1792" width="8.875" style="262"/>
    <col min="1793" max="1793" width="19.5" style="262" customWidth="1"/>
    <col min="1794" max="1795" width="12.125" style="262" customWidth="1"/>
    <col min="1796" max="1796" width="13.75" style="262" customWidth="1"/>
    <col min="1797" max="1797" width="14.625" style="262" customWidth="1"/>
    <col min="1798" max="1798" width="15.125" style="262" customWidth="1"/>
    <col min="1799" max="1799" width="12.25" style="262" customWidth="1"/>
    <col min="1800" max="1800" width="12.5" style="262" customWidth="1"/>
    <col min="1801" max="1801" width="12.25" style="262" customWidth="1"/>
    <col min="1802" max="1802" width="11.625" style="262" customWidth="1"/>
    <col min="1803" max="2048" width="8.875" style="262"/>
    <col min="2049" max="2049" width="19.5" style="262" customWidth="1"/>
    <col min="2050" max="2051" width="12.125" style="262" customWidth="1"/>
    <col min="2052" max="2052" width="13.75" style="262" customWidth="1"/>
    <col min="2053" max="2053" width="14.625" style="262" customWidth="1"/>
    <col min="2054" max="2054" width="15.125" style="262" customWidth="1"/>
    <col min="2055" max="2055" width="12.25" style="262" customWidth="1"/>
    <col min="2056" max="2056" width="12.5" style="262" customWidth="1"/>
    <col min="2057" max="2057" width="12.25" style="262" customWidth="1"/>
    <col min="2058" max="2058" width="11.625" style="262" customWidth="1"/>
    <col min="2059" max="2304" width="8.875" style="262"/>
    <col min="2305" max="2305" width="19.5" style="262" customWidth="1"/>
    <col min="2306" max="2307" width="12.125" style="262" customWidth="1"/>
    <col min="2308" max="2308" width="13.75" style="262" customWidth="1"/>
    <col min="2309" max="2309" width="14.625" style="262" customWidth="1"/>
    <col min="2310" max="2310" width="15.125" style="262" customWidth="1"/>
    <col min="2311" max="2311" width="12.25" style="262" customWidth="1"/>
    <col min="2312" max="2312" width="12.5" style="262" customWidth="1"/>
    <col min="2313" max="2313" width="12.25" style="262" customWidth="1"/>
    <col min="2314" max="2314" width="11.625" style="262" customWidth="1"/>
    <col min="2315" max="2560" width="8.875" style="262"/>
    <col min="2561" max="2561" width="19.5" style="262" customWidth="1"/>
    <col min="2562" max="2563" width="12.125" style="262" customWidth="1"/>
    <col min="2564" max="2564" width="13.75" style="262" customWidth="1"/>
    <col min="2565" max="2565" width="14.625" style="262" customWidth="1"/>
    <col min="2566" max="2566" width="15.125" style="262" customWidth="1"/>
    <col min="2567" max="2567" width="12.25" style="262" customWidth="1"/>
    <col min="2568" max="2568" width="12.5" style="262" customWidth="1"/>
    <col min="2569" max="2569" width="12.25" style="262" customWidth="1"/>
    <col min="2570" max="2570" width="11.625" style="262" customWidth="1"/>
    <col min="2571" max="2816" width="8.875" style="262"/>
    <col min="2817" max="2817" width="19.5" style="262" customWidth="1"/>
    <col min="2818" max="2819" width="12.125" style="262" customWidth="1"/>
    <col min="2820" max="2820" width="13.75" style="262" customWidth="1"/>
    <col min="2821" max="2821" width="14.625" style="262" customWidth="1"/>
    <col min="2822" max="2822" width="15.125" style="262" customWidth="1"/>
    <col min="2823" max="2823" width="12.25" style="262" customWidth="1"/>
    <col min="2824" max="2824" width="12.5" style="262" customWidth="1"/>
    <col min="2825" max="2825" width="12.25" style="262" customWidth="1"/>
    <col min="2826" max="2826" width="11.625" style="262" customWidth="1"/>
    <col min="2827" max="3072" width="8.875" style="262"/>
    <col min="3073" max="3073" width="19.5" style="262" customWidth="1"/>
    <col min="3074" max="3075" width="12.125" style="262" customWidth="1"/>
    <col min="3076" max="3076" width="13.75" style="262" customWidth="1"/>
    <col min="3077" max="3077" width="14.625" style="262" customWidth="1"/>
    <col min="3078" max="3078" width="15.125" style="262" customWidth="1"/>
    <col min="3079" max="3079" width="12.25" style="262" customWidth="1"/>
    <col min="3080" max="3080" width="12.5" style="262" customWidth="1"/>
    <col min="3081" max="3081" width="12.25" style="262" customWidth="1"/>
    <col min="3082" max="3082" width="11.625" style="262" customWidth="1"/>
    <col min="3083" max="3328" width="8.875" style="262"/>
    <col min="3329" max="3329" width="19.5" style="262" customWidth="1"/>
    <col min="3330" max="3331" width="12.125" style="262" customWidth="1"/>
    <col min="3332" max="3332" width="13.75" style="262" customWidth="1"/>
    <col min="3333" max="3333" width="14.625" style="262" customWidth="1"/>
    <col min="3334" max="3334" width="15.125" style="262" customWidth="1"/>
    <col min="3335" max="3335" width="12.25" style="262" customWidth="1"/>
    <col min="3336" max="3336" width="12.5" style="262" customWidth="1"/>
    <col min="3337" max="3337" width="12.25" style="262" customWidth="1"/>
    <col min="3338" max="3338" width="11.625" style="262" customWidth="1"/>
    <col min="3339" max="3584" width="8.875" style="262"/>
    <col min="3585" max="3585" width="19.5" style="262" customWidth="1"/>
    <col min="3586" max="3587" width="12.125" style="262" customWidth="1"/>
    <col min="3588" max="3588" width="13.75" style="262" customWidth="1"/>
    <col min="3589" max="3589" width="14.625" style="262" customWidth="1"/>
    <col min="3590" max="3590" width="15.125" style="262" customWidth="1"/>
    <col min="3591" max="3591" width="12.25" style="262" customWidth="1"/>
    <col min="3592" max="3592" width="12.5" style="262" customWidth="1"/>
    <col min="3593" max="3593" width="12.25" style="262" customWidth="1"/>
    <col min="3594" max="3594" width="11.625" style="262" customWidth="1"/>
    <col min="3595" max="3840" width="8.875" style="262"/>
    <col min="3841" max="3841" width="19.5" style="262" customWidth="1"/>
    <col min="3842" max="3843" width="12.125" style="262" customWidth="1"/>
    <col min="3844" max="3844" width="13.75" style="262" customWidth="1"/>
    <col min="3845" max="3845" width="14.625" style="262" customWidth="1"/>
    <col min="3846" max="3846" width="15.125" style="262" customWidth="1"/>
    <col min="3847" max="3847" width="12.25" style="262" customWidth="1"/>
    <col min="3848" max="3848" width="12.5" style="262" customWidth="1"/>
    <col min="3849" max="3849" width="12.25" style="262" customWidth="1"/>
    <col min="3850" max="3850" width="11.625" style="262" customWidth="1"/>
    <col min="3851" max="4096" width="8.875" style="262"/>
    <col min="4097" max="4097" width="19.5" style="262" customWidth="1"/>
    <col min="4098" max="4099" width="12.125" style="262" customWidth="1"/>
    <col min="4100" max="4100" width="13.75" style="262" customWidth="1"/>
    <col min="4101" max="4101" width="14.625" style="262" customWidth="1"/>
    <col min="4102" max="4102" width="15.125" style="262" customWidth="1"/>
    <col min="4103" max="4103" width="12.25" style="262" customWidth="1"/>
    <col min="4104" max="4104" width="12.5" style="262" customWidth="1"/>
    <col min="4105" max="4105" width="12.25" style="262" customWidth="1"/>
    <col min="4106" max="4106" width="11.625" style="262" customWidth="1"/>
    <col min="4107" max="4352" width="8.875" style="262"/>
    <col min="4353" max="4353" width="19.5" style="262" customWidth="1"/>
    <col min="4354" max="4355" width="12.125" style="262" customWidth="1"/>
    <col min="4356" max="4356" width="13.75" style="262" customWidth="1"/>
    <col min="4357" max="4357" width="14.625" style="262" customWidth="1"/>
    <col min="4358" max="4358" width="15.125" style="262" customWidth="1"/>
    <col min="4359" max="4359" width="12.25" style="262" customWidth="1"/>
    <col min="4360" max="4360" width="12.5" style="262" customWidth="1"/>
    <col min="4361" max="4361" width="12.25" style="262" customWidth="1"/>
    <col min="4362" max="4362" width="11.625" style="262" customWidth="1"/>
    <col min="4363" max="4608" width="8.875" style="262"/>
    <col min="4609" max="4609" width="19.5" style="262" customWidth="1"/>
    <col min="4610" max="4611" width="12.125" style="262" customWidth="1"/>
    <col min="4612" max="4612" width="13.75" style="262" customWidth="1"/>
    <col min="4613" max="4613" width="14.625" style="262" customWidth="1"/>
    <col min="4614" max="4614" width="15.125" style="262" customWidth="1"/>
    <col min="4615" max="4615" width="12.25" style="262" customWidth="1"/>
    <col min="4616" max="4616" width="12.5" style="262" customWidth="1"/>
    <col min="4617" max="4617" width="12.25" style="262" customWidth="1"/>
    <col min="4618" max="4618" width="11.625" style="262" customWidth="1"/>
    <col min="4619" max="4864" width="8.875" style="262"/>
    <col min="4865" max="4865" width="19.5" style="262" customWidth="1"/>
    <col min="4866" max="4867" width="12.125" style="262" customWidth="1"/>
    <col min="4868" max="4868" width="13.75" style="262" customWidth="1"/>
    <col min="4869" max="4869" width="14.625" style="262" customWidth="1"/>
    <col min="4870" max="4870" width="15.125" style="262" customWidth="1"/>
    <col min="4871" max="4871" width="12.25" style="262" customWidth="1"/>
    <col min="4872" max="4872" width="12.5" style="262" customWidth="1"/>
    <col min="4873" max="4873" width="12.25" style="262" customWidth="1"/>
    <col min="4874" max="4874" width="11.625" style="262" customWidth="1"/>
    <col min="4875" max="5120" width="8.875" style="262"/>
    <col min="5121" max="5121" width="19.5" style="262" customWidth="1"/>
    <col min="5122" max="5123" width="12.125" style="262" customWidth="1"/>
    <col min="5124" max="5124" width="13.75" style="262" customWidth="1"/>
    <col min="5125" max="5125" width="14.625" style="262" customWidth="1"/>
    <col min="5126" max="5126" width="15.125" style="262" customWidth="1"/>
    <col min="5127" max="5127" width="12.25" style="262" customWidth="1"/>
    <col min="5128" max="5128" width="12.5" style="262" customWidth="1"/>
    <col min="5129" max="5129" width="12.25" style="262" customWidth="1"/>
    <col min="5130" max="5130" width="11.625" style="262" customWidth="1"/>
    <col min="5131" max="5376" width="8.875" style="262"/>
    <col min="5377" max="5377" width="19.5" style="262" customWidth="1"/>
    <col min="5378" max="5379" width="12.125" style="262" customWidth="1"/>
    <col min="5380" max="5380" width="13.75" style="262" customWidth="1"/>
    <col min="5381" max="5381" width="14.625" style="262" customWidth="1"/>
    <col min="5382" max="5382" width="15.125" style="262" customWidth="1"/>
    <col min="5383" max="5383" width="12.25" style="262" customWidth="1"/>
    <col min="5384" max="5384" width="12.5" style="262" customWidth="1"/>
    <col min="5385" max="5385" width="12.25" style="262" customWidth="1"/>
    <col min="5386" max="5386" width="11.625" style="262" customWidth="1"/>
    <col min="5387" max="5632" width="8.875" style="262"/>
    <col min="5633" max="5633" width="19.5" style="262" customWidth="1"/>
    <col min="5634" max="5635" width="12.125" style="262" customWidth="1"/>
    <col min="5636" max="5636" width="13.75" style="262" customWidth="1"/>
    <col min="5637" max="5637" width="14.625" style="262" customWidth="1"/>
    <col min="5638" max="5638" width="15.125" style="262" customWidth="1"/>
    <col min="5639" max="5639" width="12.25" style="262" customWidth="1"/>
    <col min="5640" max="5640" width="12.5" style="262" customWidth="1"/>
    <col min="5641" max="5641" width="12.25" style="262" customWidth="1"/>
    <col min="5642" max="5642" width="11.625" style="262" customWidth="1"/>
    <col min="5643" max="5888" width="8.875" style="262"/>
    <col min="5889" max="5889" width="19.5" style="262" customWidth="1"/>
    <col min="5890" max="5891" width="12.125" style="262" customWidth="1"/>
    <col min="5892" max="5892" width="13.75" style="262" customWidth="1"/>
    <col min="5893" max="5893" width="14.625" style="262" customWidth="1"/>
    <col min="5894" max="5894" width="15.125" style="262" customWidth="1"/>
    <col min="5895" max="5895" width="12.25" style="262" customWidth="1"/>
    <col min="5896" max="5896" width="12.5" style="262" customWidth="1"/>
    <col min="5897" max="5897" width="12.25" style="262" customWidth="1"/>
    <col min="5898" max="5898" width="11.625" style="262" customWidth="1"/>
    <col min="5899" max="6144" width="8.875" style="262"/>
    <col min="6145" max="6145" width="19.5" style="262" customWidth="1"/>
    <col min="6146" max="6147" width="12.125" style="262" customWidth="1"/>
    <col min="6148" max="6148" width="13.75" style="262" customWidth="1"/>
    <col min="6149" max="6149" width="14.625" style="262" customWidth="1"/>
    <col min="6150" max="6150" width="15.125" style="262" customWidth="1"/>
    <col min="6151" max="6151" width="12.25" style="262" customWidth="1"/>
    <col min="6152" max="6152" width="12.5" style="262" customWidth="1"/>
    <col min="6153" max="6153" width="12.25" style="262" customWidth="1"/>
    <col min="6154" max="6154" width="11.625" style="262" customWidth="1"/>
    <col min="6155" max="6400" width="8.875" style="262"/>
    <col min="6401" max="6401" width="19.5" style="262" customWidth="1"/>
    <col min="6402" max="6403" width="12.125" style="262" customWidth="1"/>
    <col min="6404" max="6404" width="13.75" style="262" customWidth="1"/>
    <col min="6405" max="6405" width="14.625" style="262" customWidth="1"/>
    <col min="6406" max="6406" width="15.125" style="262" customWidth="1"/>
    <col min="6407" max="6407" width="12.25" style="262" customWidth="1"/>
    <col min="6408" max="6408" width="12.5" style="262" customWidth="1"/>
    <col min="6409" max="6409" width="12.25" style="262" customWidth="1"/>
    <col min="6410" max="6410" width="11.625" style="262" customWidth="1"/>
    <col min="6411" max="6656" width="8.875" style="262"/>
    <col min="6657" max="6657" width="19.5" style="262" customWidth="1"/>
    <col min="6658" max="6659" width="12.125" style="262" customWidth="1"/>
    <col min="6660" max="6660" width="13.75" style="262" customWidth="1"/>
    <col min="6661" max="6661" width="14.625" style="262" customWidth="1"/>
    <col min="6662" max="6662" width="15.125" style="262" customWidth="1"/>
    <col min="6663" max="6663" width="12.25" style="262" customWidth="1"/>
    <col min="6664" max="6664" width="12.5" style="262" customWidth="1"/>
    <col min="6665" max="6665" width="12.25" style="262" customWidth="1"/>
    <col min="6666" max="6666" width="11.625" style="262" customWidth="1"/>
    <col min="6667" max="6912" width="8.875" style="262"/>
    <col min="6913" max="6913" width="19.5" style="262" customWidth="1"/>
    <col min="6914" max="6915" width="12.125" style="262" customWidth="1"/>
    <col min="6916" max="6916" width="13.75" style="262" customWidth="1"/>
    <col min="6917" max="6917" width="14.625" style="262" customWidth="1"/>
    <col min="6918" max="6918" width="15.125" style="262" customWidth="1"/>
    <col min="6919" max="6919" width="12.25" style="262" customWidth="1"/>
    <col min="6920" max="6920" width="12.5" style="262" customWidth="1"/>
    <col min="6921" max="6921" width="12.25" style="262" customWidth="1"/>
    <col min="6922" max="6922" width="11.625" style="262" customWidth="1"/>
    <col min="6923" max="7168" width="8.875" style="262"/>
    <col min="7169" max="7169" width="19.5" style="262" customWidth="1"/>
    <col min="7170" max="7171" width="12.125" style="262" customWidth="1"/>
    <col min="7172" max="7172" width="13.75" style="262" customWidth="1"/>
    <col min="7173" max="7173" width="14.625" style="262" customWidth="1"/>
    <col min="7174" max="7174" width="15.125" style="262" customWidth="1"/>
    <col min="7175" max="7175" width="12.25" style="262" customWidth="1"/>
    <col min="7176" max="7176" width="12.5" style="262" customWidth="1"/>
    <col min="7177" max="7177" width="12.25" style="262" customWidth="1"/>
    <col min="7178" max="7178" width="11.625" style="262" customWidth="1"/>
    <col min="7179" max="7424" width="8.875" style="262"/>
    <col min="7425" max="7425" width="19.5" style="262" customWidth="1"/>
    <col min="7426" max="7427" width="12.125" style="262" customWidth="1"/>
    <col min="7428" max="7428" width="13.75" style="262" customWidth="1"/>
    <col min="7429" max="7429" width="14.625" style="262" customWidth="1"/>
    <col min="7430" max="7430" width="15.125" style="262" customWidth="1"/>
    <col min="7431" max="7431" width="12.25" style="262" customWidth="1"/>
    <col min="7432" max="7432" width="12.5" style="262" customWidth="1"/>
    <col min="7433" max="7433" width="12.25" style="262" customWidth="1"/>
    <col min="7434" max="7434" width="11.625" style="262" customWidth="1"/>
    <col min="7435" max="7680" width="8.875" style="262"/>
    <col min="7681" max="7681" width="19.5" style="262" customWidth="1"/>
    <col min="7682" max="7683" width="12.125" style="262" customWidth="1"/>
    <col min="7684" max="7684" width="13.75" style="262" customWidth="1"/>
    <col min="7685" max="7685" width="14.625" style="262" customWidth="1"/>
    <col min="7686" max="7686" width="15.125" style="262" customWidth="1"/>
    <col min="7687" max="7687" width="12.25" style="262" customWidth="1"/>
    <col min="7688" max="7688" width="12.5" style="262" customWidth="1"/>
    <col min="7689" max="7689" width="12.25" style="262" customWidth="1"/>
    <col min="7690" max="7690" width="11.625" style="262" customWidth="1"/>
    <col min="7691" max="7936" width="8.875" style="262"/>
    <col min="7937" max="7937" width="19.5" style="262" customWidth="1"/>
    <col min="7938" max="7939" width="12.125" style="262" customWidth="1"/>
    <col min="7940" max="7940" width="13.75" style="262" customWidth="1"/>
    <col min="7941" max="7941" width="14.625" style="262" customWidth="1"/>
    <col min="7942" max="7942" width="15.125" style="262" customWidth="1"/>
    <col min="7943" max="7943" width="12.25" style="262" customWidth="1"/>
    <col min="7944" max="7944" width="12.5" style="262" customWidth="1"/>
    <col min="7945" max="7945" width="12.25" style="262" customWidth="1"/>
    <col min="7946" max="7946" width="11.625" style="262" customWidth="1"/>
    <col min="7947" max="8192" width="8.875" style="262"/>
    <col min="8193" max="8193" width="19.5" style="262" customWidth="1"/>
    <col min="8194" max="8195" width="12.125" style="262" customWidth="1"/>
    <col min="8196" max="8196" width="13.75" style="262" customWidth="1"/>
    <col min="8197" max="8197" width="14.625" style="262" customWidth="1"/>
    <col min="8198" max="8198" width="15.125" style="262" customWidth="1"/>
    <col min="8199" max="8199" width="12.25" style="262" customWidth="1"/>
    <col min="8200" max="8200" width="12.5" style="262" customWidth="1"/>
    <col min="8201" max="8201" width="12.25" style="262" customWidth="1"/>
    <col min="8202" max="8202" width="11.625" style="262" customWidth="1"/>
    <col min="8203" max="8448" width="8.875" style="262"/>
    <col min="8449" max="8449" width="19.5" style="262" customWidth="1"/>
    <col min="8450" max="8451" width="12.125" style="262" customWidth="1"/>
    <col min="8452" max="8452" width="13.75" style="262" customWidth="1"/>
    <col min="8453" max="8453" width="14.625" style="262" customWidth="1"/>
    <col min="8454" max="8454" width="15.125" style="262" customWidth="1"/>
    <col min="8455" max="8455" width="12.25" style="262" customWidth="1"/>
    <col min="8456" max="8456" width="12.5" style="262" customWidth="1"/>
    <col min="8457" max="8457" width="12.25" style="262" customWidth="1"/>
    <col min="8458" max="8458" width="11.625" style="262" customWidth="1"/>
    <col min="8459" max="8704" width="8.875" style="262"/>
    <col min="8705" max="8705" width="19.5" style="262" customWidth="1"/>
    <col min="8706" max="8707" width="12.125" style="262" customWidth="1"/>
    <col min="8708" max="8708" width="13.75" style="262" customWidth="1"/>
    <col min="8709" max="8709" width="14.625" style="262" customWidth="1"/>
    <col min="8710" max="8710" width="15.125" style="262" customWidth="1"/>
    <col min="8711" max="8711" width="12.25" style="262" customWidth="1"/>
    <col min="8712" max="8712" width="12.5" style="262" customWidth="1"/>
    <col min="8713" max="8713" width="12.25" style="262" customWidth="1"/>
    <col min="8714" max="8714" width="11.625" style="262" customWidth="1"/>
    <col min="8715" max="8960" width="8.875" style="262"/>
    <col min="8961" max="8961" width="19.5" style="262" customWidth="1"/>
    <col min="8962" max="8963" width="12.125" style="262" customWidth="1"/>
    <col min="8964" max="8964" width="13.75" style="262" customWidth="1"/>
    <col min="8965" max="8965" width="14.625" style="262" customWidth="1"/>
    <col min="8966" max="8966" width="15.125" style="262" customWidth="1"/>
    <col min="8967" max="8967" width="12.25" style="262" customWidth="1"/>
    <col min="8968" max="8968" width="12.5" style="262" customWidth="1"/>
    <col min="8969" max="8969" width="12.25" style="262" customWidth="1"/>
    <col min="8970" max="8970" width="11.625" style="262" customWidth="1"/>
    <col min="8971" max="9216" width="8.875" style="262"/>
    <col min="9217" max="9217" width="19.5" style="262" customWidth="1"/>
    <col min="9218" max="9219" width="12.125" style="262" customWidth="1"/>
    <col min="9220" max="9220" width="13.75" style="262" customWidth="1"/>
    <col min="9221" max="9221" width="14.625" style="262" customWidth="1"/>
    <col min="9222" max="9222" width="15.125" style="262" customWidth="1"/>
    <col min="9223" max="9223" width="12.25" style="262" customWidth="1"/>
    <col min="9224" max="9224" width="12.5" style="262" customWidth="1"/>
    <col min="9225" max="9225" width="12.25" style="262" customWidth="1"/>
    <col min="9226" max="9226" width="11.625" style="262" customWidth="1"/>
    <col min="9227" max="9472" width="8.875" style="262"/>
    <col min="9473" max="9473" width="19.5" style="262" customWidth="1"/>
    <col min="9474" max="9475" width="12.125" style="262" customWidth="1"/>
    <col min="9476" max="9476" width="13.75" style="262" customWidth="1"/>
    <col min="9477" max="9477" width="14.625" style="262" customWidth="1"/>
    <col min="9478" max="9478" width="15.125" style="262" customWidth="1"/>
    <col min="9479" max="9479" width="12.25" style="262" customWidth="1"/>
    <col min="9480" max="9480" width="12.5" style="262" customWidth="1"/>
    <col min="9481" max="9481" width="12.25" style="262" customWidth="1"/>
    <col min="9482" max="9482" width="11.625" style="262" customWidth="1"/>
    <col min="9483" max="9728" width="8.875" style="262"/>
    <col min="9729" max="9729" width="19.5" style="262" customWidth="1"/>
    <col min="9730" max="9731" width="12.125" style="262" customWidth="1"/>
    <col min="9732" max="9732" width="13.75" style="262" customWidth="1"/>
    <col min="9733" max="9733" width="14.625" style="262" customWidth="1"/>
    <col min="9734" max="9734" width="15.125" style="262" customWidth="1"/>
    <col min="9735" max="9735" width="12.25" style="262" customWidth="1"/>
    <col min="9736" max="9736" width="12.5" style="262" customWidth="1"/>
    <col min="9737" max="9737" width="12.25" style="262" customWidth="1"/>
    <col min="9738" max="9738" width="11.625" style="262" customWidth="1"/>
    <col min="9739" max="9984" width="8.875" style="262"/>
    <col min="9985" max="9985" width="19.5" style="262" customWidth="1"/>
    <col min="9986" max="9987" width="12.125" style="262" customWidth="1"/>
    <col min="9988" max="9988" width="13.75" style="262" customWidth="1"/>
    <col min="9989" max="9989" width="14.625" style="262" customWidth="1"/>
    <col min="9990" max="9990" width="15.125" style="262" customWidth="1"/>
    <col min="9991" max="9991" width="12.25" style="262" customWidth="1"/>
    <col min="9992" max="9992" width="12.5" style="262" customWidth="1"/>
    <col min="9993" max="9993" width="12.25" style="262" customWidth="1"/>
    <col min="9994" max="9994" width="11.625" style="262" customWidth="1"/>
    <col min="9995" max="10240" width="8.875" style="262"/>
    <col min="10241" max="10241" width="19.5" style="262" customWidth="1"/>
    <col min="10242" max="10243" width="12.125" style="262" customWidth="1"/>
    <col min="10244" max="10244" width="13.75" style="262" customWidth="1"/>
    <col min="10245" max="10245" width="14.625" style="262" customWidth="1"/>
    <col min="10246" max="10246" width="15.125" style="262" customWidth="1"/>
    <col min="10247" max="10247" width="12.25" style="262" customWidth="1"/>
    <col min="10248" max="10248" width="12.5" style="262" customWidth="1"/>
    <col min="10249" max="10249" width="12.25" style="262" customWidth="1"/>
    <col min="10250" max="10250" width="11.625" style="262" customWidth="1"/>
    <col min="10251" max="10496" width="8.875" style="262"/>
    <col min="10497" max="10497" width="19.5" style="262" customWidth="1"/>
    <col min="10498" max="10499" width="12.125" style="262" customWidth="1"/>
    <col min="10500" max="10500" width="13.75" style="262" customWidth="1"/>
    <col min="10501" max="10501" width="14.625" style="262" customWidth="1"/>
    <col min="10502" max="10502" width="15.125" style="262" customWidth="1"/>
    <col min="10503" max="10503" width="12.25" style="262" customWidth="1"/>
    <col min="10504" max="10504" width="12.5" style="262" customWidth="1"/>
    <col min="10505" max="10505" width="12.25" style="262" customWidth="1"/>
    <col min="10506" max="10506" width="11.625" style="262" customWidth="1"/>
    <col min="10507" max="10752" width="8.875" style="262"/>
    <col min="10753" max="10753" width="19.5" style="262" customWidth="1"/>
    <col min="10754" max="10755" width="12.125" style="262" customWidth="1"/>
    <col min="10756" max="10756" width="13.75" style="262" customWidth="1"/>
    <col min="10757" max="10757" width="14.625" style="262" customWidth="1"/>
    <col min="10758" max="10758" width="15.125" style="262" customWidth="1"/>
    <col min="10759" max="10759" width="12.25" style="262" customWidth="1"/>
    <col min="10760" max="10760" width="12.5" style="262" customWidth="1"/>
    <col min="10761" max="10761" width="12.25" style="262" customWidth="1"/>
    <col min="10762" max="10762" width="11.625" style="262" customWidth="1"/>
    <col min="10763" max="11008" width="8.875" style="262"/>
    <col min="11009" max="11009" width="19.5" style="262" customWidth="1"/>
    <col min="11010" max="11011" width="12.125" style="262" customWidth="1"/>
    <col min="11012" max="11012" width="13.75" style="262" customWidth="1"/>
    <col min="11013" max="11013" width="14.625" style="262" customWidth="1"/>
    <col min="11014" max="11014" width="15.125" style="262" customWidth="1"/>
    <col min="11015" max="11015" width="12.25" style="262" customWidth="1"/>
    <col min="11016" max="11016" width="12.5" style="262" customWidth="1"/>
    <col min="11017" max="11017" width="12.25" style="262" customWidth="1"/>
    <col min="11018" max="11018" width="11.625" style="262" customWidth="1"/>
    <col min="11019" max="11264" width="8.875" style="262"/>
    <col min="11265" max="11265" width="19.5" style="262" customWidth="1"/>
    <col min="11266" max="11267" width="12.125" style="262" customWidth="1"/>
    <col min="11268" max="11268" width="13.75" style="262" customWidth="1"/>
    <col min="11269" max="11269" width="14.625" style="262" customWidth="1"/>
    <col min="11270" max="11270" width="15.125" style="262" customWidth="1"/>
    <col min="11271" max="11271" width="12.25" style="262" customWidth="1"/>
    <col min="11272" max="11272" width="12.5" style="262" customWidth="1"/>
    <col min="11273" max="11273" width="12.25" style="262" customWidth="1"/>
    <col min="11274" max="11274" width="11.625" style="262" customWidth="1"/>
    <col min="11275" max="11520" width="8.875" style="262"/>
    <col min="11521" max="11521" width="19.5" style="262" customWidth="1"/>
    <col min="11522" max="11523" width="12.125" style="262" customWidth="1"/>
    <col min="11524" max="11524" width="13.75" style="262" customWidth="1"/>
    <col min="11525" max="11525" width="14.625" style="262" customWidth="1"/>
    <col min="11526" max="11526" width="15.125" style="262" customWidth="1"/>
    <col min="11527" max="11527" width="12.25" style="262" customWidth="1"/>
    <col min="11528" max="11528" width="12.5" style="262" customWidth="1"/>
    <col min="11529" max="11529" width="12.25" style="262" customWidth="1"/>
    <col min="11530" max="11530" width="11.625" style="262" customWidth="1"/>
    <col min="11531" max="11776" width="8.875" style="262"/>
    <col min="11777" max="11777" width="19.5" style="262" customWidth="1"/>
    <col min="11778" max="11779" width="12.125" style="262" customWidth="1"/>
    <col min="11780" max="11780" width="13.75" style="262" customWidth="1"/>
    <col min="11781" max="11781" width="14.625" style="262" customWidth="1"/>
    <col min="11782" max="11782" width="15.125" style="262" customWidth="1"/>
    <col min="11783" max="11783" width="12.25" style="262" customWidth="1"/>
    <col min="11784" max="11784" width="12.5" style="262" customWidth="1"/>
    <col min="11785" max="11785" width="12.25" style="262" customWidth="1"/>
    <col min="11786" max="11786" width="11.625" style="262" customWidth="1"/>
    <col min="11787" max="12032" width="8.875" style="262"/>
    <col min="12033" max="12033" width="19.5" style="262" customWidth="1"/>
    <col min="12034" max="12035" width="12.125" style="262" customWidth="1"/>
    <col min="12036" max="12036" width="13.75" style="262" customWidth="1"/>
    <col min="12037" max="12037" width="14.625" style="262" customWidth="1"/>
    <col min="12038" max="12038" width="15.125" style="262" customWidth="1"/>
    <col min="12039" max="12039" width="12.25" style="262" customWidth="1"/>
    <col min="12040" max="12040" width="12.5" style="262" customWidth="1"/>
    <col min="12041" max="12041" width="12.25" style="262" customWidth="1"/>
    <col min="12042" max="12042" width="11.625" style="262" customWidth="1"/>
    <col min="12043" max="12288" width="8.875" style="262"/>
    <col min="12289" max="12289" width="19.5" style="262" customWidth="1"/>
    <col min="12290" max="12291" width="12.125" style="262" customWidth="1"/>
    <col min="12292" max="12292" width="13.75" style="262" customWidth="1"/>
    <col min="12293" max="12293" width="14.625" style="262" customWidth="1"/>
    <col min="12294" max="12294" width="15.125" style="262" customWidth="1"/>
    <col min="12295" max="12295" width="12.25" style="262" customWidth="1"/>
    <col min="12296" max="12296" width="12.5" style="262" customWidth="1"/>
    <col min="12297" max="12297" width="12.25" style="262" customWidth="1"/>
    <col min="12298" max="12298" width="11.625" style="262" customWidth="1"/>
    <col min="12299" max="12544" width="8.875" style="262"/>
    <col min="12545" max="12545" width="19.5" style="262" customWidth="1"/>
    <col min="12546" max="12547" width="12.125" style="262" customWidth="1"/>
    <col min="12548" max="12548" width="13.75" style="262" customWidth="1"/>
    <col min="12549" max="12549" width="14.625" style="262" customWidth="1"/>
    <col min="12550" max="12550" width="15.125" style="262" customWidth="1"/>
    <col min="12551" max="12551" width="12.25" style="262" customWidth="1"/>
    <col min="12552" max="12552" width="12.5" style="262" customWidth="1"/>
    <col min="12553" max="12553" width="12.25" style="262" customWidth="1"/>
    <col min="12554" max="12554" width="11.625" style="262" customWidth="1"/>
    <col min="12555" max="12800" width="8.875" style="262"/>
    <col min="12801" max="12801" width="19.5" style="262" customWidth="1"/>
    <col min="12802" max="12803" width="12.125" style="262" customWidth="1"/>
    <col min="12804" max="12804" width="13.75" style="262" customWidth="1"/>
    <col min="12805" max="12805" width="14.625" style="262" customWidth="1"/>
    <col min="12806" max="12806" width="15.125" style="262" customWidth="1"/>
    <col min="12807" max="12807" width="12.25" style="262" customWidth="1"/>
    <col min="12808" max="12808" width="12.5" style="262" customWidth="1"/>
    <col min="12809" max="12809" width="12.25" style="262" customWidth="1"/>
    <col min="12810" max="12810" width="11.625" style="262" customWidth="1"/>
    <col min="12811" max="13056" width="8.875" style="262"/>
    <col min="13057" max="13057" width="19.5" style="262" customWidth="1"/>
    <col min="13058" max="13059" width="12.125" style="262" customWidth="1"/>
    <col min="13060" max="13060" width="13.75" style="262" customWidth="1"/>
    <col min="13061" max="13061" width="14.625" style="262" customWidth="1"/>
    <col min="13062" max="13062" width="15.125" style="262" customWidth="1"/>
    <col min="13063" max="13063" width="12.25" style="262" customWidth="1"/>
    <col min="13064" max="13064" width="12.5" style="262" customWidth="1"/>
    <col min="13065" max="13065" width="12.25" style="262" customWidth="1"/>
    <col min="13066" max="13066" width="11.625" style="262" customWidth="1"/>
    <col min="13067" max="13312" width="8.875" style="262"/>
    <col min="13313" max="13313" width="19.5" style="262" customWidth="1"/>
    <col min="13314" max="13315" width="12.125" style="262" customWidth="1"/>
    <col min="13316" max="13316" width="13.75" style="262" customWidth="1"/>
    <col min="13317" max="13317" width="14.625" style="262" customWidth="1"/>
    <col min="13318" max="13318" width="15.125" style="262" customWidth="1"/>
    <col min="13319" max="13319" width="12.25" style="262" customWidth="1"/>
    <col min="13320" max="13320" width="12.5" style="262" customWidth="1"/>
    <col min="13321" max="13321" width="12.25" style="262" customWidth="1"/>
    <col min="13322" max="13322" width="11.625" style="262" customWidth="1"/>
    <col min="13323" max="13568" width="8.875" style="262"/>
    <col min="13569" max="13569" width="19.5" style="262" customWidth="1"/>
    <col min="13570" max="13571" width="12.125" style="262" customWidth="1"/>
    <col min="13572" max="13572" width="13.75" style="262" customWidth="1"/>
    <col min="13573" max="13573" width="14.625" style="262" customWidth="1"/>
    <col min="13574" max="13574" width="15.125" style="262" customWidth="1"/>
    <col min="13575" max="13575" width="12.25" style="262" customWidth="1"/>
    <col min="13576" max="13576" width="12.5" style="262" customWidth="1"/>
    <col min="13577" max="13577" width="12.25" style="262" customWidth="1"/>
    <col min="13578" max="13578" width="11.625" style="262" customWidth="1"/>
    <col min="13579" max="13824" width="8.875" style="262"/>
    <col min="13825" max="13825" width="19.5" style="262" customWidth="1"/>
    <col min="13826" max="13827" width="12.125" style="262" customWidth="1"/>
    <col min="13828" max="13828" width="13.75" style="262" customWidth="1"/>
    <col min="13829" max="13829" width="14.625" style="262" customWidth="1"/>
    <col min="13830" max="13830" width="15.125" style="262" customWidth="1"/>
    <col min="13831" max="13831" width="12.25" style="262" customWidth="1"/>
    <col min="13832" max="13832" width="12.5" style="262" customWidth="1"/>
    <col min="13833" max="13833" width="12.25" style="262" customWidth="1"/>
    <col min="13834" max="13834" width="11.625" style="262" customWidth="1"/>
    <col min="13835" max="14080" width="8.875" style="262"/>
    <col min="14081" max="14081" width="19.5" style="262" customWidth="1"/>
    <col min="14082" max="14083" width="12.125" style="262" customWidth="1"/>
    <col min="14084" max="14084" width="13.75" style="262" customWidth="1"/>
    <col min="14085" max="14085" width="14.625" style="262" customWidth="1"/>
    <col min="14086" max="14086" width="15.125" style="262" customWidth="1"/>
    <col min="14087" max="14087" width="12.25" style="262" customWidth="1"/>
    <col min="14088" max="14088" width="12.5" style="262" customWidth="1"/>
    <col min="14089" max="14089" width="12.25" style="262" customWidth="1"/>
    <col min="14090" max="14090" width="11.625" style="262" customWidth="1"/>
    <col min="14091" max="14336" width="8.875" style="262"/>
    <col min="14337" max="14337" width="19.5" style="262" customWidth="1"/>
    <col min="14338" max="14339" width="12.125" style="262" customWidth="1"/>
    <col min="14340" max="14340" width="13.75" style="262" customWidth="1"/>
    <col min="14341" max="14341" width="14.625" style="262" customWidth="1"/>
    <col min="14342" max="14342" width="15.125" style="262" customWidth="1"/>
    <col min="14343" max="14343" width="12.25" style="262" customWidth="1"/>
    <col min="14344" max="14344" width="12.5" style="262" customWidth="1"/>
    <col min="14345" max="14345" width="12.25" style="262" customWidth="1"/>
    <col min="14346" max="14346" width="11.625" style="262" customWidth="1"/>
    <col min="14347" max="14592" width="8.875" style="262"/>
    <col min="14593" max="14593" width="19.5" style="262" customWidth="1"/>
    <col min="14594" max="14595" width="12.125" style="262" customWidth="1"/>
    <col min="14596" max="14596" width="13.75" style="262" customWidth="1"/>
    <col min="14597" max="14597" width="14.625" style="262" customWidth="1"/>
    <col min="14598" max="14598" width="15.125" style="262" customWidth="1"/>
    <col min="14599" max="14599" width="12.25" style="262" customWidth="1"/>
    <col min="14600" max="14600" width="12.5" style="262" customWidth="1"/>
    <col min="14601" max="14601" width="12.25" style="262" customWidth="1"/>
    <col min="14602" max="14602" width="11.625" style="262" customWidth="1"/>
    <col min="14603" max="14848" width="8.875" style="262"/>
    <col min="14849" max="14849" width="19.5" style="262" customWidth="1"/>
    <col min="14850" max="14851" width="12.125" style="262" customWidth="1"/>
    <col min="14852" max="14852" width="13.75" style="262" customWidth="1"/>
    <col min="14853" max="14853" width="14.625" style="262" customWidth="1"/>
    <col min="14854" max="14854" width="15.125" style="262" customWidth="1"/>
    <col min="14855" max="14855" width="12.25" style="262" customWidth="1"/>
    <col min="14856" max="14856" width="12.5" style="262" customWidth="1"/>
    <col min="14857" max="14857" width="12.25" style="262" customWidth="1"/>
    <col min="14858" max="14858" width="11.625" style="262" customWidth="1"/>
    <col min="14859" max="15104" width="8.875" style="262"/>
    <col min="15105" max="15105" width="19.5" style="262" customWidth="1"/>
    <col min="15106" max="15107" width="12.125" style="262" customWidth="1"/>
    <col min="15108" max="15108" width="13.75" style="262" customWidth="1"/>
    <col min="15109" max="15109" width="14.625" style="262" customWidth="1"/>
    <col min="15110" max="15110" width="15.125" style="262" customWidth="1"/>
    <col min="15111" max="15111" width="12.25" style="262" customWidth="1"/>
    <col min="15112" max="15112" width="12.5" style="262" customWidth="1"/>
    <col min="15113" max="15113" width="12.25" style="262" customWidth="1"/>
    <col min="15114" max="15114" width="11.625" style="262" customWidth="1"/>
    <col min="15115" max="15360" width="8.875" style="262"/>
    <col min="15361" max="15361" width="19.5" style="262" customWidth="1"/>
    <col min="15362" max="15363" width="12.125" style="262" customWidth="1"/>
    <col min="15364" max="15364" width="13.75" style="262" customWidth="1"/>
    <col min="15365" max="15365" width="14.625" style="262" customWidth="1"/>
    <col min="15366" max="15366" width="15.125" style="262" customWidth="1"/>
    <col min="15367" max="15367" width="12.25" style="262" customWidth="1"/>
    <col min="15368" max="15368" width="12.5" style="262" customWidth="1"/>
    <col min="15369" max="15369" width="12.25" style="262" customWidth="1"/>
    <col min="15370" max="15370" width="11.625" style="262" customWidth="1"/>
    <col min="15371" max="15616" width="8.875" style="262"/>
    <col min="15617" max="15617" width="19.5" style="262" customWidth="1"/>
    <col min="15618" max="15619" width="12.125" style="262" customWidth="1"/>
    <col min="15620" max="15620" width="13.75" style="262" customWidth="1"/>
    <col min="15621" max="15621" width="14.625" style="262" customWidth="1"/>
    <col min="15622" max="15622" width="15.125" style="262" customWidth="1"/>
    <col min="15623" max="15623" width="12.25" style="262" customWidth="1"/>
    <col min="15624" max="15624" width="12.5" style="262" customWidth="1"/>
    <col min="15625" max="15625" width="12.25" style="262" customWidth="1"/>
    <col min="15626" max="15626" width="11.625" style="262" customWidth="1"/>
    <col min="15627" max="15872" width="8.875" style="262"/>
    <col min="15873" max="15873" width="19.5" style="262" customWidth="1"/>
    <col min="15874" max="15875" width="12.125" style="262" customWidth="1"/>
    <col min="15876" max="15876" width="13.75" style="262" customWidth="1"/>
    <col min="15877" max="15877" width="14.625" style="262" customWidth="1"/>
    <col min="15878" max="15878" width="15.125" style="262" customWidth="1"/>
    <col min="15879" max="15879" width="12.25" style="262" customWidth="1"/>
    <col min="15880" max="15880" width="12.5" style="262" customWidth="1"/>
    <col min="15881" max="15881" width="12.25" style="262" customWidth="1"/>
    <col min="15882" max="15882" width="11.625" style="262" customWidth="1"/>
    <col min="15883" max="16128" width="8.875" style="262"/>
    <col min="16129" max="16129" width="19.5" style="262" customWidth="1"/>
    <col min="16130" max="16131" width="12.125" style="262" customWidth="1"/>
    <col min="16132" max="16132" width="13.75" style="262" customWidth="1"/>
    <col min="16133" max="16133" width="14.625" style="262" customWidth="1"/>
    <col min="16134" max="16134" width="15.125" style="262" customWidth="1"/>
    <col min="16135" max="16135" width="12.25" style="262" customWidth="1"/>
    <col min="16136" max="16136" width="12.5" style="262" customWidth="1"/>
    <col min="16137" max="16137" width="12.25" style="262" customWidth="1"/>
    <col min="16138" max="16138" width="11.625" style="262" customWidth="1"/>
    <col min="16139" max="16384" width="8.875" style="262"/>
  </cols>
  <sheetData>
    <row r="1" spans="1:10" ht="19.5">
      <c r="A1" s="257" t="s">
        <v>503</v>
      </c>
      <c r="B1" s="258"/>
      <c r="C1" s="259"/>
      <c r="D1" s="260"/>
      <c r="E1" s="258"/>
      <c r="F1" s="259"/>
      <c r="G1" s="261"/>
    </row>
    <row r="2" spans="1:10" ht="6.75" customHeight="1">
      <c r="C2" s="556"/>
      <c r="G2" s="265"/>
    </row>
    <row r="3" spans="1:10" ht="17.25">
      <c r="A3" s="266" t="s">
        <v>151</v>
      </c>
      <c r="B3" s="267"/>
      <c r="C3" s="267"/>
      <c r="D3" s="267"/>
      <c r="E3" s="268"/>
      <c r="F3" s="268"/>
      <c r="G3" s="268"/>
      <c r="H3" s="268"/>
      <c r="I3" s="268"/>
      <c r="J3" s="269"/>
    </row>
    <row r="4" spans="1:10" ht="17.25">
      <c r="A4" s="270" t="s">
        <v>152</v>
      </c>
      <c r="B4" s="271"/>
      <c r="C4" s="562"/>
      <c r="D4" s="271"/>
      <c r="E4" s="272"/>
      <c r="F4" s="272"/>
      <c r="G4" s="272"/>
      <c r="H4" s="272"/>
      <c r="I4" s="272"/>
      <c r="J4" s="273"/>
    </row>
    <row r="5" spans="1:10">
      <c r="A5" s="70" t="s">
        <v>493</v>
      </c>
      <c r="B5" s="8" t="s">
        <v>478</v>
      </c>
      <c r="C5" s="564" t="s">
        <v>485</v>
      </c>
      <c r="D5" s="560" t="s">
        <v>153</v>
      </c>
      <c r="E5" s="8" t="s">
        <v>478</v>
      </c>
      <c r="F5" s="71" t="s">
        <v>464</v>
      </c>
      <c r="G5" s="74" t="s">
        <v>154</v>
      </c>
      <c r="H5" s="8" t="s">
        <v>478</v>
      </c>
      <c r="I5" s="71" t="s">
        <v>479</v>
      </c>
      <c r="J5" s="200" t="s">
        <v>36</v>
      </c>
    </row>
    <row r="6" spans="1:10">
      <c r="A6" s="275"/>
      <c r="B6" s="274" t="s">
        <v>32</v>
      </c>
      <c r="C6" s="557" t="s">
        <v>32</v>
      </c>
      <c r="D6" s="561" t="s">
        <v>1</v>
      </c>
      <c r="E6" s="276" t="s">
        <v>33</v>
      </c>
      <c r="F6" s="491" t="s">
        <v>33</v>
      </c>
      <c r="G6" s="490" t="s">
        <v>1</v>
      </c>
      <c r="H6" s="277" t="s">
        <v>35</v>
      </c>
      <c r="I6" s="493" t="s">
        <v>413</v>
      </c>
      <c r="J6" s="490" t="s">
        <v>1</v>
      </c>
    </row>
    <row r="7" spans="1:10">
      <c r="A7" s="278" t="s">
        <v>4</v>
      </c>
      <c r="B7" s="279"/>
      <c r="C7" s="563"/>
      <c r="D7" s="203"/>
      <c r="E7" s="280"/>
      <c r="F7" s="81"/>
      <c r="G7" s="492"/>
      <c r="H7" s="281"/>
      <c r="I7" s="84"/>
      <c r="J7" s="204"/>
    </row>
    <row r="8" spans="1:10">
      <c r="A8" s="278" t="s">
        <v>5</v>
      </c>
      <c r="B8" s="282">
        <f>SUM(B9:B11)</f>
        <v>10029</v>
      </c>
      <c r="C8" s="558">
        <f>SUM(C9:C11)</f>
        <v>17315</v>
      </c>
      <c r="D8" s="497">
        <f>IF(C8,(B8-C8)/C8,0)</f>
        <v>-0.42079122148426218</v>
      </c>
      <c r="E8" s="283">
        <f>SUM(E9:E11)</f>
        <v>24613028</v>
      </c>
      <c r="F8" s="85">
        <v>42426774</v>
      </c>
      <c r="G8" s="496">
        <f>IF(F8,(E8-F8)/F8,0)</f>
        <v>-0.41987038656297554</v>
      </c>
      <c r="H8" s="87">
        <f>IF(B8,E8/B8,0)</f>
        <v>2454.185661581414</v>
      </c>
      <c r="I8" s="88">
        <f>IF(C8,F8/C8,0)</f>
        <v>2450.2901530464915</v>
      </c>
      <c r="J8" s="498">
        <f t="shared" ref="J8:J64" si="0">IF(I8,(H8-I8)/I8,0)</f>
        <v>1.5898152021217558E-3</v>
      </c>
    </row>
    <row r="9" spans="1:10">
      <c r="A9" s="284" t="s">
        <v>158</v>
      </c>
      <c r="B9" s="285">
        <f>電輔車!E9</f>
        <v>8665</v>
      </c>
      <c r="C9" s="89">
        <f>VLOOKUP(A9,[11]進出口值表查詢結果!$B$10:$D$49,3,0)</f>
        <v>16571</v>
      </c>
      <c r="D9" s="497">
        <f t="shared" ref="D9:D64" si="1">IF(C9,(B9-C9)/C9,0)</f>
        <v>-0.47709854565204274</v>
      </c>
      <c r="E9" s="286">
        <f>電輔車!G9</f>
        <v>21327787</v>
      </c>
      <c r="F9" s="90">
        <v>40271185</v>
      </c>
      <c r="G9" s="496">
        <f t="shared" ref="G9:G64" si="2">IF(F9,(E9-F9)/F9,0)</f>
        <v>-0.47039584258570988</v>
      </c>
      <c r="H9" s="87">
        <f t="shared" ref="H9:H11" si="3">IF(B9,E9/B9,0)</f>
        <v>2461.3718407386036</v>
      </c>
      <c r="I9" s="88">
        <f t="shared" ref="I9:I11" si="4">IF(C9,F9/C9,0)</f>
        <v>2430.2205660491218</v>
      </c>
      <c r="J9" s="498">
        <f t="shared" si="0"/>
        <v>1.2818291115083993E-2</v>
      </c>
    </row>
    <row r="10" spans="1:10">
      <c r="A10" s="287" t="s">
        <v>6</v>
      </c>
      <c r="B10" s="285">
        <f>電輔車!E10</f>
        <v>1285</v>
      </c>
      <c r="C10" s="89">
        <f>VLOOKUP(A10,[11]進出口值表查詢結果!$B$10:$D$49,3,0)</f>
        <v>561</v>
      </c>
      <c r="D10" s="497">
        <f t="shared" si="1"/>
        <v>1.2905525846702317</v>
      </c>
      <c r="E10" s="286">
        <f>電輔車!G10</f>
        <v>2950279</v>
      </c>
      <c r="F10" s="90">
        <v>1392062</v>
      </c>
      <c r="G10" s="496">
        <f t="shared" si="2"/>
        <v>1.1193589078647359</v>
      </c>
      <c r="H10" s="87">
        <f t="shared" si="3"/>
        <v>2295.9369649805449</v>
      </c>
      <c r="I10" s="88">
        <f t="shared" si="4"/>
        <v>2481.3939393939395</v>
      </c>
      <c r="J10" s="498">
        <f t="shared" si="0"/>
        <v>-7.4739029329091933E-2</v>
      </c>
    </row>
    <row r="11" spans="1:10">
      <c r="A11" s="287" t="s">
        <v>7</v>
      </c>
      <c r="B11" s="285">
        <f>電輔車!E11</f>
        <v>79</v>
      </c>
      <c r="C11" s="89">
        <f>VLOOKUP(A11,[11]進出口值表查詢結果!$B$10:$D$49,3,0)</f>
        <v>183</v>
      </c>
      <c r="D11" s="497">
        <f t="shared" si="1"/>
        <v>-0.56830601092896171</v>
      </c>
      <c r="E11" s="286">
        <f>電輔車!G11</f>
        <v>334962</v>
      </c>
      <c r="F11" s="90">
        <v>763527</v>
      </c>
      <c r="G11" s="496">
        <f t="shared" si="2"/>
        <v>-0.56129645709974896</v>
      </c>
      <c r="H11" s="87">
        <f t="shared" si="3"/>
        <v>4240.0253164556962</v>
      </c>
      <c r="I11" s="88">
        <f t="shared" si="4"/>
        <v>4172.2786885245905</v>
      </c>
      <c r="J11" s="498">
        <f t="shared" si="0"/>
        <v>1.6237320895518211E-2</v>
      </c>
    </row>
    <row r="12" spans="1:10">
      <c r="A12" s="287"/>
      <c r="B12" s="285"/>
      <c r="C12" s="489"/>
      <c r="D12" s="497"/>
      <c r="E12" s="286"/>
      <c r="F12" s="90"/>
      <c r="G12" s="496"/>
      <c r="H12" s="87"/>
      <c r="I12" s="88"/>
      <c r="J12" s="498"/>
    </row>
    <row r="13" spans="1:10">
      <c r="A13" s="288" t="s">
        <v>8</v>
      </c>
      <c r="B13" s="289">
        <f>SUM(B14:B40)</f>
        <v>30407</v>
      </c>
      <c r="C13" s="489">
        <f>SUM(C14:C40)</f>
        <v>28981</v>
      </c>
      <c r="D13" s="497">
        <f t="shared" si="1"/>
        <v>4.9204651323280772E-2</v>
      </c>
      <c r="E13" s="289">
        <f>SUM(E14:E40)</f>
        <v>49308374</v>
      </c>
      <c r="F13" s="91">
        <v>53192290</v>
      </c>
      <c r="G13" s="496">
        <f t="shared" si="2"/>
        <v>-7.3016521755314534E-2</v>
      </c>
      <c r="H13" s="87">
        <f t="shared" ref="H13:H18" si="5">IF(B13,E13/B13,0)</f>
        <v>1621.6125892064326</v>
      </c>
      <c r="I13" s="88">
        <f t="shared" ref="I13:I18" si="6">IF(C13,F13/C13,0)</f>
        <v>1835.4194127186777</v>
      </c>
      <c r="J13" s="498">
        <f t="shared" si="0"/>
        <v>-0.11648935498374621</v>
      </c>
    </row>
    <row r="14" spans="1:10">
      <c r="A14" s="444" t="s">
        <v>243</v>
      </c>
      <c r="B14" s="286">
        <f>電輔車!E14</f>
        <v>19784</v>
      </c>
      <c r="C14" s="89">
        <f>VLOOKUP(A14,[11]進出口值表查詢結果!$B$10:$D$49,3,0)</f>
        <v>16570</v>
      </c>
      <c r="D14" s="497">
        <f t="shared" si="1"/>
        <v>0.1939649969824985</v>
      </c>
      <c r="E14" s="286">
        <f>電輔車!G14</f>
        <v>34112745</v>
      </c>
      <c r="F14" s="90">
        <v>33779255</v>
      </c>
      <c r="G14" s="496">
        <f t="shared" si="2"/>
        <v>9.8726274454543177E-3</v>
      </c>
      <c r="H14" s="87">
        <f t="shared" si="5"/>
        <v>1724.2592498989081</v>
      </c>
      <c r="I14" s="88">
        <f t="shared" si="6"/>
        <v>2038.5790585395293</v>
      </c>
      <c r="J14" s="498">
        <f t="shared" si="0"/>
        <v>-0.15418573408960895</v>
      </c>
    </row>
    <row r="15" spans="1:10">
      <c r="A15" s="444" t="s">
        <v>244</v>
      </c>
      <c r="B15" s="286">
        <f>電輔車!E15</f>
        <v>6685</v>
      </c>
      <c r="C15" s="89">
        <f>VLOOKUP(A15,[11]進出口值表查詢結果!$B$10:$D$49,3,0)</f>
        <v>7938</v>
      </c>
      <c r="D15" s="497">
        <f t="shared" si="1"/>
        <v>-0.15784832451499117</v>
      </c>
      <c r="E15" s="286">
        <f>電輔車!G15</f>
        <v>8631769</v>
      </c>
      <c r="F15" s="90">
        <v>10608538</v>
      </c>
      <c r="G15" s="496">
        <f t="shared" si="2"/>
        <v>-0.18633755188509482</v>
      </c>
      <c r="H15" s="87">
        <f t="shared" si="5"/>
        <v>1291.2145100972325</v>
      </c>
      <c r="I15" s="88">
        <f t="shared" si="6"/>
        <v>1336.424540186445</v>
      </c>
      <c r="J15" s="498">
        <f t="shared" si="0"/>
        <v>-3.3829093023767173E-2</v>
      </c>
    </row>
    <row r="16" spans="1:10">
      <c r="A16" s="445" t="s">
        <v>9</v>
      </c>
      <c r="B16" s="286">
        <f>電輔車!E16</f>
        <v>468</v>
      </c>
      <c r="C16" s="89">
        <f>VLOOKUP(A16,[11]進出口值表查詢結果!$B$10:$D$49,3,0)</f>
        <v>932</v>
      </c>
      <c r="D16" s="497">
        <f t="shared" si="1"/>
        <v>-0.4978540772532189</v>
      </c>
      <c r="E16" s="286">
        <f>電輔車!G16</f>
        <v>1021873</v>
      </c>
      <c r="F16" s="90">
        <v>2538351</v>
      </c>
      <c r="G16" s="496">
        <f t="shared" si="2"/>
        <v>-0.59742643944828744</v>
      </c>
      <c r="H16" s="87">
        <f t="shared" si="5"/>
        <v>2183.4893162393164</v>
      </c>
      <c r="I16" s="88">
        <f t="shared" si="6"/>
        <v>2723.552575107296</v>
      </c>
      <c r="J16" s="498">
        <f t="shared" si="0"/>
        <v>-0.19829367855941002</v>
      </c>
    </row>
    <row r="17" spans="1:10">
      <c r="A17" s="444" t="s">
        <v>245</v>
      </c>
      <c r="B17" s="286">
        <f>電輔車!E17</f>
        <v>405</v>
      </c>
      <c r="C17" s="89">
        <f>VLOOKUP(A17,[11]進出口值表查詢結果!$B$10:$D$49,3,0)</f>
        <v>691</v>
      </c>
      <c r="D17" s="497">
        <f t="shared" si="1"/>
        <v>-0.41389290882778584</v>
      </c>
      <c r="E17" s="286">
        <f>電輔車!G17</f>
        <v>1215683</v>
      </c>
      <c r="F17" s="90">
        <v>909886</v>
      </c>
      <c r="G17" s="496">
        <f t="shared" si="2"/>
        <v>0.33608276201634052</v>
      </c>
      <c r="H17" s="87">
        <f t="shared" si="5"/>
        <v>3001.6864197530863</v>
      </c>
      <c r="I17" s="88">
        <f t="shared" si="6"/>
        <v>1316.7670043415339</v>
      </c>
      <c r="J17" s="498">
        <f t="shared" si="0"/>
        <v>1.2795881198846699</v>
      </c>
    </row>
    <row r="18" spans="1:10">
      <c r="A18" s="445" t="s">
        <v>10</v>
      </c>
      <c r="B18" s="286">
        <f>電輔車!E18</f>
        <v>646</v>
      </c>
      <c r="C18" s="89">
        <f>VLOOKUP(A18,[11]進出口值表查詢結果!$B$10:$D$49,3,0)</f>
        <v>1462</v>
      </c>
      <c r="D18" s="497">
        <f t="shared" si="1"/>
        <v>-0.55813953488372092</v>
      </c>
      <c r="E18" s="286">
        <f>電輔車!G18</f>
        <v>1634530</v>
      </c>
      <c r="F18" s="90">
        <v>4287755</v>
      </c>
      <c r="G18" s="496">
        <f t="shared" si="2"/>
        <v>-0.61879118559712487</v>
      </c>
      <c r="H18" s="87">
        <f t="shared" si="5"/>
        <v>2530.2321981424147</v>
      </c>
      <c r="I18" s="88">
        <f t="shared" si="6"/>
        <v>2932.8009575923393</v>
      </c>
      <c r="J18" s="498">
        <f t="shared" si="0"/>
        <v>-0.13726426214086151</v>
      </c>
    </row>
    <row r="19" spans="1:10">
      <c r="A19" s="445" t="s">
        <v>11</v>
      </c>
      <c r="B19" s="286">
        <f>電輔車!E19</f>
        <v>37</v>
      </c>
      <c r="C19" s="89">
        <f>VLOOKUP(A19,[11]進出口值表查詢結果!$B$10:$D$49,3,0)</f>
        <v>1</v>
      </c>
      <c r="D19" s="497">
        <f t="shared" si="1"/>
        <v>36</v>
      </c>
      <c r="E19" s="286">
        <f>電輔車!G19</f>
        <v>128096</v>
      </c>
      <c r="F19" s="90">
        <v>2075</v>
      </c>
      <c r="G19" s="496">
        <f t="shared" si="2"/>
        <v>60.733012048192769</v>
      </c>
      <c r="H19" s="87">
        <f>IF(B19,E19/B19,0)</f>
        <v>3462.0540540540542</v>
      </c>
      <c r="I19" s="88">
        <f>IF(C19,F19/C19,0)</f>
        <v>2075</v>
      </c>
      <c r="J19" s="498">
        <f t="shared" si="0"/>
        <v>0.66845978508629122</v>
      </c>
    </row>
    <row r="20" spans="1:10">
      <c r="A20" s="444" t="s">
        <v>247</v>
      </c>
      <c r="B20" s="286">
        <f>電輔車!E20</f>
        <v>709</v>
      </c>
      <c r="C20" s="89">
        <f>VLOOKUP(A20,[11]進出口值表查詢結果!$B$10:$D$49,3,0)</f>
        <v>134</v>
      </c>
      <c r="D20" s="497">
        <f t="shared" si="1"/>
        <v>4.2910447761194028</v>
      </c>
      <c r="E20" s="286">
        <f>電輔車!G20</f>
        <v>742768</v>
      </c>
      <c r="F20" s="90">
        <v>226744</v>
      </c>
      <c r="G20" s="496">
        <f t="shared" si="2"/>
        <v>2.275800021169248</v>
      </c>
      <c r="H20" s="87">
        <f t="shared" ref="H20:H33" si="7">IF(B20,E20/B20,0)</f>
        <v>1047.6276445698165</v>
      </c>
      <c r="I20" s="88">
        <f t="shared" ref="I20:I33" si="8">IF(C20,F20/C20,0)</f>
        <v>1692.1194029850747</v>
      </c>
      <c r="J20" s="498">
        <f t="shared" si="0"/>
        <v>-0.38087841630933822</v>
      </c>
    </row>
    <row r="21" spans="1:10">
      <c r="A21" s="445" t="s">
        <v>12</v>
      </c>
      <c r="B21" s="286">
        <f>電輔車!E21</f>
        <v>0</v>
      </c>
      <c r="C21" s="89">
        <v>0</v>
      </c>
      <c r="D21" s="497">
        <f t="shared" si="1"/>
        <v>0</v>
      </c>
      <c r="E21" s="286">
        <f>電輔車!G21</f>
        <v>0</v>
      </c>
      <c r="F21" s="90">
        <v>0</v>
      </c>
      <c r="G21" s="496">
        <f t="shared" si="2"/>
        <v>0</v>
      </c>
      <c r="H21" s="87">
        <f t="shared" si="7"/>
        <v>0</v>
      </c>
      <c r="I21" s="88">
        <f t="shared" si="8"/>
        <v>0</v>
      </c>
      <c r="J21" s="498">
        <f t="shared" si="0"/>
        <v>0</v>
      </c>
    </row>
    <row r="22" spans="1:10">
      <c r="A22" s="444" t="s">
        <v>248</v>
      </c>
      <c r="B22" s="286">
        <f>電輔車!E22</f>
        <v>0</v>
      </c>
      <c r="C22" s="89">
        <v>0</v>
      </c>
      <c r="D22" s="497">
        <f t="shared" si="1"/>
        <v>0</v>
      </c>
      <c r="E22" s="286">
        <f>電輔車!G22</f>
        <v>0</v>
      </c>
      <c r="F22" s="90">
        <v>0</v>
      </c>
      <c r="G22" s="496">
        <f t="shared" si="2"/>
        <v>0</v>
      </c>
      <c r="H22" s="87">
        <f t="shared" si="7"/>
        <v>0</v>
      </c>
      <c r="I22" s="88">
        <f t="shared" si="8"/>
        <v>0</v>
      </c>
      <c r="J22" s="498">
        <f t="shared" si="0"/>
        <v>0</v>
      </c>
    </row>
    <row r="23" spans="1:10">
      <c r="A23" s="445" t="s">
        <v>13</v>
      </c>
      <c r="B23" s="286">
        <f>電輔車!E23</f>
        <v>0</v>
      </c>
      <c r="C23" s="89">
        <v>0</v>
      </c>
      <c r="D23" s="497">
        <f t="shared" si="1"/>
        <v>0</v>
      </c>
      <c r="E23" s="286">
        <f>電輔車!G23</f>
        <v>0</v>
      </c>
      <c r="F23" s="90">
        <v>0</v>
      </c>
      <c r="G23" s="496">
        <f t="shared" si="2"/>
        <v>0</v>
      </c>
      <c r="H23" s="87">
        <f t="shared" si="7"/>
        <v>0</v>
      </c>
      <c r="I23" s="88">
        <f t="shared" si="8"/>
        <v>0</v>
      </c>
      <c r="J23" s="498">
        <f t="shared" si="0"/>
        <v>0</v>
      </c>
    </row>
    <row r="24" spans="1:10">
      <c r="A24" s="445" t="s">
        <v>14</v>
      </c>
      <c r="B24" s="286">
        <f>電輔車!E24</f>
        <v>0</v>
      </c>
      <c r="C24" s="89">
        <v>0</v>
      </c>
      <c r="D24" s="497">
        <f t="shared" si="1"/>
        <v>0</v>
      </c>
      <c r="E24" s="286">
        <f>電輔車!G24</f>
        <v>0</v>
      </c>
      <c r="F24" s="90">
        <v>0</v>
      </c>
      <c r="G24" s="496">
        <f t="shared" si="2"/>
        <v>0</v>
      </c>
      <c r="H24" s="87">
        <f t="shared" si="7"/>
        <v>0</v>
      </c>
      <c r="I24" s="88">
        <f t="shared" si="8"/>
        <v>0</v>
      </c>
      <c r="J24" s="498">
        <f t="shared" si="0"/>
        <v>0</v>
      </c>
    </row>
    <row r="25" spans="1:10">
      <c r="A25" s="445" t="s">
        <v>15</v>
      </c>
      <c r="B25" s="286">
        <f>電輔車!E25</f>
        <v>0</v>
      </c>
      <c r="C25" s="89">
        <f>VLOOKUP(A25,[11]進出口值表查詢結果!$B$10:$D$49,3,0)</f>
        <v>2</v>
      </c>
      <c r="D25" s="497">
        <f t="shared" si="1"/>
        <v>-1</v>
      </c>
      <c r="E25" s="286">
        <f>電輔車!G25</f>
        <v>0</v>
      </c>
      <c r="F25" s="90">
        <v>9395</v>
      </c>
      <c r="G25" s="496">
        <f t="shared" si="2"/>
        <v>-1</v>
      </c>
      <c r="H25" s="87">
        <f t="shared" si="7"/>
        <v>0</v>
      </c>
      <c r="I25" s="88">
        <f t="shared" si="8"/>
        <v>4697.5</v>
      </c>
      <c r="J25" s="498">
        <f t="shared" si="0"/>
        <v>-1</v>
      </c>
    </row>
    <row r="26" spans="1:10">
      <c r="A26" s="444" t="s">
        <v>251</v>
      </c>
      <c r="B26" s="286">
        <f>電輔車!E26</f>
        <v>790</v>
      </c>
      <c r="C26" s="89">
        <f>VLOOKUP(A26,[11]進出口值表查詢結果!$B$10:$D$49,3,0)</f>
        <v>1031</v>
      </c>
      <c r="D26" s="497">
        <f t="shared" si="1"/>
        <v>-0.23375363724539283</v>
      </c>
      <c r="E26" s="286">
        <f>電輔車!G26</f>
        <v>281818</v>
      </c>
      <c r="F26" s="90">
        <v>382595</v>
      </c>
      <c r="G26" s="496">
        <f t="shared" si="2"/>
        <v>-0.2634038604790967</v>
      </c>
      <c r="H26" s="87">
        <f t="shared" si="7"/>
        <v>356.73164556962024</v>
      </c>
      <c r="I26" s="88">
        <f t="shared" si="8"/>
        <v>371.09117361784678</v>
      </c>
      <c r="J26" s="498">
        <f t="shared" si="0"/>
        <v>-3.8695417916390855E-2</v>
      </c>
    </row>
    <row r="27" spans="1:10">
      <c r="A27" s="444" t="s">
        <v>253</v>
      </c>
      <c r="B27" s="286">
        <f>電輔車!E27</f>
        <v>0</v>
      </c>
      <c r="C27" s="89">
        <v>0</v>
      </c>
      <c r="D27" s="497">
        <f t="shared" si="1"/>
        <v>0</v>
      </c>
      <c r="E27" s="286">
        <f>電輔車!G27</f>
        <v>0</v>
      </c>
      <c r="F27" s="90">
        <v>0</v>
      </c>
      <c r="G27" s="496">
        <f t="shared" si="2"/>
        <v>0</v>
      </c>
      <c r="H27" s="87">
        <f t="shared" si="7"/>
        <v>0</v>
      </c>
      <c r="I27" s="88">
        <f t="shared" si="8"/>
        <v>0</v>
      </c>
      <c r="J27" s="498">
        <f t="shared" si="0"/>
        <v>0</v>
      </c>
    </row>
    <row r="28" spans="1:10">
      <c r="A28" s="445" t="s">
        <v>254</v>
      </c>
      <c r="B28" s="286">
        <f>電輔車!E28</f>
        <v>803</v>
      </c>
      <c r="C28" s="89">
        <f>VLOOKUP(A28,[11]進出口值表查詢結果!$B$10:$D$49,3,0)</f>
        <v>115</v>
      </c>
      <c r="D28" s="497">
        <f t="shared" si="1"/>
        <v>5.982608695652174</v>
      </c>
      <c r="E28" s="286">
        <f>電輔車!G28</f>
        <v>1393677</v>
      </c>
      <c r="F28" s="90">
        <v>247727</v>
      </c>
      <c r="G28" s="496">
        <f t="shared" si="2"/>
        <v>4.625858303697215</v>
      </c>
      <c r="H28" s="87">
        <f t="shared" si="7"/>
        <v>1735.5877957658779</v>
      </c>
      <c r="I28" s="88">
        <f t="shared" si="8"/>
        <v>2154.1478260869567</v>
      </c>
      <c r="J28" s="498">
        <f t="shared" si="0"/>
        <v>-0.19430422798856828</v>
      </c>
    </row>
    <row r="29" spans="1:10">
      <c r="A29" s="455" t="s">
        <v>255</v>
      </c>
      <c r="B29" s="286">
        <f>電輔車!E29</f>
        <v>0</v>
      </c>
      <c r="C29" s="89">
        <f>VLOOKUP(A29,[11]進出口值表查詢結果!$B$10:$D$49,3,0)</f>
        <v>10</v>
      </c>
      <c r="D29" s="497">
        <f t="shared" si="1"/>
        <v>-1</v>
      </c>
      <c r="E29" s="286">
        <f>電輔車!G29</f>
        <v>0</v>
      </c>
      <c r="F29" s="90">
        <v>37778</v>
      </c>
      <c r="G29" s="496">
        <f t="shared" si="2"/>
        <v>-1</v>
      </c>
      <c r="H29" s="87">
        <f t="shared" si="7"/>
        <v>0</v>
      </c>
      <c r="I29" s="88">
        <f t="shared" si="8"/>
        <v>3777.8</v>
      </c>
      <c r="J29" s="498">
        <f t="shared" si="0"/>
        <v>-1</v>
      </c>
    </row>
    <row r="30" spans="1:10">
      <c r="A30" s="455" t="s">
        <v>256</v>
      </c>
      <c r="B30" s="286">
        <f>電輔車!E30</f>
        <v>71</v>
      </c>
      <c r="C30" s="89">
        <f>VLOOKUP(A30,[11]進出口值表查詢結果!$B$10:$D$49,3,0)</f>
        <v>95</v>
      </c>
      <c r="D30" s="497">
        <f t="shared" si="1"/>
        <v>-0.25263157894736843</v>
      </c>
      <c r="E30" s="286">
        <f>電輔車!G30</f>
        <v>125529</v>
      </c>
      <c r="F30" s="90">
        <v>162191</v>
      </c>
      <c r="G30" s="496">
        <f t="shared" si="2"/>
        <v>-0.22604213550690236</v>
      </c>
      <c r="H30" s="87">
        <f t="shared" si="7"/>
        <v>1768.0140845070423</v>
      </c>
      <c r="I30" s="88">
        <f t="shared" si="8"/>
        <v>1707.2736842105264</v>
      </c>
      <c r="J30" s="498">
        <f t="shared" si="0"/>
        <v>3.5577424321750331E-2</v>
      </c>
    </row>
    <row r="31" spans="1:10">
      <c r="A31" s="455" t="s">
        <v>257</v>
      </c>
      <c r="B31" s="286">
        <f>電輔車!E31</f>
        <v>0</v>
      </c>
      <c r="C31" s="89">
        <v>0</v>
      </c>
      <c r="D31" s="497">
        <f t="shared" si="1"/>
        <v>0</v>
      </c>
      <c r="E31" s="286">
        <f>電輔車!G31</f>
        <v>0</v>
      </c>
      <c r="F31" s="90">
        <v>0</v>
      </c>
      <c r="G31" s="496">
        <f t="shared" si="2"/>
        <v>0</v>
      </c>
      <c r="H31" s="87">
        <f t="shared" si="7"/>
        <v>0</v>
      </c>
      <c r="I31" s="88">
        <f t="shared" si="8"/>
        <v>0</v>
      </c>
      <c r="J31" s="498">
        <f t="shared" si="0"/>
        <v>0</v>
      </c>
    </row>
    <row r="32" spans="1:10">
      <c r="A32" s="455" t="s">
        <v>259</v>
      </c>
      <c r="B32" s="286">
        <f>電輔車!E32</f>
        <v>0</v>
      </c>
      <c r="C32" s="89">
        <v>0</v>
      </c>
      <c r="D32" s="497">
        <f t="shared" si="1"/>
        <v>0</v>
      </c>
      <c r="E32" s="286">
        <f>電輔車!G32</f>
        <v>0</v>
      </c>
      <c r="F32" s="90">
        <v>0</v>
      </c>
      <c r="G32" s="496">
        <f t="shared" si="2"/>
        <v>0</v>
      </c>
      <c r="H32" s="87">
        <f t="shared" si="7"/>
        <v>0</v>
      </c>
      <c r="I32" s="88">
        <f t="shared" si="8"/>
        <v>0</v>
      </c>
      <c r="J32" s="498">
        <f t="shared" si="0"/>
        <v>0</v>
      </c>
    </row>
    <row r="33" spans="1:10">
      <c r="A33" s="455" t="s">
        <v>261</v>
      </c>
      <c r="B33" s="286">
        <f>電輔車!E33</f>
        <v>0</v>
      </c>
      <c r="C33" s="89">
        <v>0</v>
      </c>
      <c r="D33" s="497">
        <f t="shared" si="1"/>
        <v>0</v>
      </c>
      <c r="E33" s="286">
        <f>電輔車!G33</f>
        <v>0</v>
      </c>
      <c r="F33" s="90">
        <v>0</v>
      </c>
      <c r="G33" s="496">
        <f t="shared" si="2"/>
        <v>0</v>
      </c>
      <c r="H33" s="87">
        <f t="shared" si="7"/>
        <v>0</v>
      </c>
      <c r="I33" s="88">
        <f t="shared" si="8"/>
        <v>0</v>
      </c>
      <c r="J33" s="498">
        <f t="shared" si="0"/>
        <v>0</v>
      </c>
    </row>
    <row r="34" spans="1:10">
      <c r="A34" s="455" t="s">
        <v>262</v>
      </c>
      <c r="B34" s="286">
        <f>電輔車!E34</f>
        <v>0</v>
      </c>
      <c r="C34" s="89">
        <v>0</v>
      </c>
      <c r="D34" s="497">
        <f t="shared" si="1"/>
        <v>0</v>
      </c>
      <c r="E34" s="286">
        <f>電輔車!G34</f>
        <v>0</v>
      </c>
      <c r="F34" s="90">
        <v>0</v>
      </c>
      <c r="G34" s="496">
        <f t="shared" si="2"/>
        <v>0</v>
      </c>
      <c r="H34" s="87">
        <f t="shared" ref="H34:H63" si="9">IF(B34,E34/B34,0)</f>
        <v>0</v>
      </c>
      <c r="I34" s="88">
        <f t="shared" ref="I34:I63" si="10">IF(C34,F34/C34,0)</f>
        <v>0</v>
      </c>
      <c r="J34" s="498">
        <f t="shared" si="0"/>
        <v>0</v>
      </c>
    </row>
    <row r="35" spans="1:10">
      <c r="A35" s="456" t="s">
        <v>380</v>
      </c>
      <c r="B35" s="286">
        <f>電輔車!E35</f>
        <v>0</v>
      </c>
      <c r="C35" s="89">
        <v>0</v>
      </c>
      <c r="D35" s="497">
        <f t="shared" si="1"/>
        <v>0</v>
      </c>
      <c r="E35" s="286">
        <f>電輔車!G35</f>
        <v>0</v>
      </c>
      <c r="F35" s="90">
        <v>0</v>
      </c>
      <c r="G35" s="496">
        <f t="shared" si="2"/>
        <v>0</v>
      </c>
      <c r="H35" s="87">
        <f t="shared" si="9"/>
        <v>0</v>
      </c>
      <c r="I35" s="88">
        <f t="shared" si="10"/>
        <v>0</v>
      </c>
      <c r="J35" s="498">
        <f t="shared" si="0"/>
        <v>0</v>
      </c>
    </row>
    <row r="36" spans="1:10">
      <c r="A36" s="455" t="s">
        <v>265</v>
      </c>
      <c r="B36" s="286">
        <f>電輔車!E36</f>
        <v>9</v>
      </c>
      <c r="C36" s="89">
        <v>0</v>
      </c>
      <c r="D36" s="497">
        <f t="shared" si="1"/>
        <v>0</v>
      </c>
      <c r="E36" s="286">
        <f>電輔車!G36</f>
        <v>19886</v>
      </c>
      <c r="F36" s="90">
        <v>0</v>
      </c>
      <c r="G36" s="496">
        <f t="shared" si="2"/>
        <v>0</v>
      </c>
      <c r="H36" s="87">
        <f t="shared" si="9"/>
        <v>2209.5555555555557</v>
      </c>
      <c r="I36" s="88">
        <f t="shared" si="10"/>
        <v>0</v>
      </c>
      <c r="J36" s="498">
        <f t="shared" si="0"/>
        <v>0</v>
      </c>
    </row>
    <row r="37" spans="1:10">
      <c r="A37" s="455" t="s">
        <v>381</v>
      </c>
      <c r="B37" s="286">
        <f>電輔車!E37</f>
        <v>0</v>
      </c>
      <c r="C37" s="89">
        <v>0</v>
      </c>
      <c r="D37" s="497">
        <f t="shared" si="1"/>
        <v>0</v>
      </c>
      <c r="E37" s="286">
        <f>電輔車!G37</f>
        <v>0</v>
      </c>
      <c r="F37" s="90">
        <v>0</v>
      </c>
      <c r="G37" s="496">
        <f t="shared" si="2"/>
        <v>0</v>
      </c>
      <c r="H37" s="87">
        <f t="shared" si="9"/>
        <v>0</v>
      </c>
      <c r="I37" s="88">
        <f t="shared" si="10"/>
        <v>0</v>
      </c>
      <c r="J37" s="498">
        <f t="shared" si="0"/>
        <v>0</v>
      </c>
    </row>
    <row r="38" spans="1:10">
      <c r="A38" s="455" t="s">
        <v>267</v>
      </c>
      <c r="B38" s="286">
        <f>電輔車!E38</f>
        <v>0</v>
      </c>
      <c r="C38" s="89">
        <v>0</v>
      </c>
      <c r="D38" s="497">
        <f t="shared" si="1"/>
        <v>0</v>
      </c>
      <c r="E38" s="286">
        <f>電輔車!G38</f>
        <v>0</v>
      </c>
      <c r="F38" s="90">
        <v>0</v>
      </c>
      <c r="G38" s="496">
        <f t="shared" si="2"/>
        <v>0</v>
      </c>
      <c r="H38" s="87">
        <f t="shared" si="9"/>
        <v>0</v>
      </c>
      <c r="I38" s="88">
        <f t="shared" si="10"/>
        <v>0</v>
      </c>
      <c r="J38" s="498">
        <f t="shared" si="0"/>
        <v>0</v>
      </c>
    </row>
    <row r="39" spans="1:10">
      <c r="A39" s="455" t="s">
        <v>268</v>
      </c>
      <c r="B39" s="286">
        <f>電輔車!E39</f>
        <v>0</v>
      </c>
      <c r="C39" s="89">
        <v>0</v>
      </c>
      <c r="D39" s="497">
        <f t="shared" si="1"/>
        <v>0</v>
      </c>
      <c r="E39" s="286">
        <f>電輔車!G39</f>
        <v>0</v>
      </c>
      <c r="F39" s="90">
        <v>0</v>
      </c>
      <c r="G39" s="496">
        <f t="shared" si="2"/>
        <v>0</v>
      </c>
      <c r="H39" s="87">
        <f t="shared" si="9"/>
        <v>0</v>
      </c>
      <c r="I39" s="88">
        <f t="shared" si="10"/>
        <v>0</v>
      </c>
      <c r="J39" s="498">
        <f t="shared" si="0"/>
        <v>0</v>
      </c>
    </row>
    <row r="40" spans="1:10">
      <c r="A40" s="445" t="s">
        <v>269</v>
      </c>
      <c r="B40" s="286">
        <f>電輔車!E40</f>
        <v>0</v>
      </c>
      <c r="C40" s="89">
        <v>0</v>
      </c>
      <c r="D40" s="497">
        <f t="shared" si="1"/>
        <v>0</v>
      </c>
      <c r="E40" s="286">
        <f>電輔車!G40</f>
        <v>0</v>
      </c>
      <c r="F40" s="90">
        <v>0</v>
      </c>
      <c r="G40" s="496">
        <f t="shared" si="2"/>
        <v>0</v>
      </c>
      <c r="H40" s="87">
        <f t="shared" si="9"/>
        <v>0</v>
      </c>
      <c r="I40" s="88">
        <f t="shared" si="10"/>
        <v>0</v>
      </c>
      <c r="J40" s="498">
        <f t="shared" si="0"/>
        <v>0</v>
      </c>
    </row>
    <row r="41" spans="1:10">
      <c r="A41" s="284"/>
      <c r="B41" s="286"/>
      <c r="C41" s="489"/>
      <c r="D41" s="497"/>
      <c r="E41" s="286"/>
      <c r="F41" s="90"/>
      <c r="G41" s="496"/>
      <c r="H41" s="87"/>
      <c r="I41" s="88"/>
      <c r="J41" s="498"/>
    </row>
    <row r="42" spans="1:10">
      <c r="A42" s="290" t="s">
        <v>19</v>
      </c>
      <c r="B42" s="289">
        <f>SUM(B43:B46)</f>
        <v>1130</v>
      </c>
      <c r="C42" s="489">
        <f>SUM(C43:C46)</f>
        <v>844</v>
      </c>
      <c r="D42" s="497">
        <f t="shared" si="1"/>
        <v>0.33886255924170616</v>
      </c>
      <c r="E42" s="289">
        <f>SUM(E43:E46)</f>
        <v>2578234</v>
      </c>
      <c r="F42" s="85">
        <v>1779396</v>
      </c>
      <c r="G42" s="496">
        <f t="shared" si="2"/>
        <v>0.44893772943178473</v>
      </c>
      <c r="H42" s="87">
        <f t="shared" si="9"/>
        <v>2281.6230088495577</v>
      </c>
      <c r="I42" s="88">
        <f t="shared" si="10"/>
        <v>2108.2890995260664</v>
      </c>
      <c r="J42" s="498">
        <f t="shared" si="0"/>
        <v>8.2215436849934834E-2</v>
      </c>
    </row>
    <row r="43" spans="1:10">
      <c r="A43" s="284" t="s">
        <v>178</v>
      </c>
      <c r="B43" s="286">
        <f>電輔車!E43</f>
        <v>839</v>
      </c>
      <c r="C43" s="89">
        <f>VLOOKUP(A43,[11]進出口值表查詢結果!$B$10:$D$49,3,0)</f>
        <v>524</v>
      </c>
      <c r="D43" s="497">
        <f t="shared" si="1"/>
        <v>0.60114503816793896</v>
      </c>
      <c r="E43" s="286">
        <f>電輔車!G43</f>
        <v>2092030</v>
      </c>
      <c r="F43" s="90">
        <v>1205241</v>
      </c>
      <c r="G43" s="496">
        <f t="shared" si="2"/>
        <v>0.73577732586262834</v>
      </c>
      <c r="H43" s="87">
        <f t="shared" si="9"/>
        <v>2493.4803337306316</v>
      </c>
      <c r="I43" s="88">
        <f t="shared" si="10"/>
        <v>2300.0782442748091</v>
      </c>
      <c r="J43" s="498">
        <f t="shared" si="0"/>
        <v>8.4085004472011005E-2</v>
      </c>
    </row>
    <row r="44" spans="1:10">
      <c r="A44" s="284" t="s">
        <v>271</v>
      </c>
      <c r="B44" s="286">
        <f>電輔車!E44</f>
        <v>291</v>
      </c>
      <c r="C44" s="89">
        <f>VLOOKUP(A44,[11]進出口值表查詢結果!$B$10:$D$49,3,0)</f>
        <v>320</v>
      </c>
      <c r="D44" s="497">
        <f t="shared" si="1"/>
        <v>-9.0624999999999997E-2</v>
      </c>
      <c r="E44" s="286">
        <f>電輔車!G44</f>
        <v>486204</v>
      </c>
      <c r="F44" s="90">
        <v>574155</v>
      </c>
      <c r="G44" s="496">
        <f t="shared" si="2"/>
        <v>-0.15318337382762495</v>
      </c>
      <c r="H44" s="87">
        <f t="shared" si="9"/>
        <v>1670.8041237113403</v>
      </c>
      <c r="I44" s="88">
        <f t="shared" si="10"/>
        <v>1794.234375</v>
      </c>
      <c r="J44" s="498">
        <f t="shared" si="0"/>
        <v>-6.8792713487422594E-2</v>
      </c>
    </row>
    <row r="45" spans="1:10">
      <c r="A45" s="284" t="s">
        <v>272</v>
      </c>
      <c r="B45" s="286">
        <f>電輔車!E45</f>
        <v>0</v>
      </c>
      <c r="C45" s="89">
        <v>0</v>
      </c>
      <c r="D45" s="497">
        <f t="shared" si="1"/>
        <v>0</v>
      </c>
      <c r="E45" s="286">
        <f>電輔車!G45</f>
        <v>0</v>
      </c>
      <c r="F45" s="90">
        <v>0</v>
      </c>
      <c r="G45" s="496">
        <f t="shared" si="2"/>
        <v>0</v>
      </c>
      <c r="H45" s="87">
        <f t="shared" si="9"/>
        <v>0</v>
      </c>
      <c r="I45" s="88">
        <f t="shared" si="10"/>
        <v>0</v>
      </c>
      <c r="J45" s="498">
        <f t="shared" si="0"/>
        <v>0</v>
      </c>
    </row>
    <row r="46" spans="1:10">
      <c r="A46" s="287" t="s">
        <v>20</v>
      </c>
      <c r="B46" s="286">
        <f>電輔車!E46</f>
        <v>0</v>
      </c>
      <c r="C46" s="89">
        <v>0</v>
      </c>
      <c r="D46" s="497">
        <f t="shared" si="1"/>
        <v>0</v>
      </c>
      <c r="E46" s="286">
        <f>電輔車!G46</f>
        <v>0</v>
      </c>
      <c r="F46" s="90">
        <v>0</v>
      </c>
      <c r="G46" s="496">
        <f t="shared" si="2"/>
        <v>0</v>
      </c>
      <c r="H46" s="87">
        <f t="shared" si="9"/>
        <v>0</v>
      </c>
      <c r="I46" s="88">
        <f t="shared" si="10"/>
        <v>0</v>
      </c>
      <c r="J46" s="498">
        <f t="shared" si="0"/>
        <v>0</v>
      </c>
    </row>
    <row r="47" spans="1:10">
      <c r="A47" s="287"/>
      <c r="B47" s="286"/>
      <c r="C47" s="489"/>
      <c r="D47" s="497"/>
      <c r="E47" s="286"/>
      <c r="F47" s="90"/>
      <c r="G47" s="496"/>
      <c r="H47" s="87"/>
      <c r="I47" s="88"/>
      <c r="J47" s="498"/>
    </row>
    <row r="48" spans="1:10">
      <c r="A48" s="290" t="s">
        <v>21</v>
      </c>
      <c r="B48" s="289">
        <f>SUM(B49:B62)</f>
        <v>5361</v>
      </c>
      <c r="C48" s="489">
        <f>SUM(C49:C62)</f>
        <v>5905</v>
      </c>
      <c r="D48" s="497">
        <f t="shared" si="1"/>
        <v>-9.2125317527519054E-2</v>
      </c>
      <c r="E48" s="289">
        <f>SUM(E49:E62)</f>
        <v>10668633</v>
      </c>
      <c r="F48" s="91">
        <v>13879082</v>
      </c>
      <c r="G48" s="496">
        <f t="shared" si="2"/>
        <v>-0.23131565906160076</v>
      </c>
      <c r="H48" s="87">
        <f t="shared" si="9"/>
        <v>1990.0453273642977</v>
      </c>
      <c r="I48" s="88">
        <f t="shared" si="10"/>
        <v>2350.3949195596952</v>
      </c>
      <c r="J48" s="498">
        <f t="shared" si="0"/>
        <v>-0.153314487364065</v>
      </c>
    </row>
    <row r="49" spans="1:10">
      <c r="A49" s="290" t="s">
        <v>157</v>
      </c>
      <c r="B49" s="286">
        <f>電輔車!E49</f>
        <v>2104</v>
      </c>
      <c r="C49" s="89">
        <f>VLOOKUP(A49,[11]進出口值表查詢結果!$B$10:$D$49,3,0)</f>
        <v>2325</v>
      </c>
      <c r="D49" s="497">
        <f t="shared" si="1"/>
        <v>-9.5053763440860209E-2</v>
      </c>
      <c r="E49" s="286">
        <f>電輔車!G49</f>
        <v>4296452</v>
      </c>
      <c r="F49" s="90">
        <v>5526016</v>
      </c>
      <c r="G49" s="496">
        <f t="shared" si="2"/>
        <v>-0.22250460367831001</v>
      </c>
      <c r="H49" s="87">
        <f t="shared" si="9"/>
        <v>2042.0399239543726</v>
      </c>
      <c r="I49" s="88">
        <f>IF(C49,F49/C49,0)</f>
        <v>2376.7810752688174</v>
      </c>
      <c r="J49" s="498">
        <f t="shared" si="0"/>
        <v>-0.14083802450193486</v>
      </c>
    </row>
    <row r="50" spans="1:10">
      <c r="A50" s="444" t="s">
        <v>382</v>
      </c>
      <c r="B50" s="286">
        <f>電輔車!E50</f>
        <v>693</v>
      </c>
      <c r="C50" s="89">
        <f>VLOOKUP(A50,[11]進出口值表查詢結果!$B$10:$D$49,3,0)</f>
        <v>638</v>
      </c>
      <c r="D50" s="497">
        <f t="shared" si="1"/>
        <v>8.6206896551724144E-2</v>
      </c>
      <c r="E50" s="286">
        <f>電輔車!G50</f>
        <v>657752</v>
      </c>
      <c r="F50" s="90">
        <v>528610</v>
      </c>
      <c r="G50" s="496">
        <f t="shared" si="2"/>
        <v>0.24430487504965853</v>
      </c>
      <c r="H50" s="87">
        <f t="shared" si="9"/>
        <v>949.13708513708514</v>
      </c>
      <c r="I50" s="88">
        <f t="shared" si="10"/>
        <v>828.54231974921629</v>
      </c>
      <c r="J50" s="498">
        <f t="shared" si="0"/>
        <v>0.14555051988698725</v>
      </c>
    </row>
    <row r="51" spans="1:10">
      <c r="A51" s="284" t="s">
        <v>218</v>
      </c>
      <c r="B51" s="286">
        <f>電輔車!E51</f>
        <v>0</v>
      </c>
      <c r="C51" s="89">
        <f>VLOOKUP(A51,[11]進出口值表查詢結果!$B$10:$D$49,3,0)</f>
        <v>10</v>
      </c>
      <c r="D51" s="497">
        <f t="shared" si="1"/>
        <v>-1</v>
      </c>
      <c r="E51" s="286">
        <f>電輔車!G51</f>
        <v>0</v>
      </c>
      <c r="F51" s="90">
        <v>38326</v>
      </c>
      <c r="G51" s="496">
        <f t="shared" si="2"/>
        <v>-1</v>
      </c>
      <c r="H51" s="87">
        <f t="shared" si="9"/>
        <v>0</v>
      </c>
      <c r="I51" s="88">
        <f t="shared" si="10"/>
        <v>3832.6</v>
      </c>
      <c r="J51" s="498">
        <f t="shared" si="0"/>
        <v>-1</v>
      </c>
    </row>
    <row r="52" spans="1:10">
      <c r="A52" s="444" t="s">
        <v>295</v>
      </c>
      <c r="B52" s="286">
        <f>電輔車!E52</f>
        <v>43</v>
      </c>
      <c r="C52" s="89">
        <f>VLOOKUP(A52,[11]進出口值表查詢結果!$B$10:$D$49,3,0)</f>
        <v>24</v>
      </c>
      <c r="D52" s="497">
        <f t="shared" si="1"/>
        <v>0.79166666666666663</v>
      </c>
      <c r="E52" s="286">
        <f>電輔車!G52</f>
        <v>131232</v>
      </c>
      <c r="F52" s="90">
        <v>70538</v>
      </c>
      <c r="G52" s="496">
        <f t="shared" si="2"/>
        <v>0.86044401599138054</v>
      </c>
      <c r="H52" s="87">
        <f t="shared" si="9"/>
        <v>3051.9069767441861</v>
      </c>
      <c r="I52" s="88">
        <f t="shared" si="10"/>
        <v>2939.0833333333335</v>
      </c>
      <c r="J52" s="498">
        <f t="shared" si="0"/>
        <v>3.8387357762630948E-2</v>
      </c>
    </row>
    <row r="53" spans="1:10">
      <c r="A53" s="445" t="s">
        <v>22</v>
      </c>
      <c r="B53" s="286">
        <f>電輔車!E53</f>
        <v>25</v>
      </c>
      <c r="C53" s="89">
        <f>VLOOKUP(A53,[11]進出口值表查詢結果!$B$10:$D$49,3,0)</f>
        <v>62</v>
      </c>
      <c r="D53" s="497">
        <f t="shared" si="1"/>
        <v>-0.59677419354838712</v>
      </c>
      <c r="E53" s="286">
        <f>電輔車!G53</f>
        <v>76105</v>
      </c>
      <c r="F53" s="90">
        <v>182704</v>
      </c>
      <c r="G53" s="496">
        <f t="shared" si="2"/>
        <v>-0.58345192223487174</v>
      </c>
      <c r="H53" s="87">
        <f t="shared" si="9"/>
        <v>3044.2</v>
      </c>
      <c r="I53" s="88">
        <f t="shared" si="10"/>
        <v>2946.8387096774195</v>
      </c>
      <c r="J53" s="498">
        <f t="shared" si="0"/>
        <v>3.3039232857518058E-2</v>
      </c>
    </row>
    <row r="54" spans="1:10">
      <c r="A54" s="444" t="s">
        <v>301</v>
      </c>
      <c r="B54" s="286">
        <f>電輔車!E54</f>
        <v>227</v>
      </c>
      <c r="C54" s="89">
        <f>VLOOKUP(A54,[11]進出口值表查詢結果!$B$10:$D$49,3,0)</f>
        <v>137</v>
      </c>
      <c r="D54" s="497">
        <f t="shared" si="1"/>
        <v>0.65693430656934304</v>
      </c>
      <c r="E54" s="286">
        <f>電輔車!G54</f>
        <v>738288</v>
      </c>
      <c r="F54" s="90">
        <v>564869</v>
      </c>
      <c r="G54" s="496">
        <f t="shared" si="2"/>
        <v>0.30700746544774099</v>
      </c>
      <c r="H54" s="87">
        <f t="shared" si="9"/>
        <v>3252.3700440528632</v>
      </c>
      <c r="I54" s="88">
        <f t="shared" si="10"/>
        <v>4123.1313868613142</v>
      </c>
      <c r="J54" s="498">
        <f t="shared" si="0"/>
        <v>-0.21118932702052648</v>
      </c>
    </row>
    <row r="55" spans="1:10">
      <c r="A55" s="445" t="s">
        <v>384</v>
      </c>
      <c r="B55" s="286">
        <f>電輔車!E55</f>
        <v>1359</v>
      </c>
      <c r="C55" s="89">
        <f>VLOOKUP(A55,[11]進出口值表查詢結果!$B$10:$D$49,3,0)</f>
        <v>1320</v>
      </c>
      <c r="D55" s="497">
        <f t="shared" si="1"/>
        <v>2.9545454545454545E-2</v>
      </c>
      <c r="E55" s="286">
        <f>電輔車!G55</f>
        <v>2729180</v>
      </c>
      <c r="F55" s="90">
        <v>3121227</v>
      </c>
      <c r="G55" s="496">
        <f t="shared" si="2"/>
        <v>-0.12560669249625228</v>
      </c>
      <c r="H55" s="87">
        <f t="shared" si="9"/>
        <v>2008.2266372332597</v>
      </c>
      <c r="I55" s="88">
        <f t="shared" si="10"/>
        <v>2364.5659090909089</v>
      </c>
      <c r="J55" s="498">
        <f t="shared" si="0"/>
        <v>-0.15069965717075273</v>
      </c>
    </row>
    <row r="56" spans="1:10">
      <c r="A56" s="445" t="s">
        <v>23</v>
      </c>
      <c r="B56" s="286">
        <f>電輔車!E56</f>
        <v>63</v>
      </c>
      <c r="C56" s="89">
        <f>VLOOKUP(A56,[11]進出口值表查詢結果!$B$10:$D$49,3,0)</f>
        <v>72</v>
      </c>
      <c r="D56" s="497">
        <f t="shared" si="1"/>
        <v>-0.125</v>
      </c>
      <c r="E56" s="286">
        <f>電輔車!G56</f>
        <v>143676</v>
      </c>
      <c r="F56" s="90">
        <v>76699</v>
      </c>
      <c r="G56" s="496">
        <f t="shared" si="2"/>
        <v>0.87324476199168177</v>
      </c>
      <c r="H56" s="87">
        <f t="shared" si="9"/>
        <v>2280.5714285714284</v>
      </c>
      <c r="I56" s="88">
        <f t="shared" si="10"/>
        <v>1065.2638888888889</v>
      </c>
      <c r="J56" s="498">
        <f t="shared" si="0"/>
        <v>1.1408511565619219</v>
      </c>
    </row>
    <row r="57" spans="1:10">
      <c r="A57" s="445" t="s">
        <v>237</v>
      </c>
      <c r="B57" s="286">
        <f>電輔車!E57</f>
        <v>5</v>
      </c>
      <c r="C57" s="89">
        <f>VLOOKUP(A57,[11]進出口值表查詢結果!$B$10:$D$49,3,0)</f>
        <v>99</v>
      </c>
      <c r="D57" s="497">
        <f t="shared" si="1"/>
        <v>-0.9494949494949495</v>
      </c>
      <c r="E57" s="286">
        <f>電輔車!G57</f>
        <v>7380</v>
      </c>
      <c r="F57" s="90">
        <v>327830</v>
      </c>
      <c r="G57" s="496">
        <f t="shared" si="2"/>
        <v>-0.97748833236738553</v>
      </c>
      <c r="H57" s="87">
        <f t="shared" si="9"/>
        <v>1476</v>
      </c>
      <c r="I57" s="88">
        <f t="shared" si="10"/>
        <v>3311.4141414141413</v>
      </c>
      <c r="J57" s="498">
        <f t="shared" si="0"/>
        <v>-0.5542689808742336</v>
      </c>
    </row>
    <row r="58" spans="1:10">
      <c r="A58" s="445" t="s">
        <v>230</v>
      </c>
      <c r="B58" s="286">
        <f>電輔車!E58</f>
        <v>29</v>
      </c>
      <c r="C58" s="89">
        <f>VLOOKUP(A58,[11]進出口值表查詢結果!$B$10:$D$49,3,0)</f>
        <v>50</v>
      </c>
      <c r="D58" s="497">
        <f t="shared" si="1"/>
        <v>-0.42</v>
      </c>
      <c r="E58" s="286">
        <f>電輔車!G58</f>
        <v>60048</v>
      </c>
      <c r="F58" s="90">
        <v>182240</v>
      </c>
      <c r="G58" s="496">
        <f t="shared" si="2"/>
        <v>-0.67050043898156275</v>
      </c>
      <c r="H58" s="87">
        <f t="shared" si="9"/>
        <v>2070.6206896551726</v>
      </c>
      <c r="I58" s="88">
        <f t="shared" si="10"/>
        <v>3644.8</v>
      </c>
      <c r="J58" s="498">
        <f t="shared" si="0"/>
        <v>-0.43189730858890135</v>
      </c>
    </row>
    <row r="59" spans="1:10">
      <c r="A59" s="445" t="s">
        <v>275</v>
      </c>
      <c r="B59" s="286">
        <f>電輔車!E59</f>
        <v>0</v>
      </c>
      <c r="C59" s="89">
        <v>0</v>
      </c>
      <c r="D59" s="497">
        <f t="shared" si="1"/>
        <v>0</v>
      </c>
      <c r="E59" s="286">
        <f>電輔車!G59</f>
        <v>0</v>
      </c>
      <c r="F59" s="90">
        <v>0</v>
      </c>
      <c r="G59" s="496">
        <f t="shared" si="2"/>
        <v>0</v>
      </c>
      <c r="H59" s="87">
        <f t="shared" si="9"/>
        <v>0</v>
      </c>
      <c r="I59" s="88">
        <f t="shared" si="10"/>
        <v>0</v>
      </c>
      <c r="J59" s="498">
        <f t="shared" si="0"/>
        <v>0</v>
      </c>
    </row>
    <row r="60" spans="1:10">
      <c r="A60" s="445" t="s">
        <v>280</v>
      </c>
      <c r="B60" s="286">
        <f>電輔車!E60</f>
        <v>0</v>
      </c>
      <c r="C60" s="89">
        <v>0</v>
      </c>
      <c r="D60" s="497">
        <f t="shared" si="1"/>
        <v>0</v>
      </c>
      <c r="E60" s="286">
        <f>電輔車!G60</f>
        <v>0</v>
      </c>
      <c r="F60" s="90">
        <v>0</v>
      </c>
      <c r="G60" s="496">
        <f t="shared" si="2"/>
        <v>0</v>
      </c>
      <c r="H60" s="87">
        <f t="shared" si="9"/>
        <v>0</v>
      </c>
      <c r="I60" s="88">
        <f t="shared" si="10"/>
        <v>0</v>
      </c>
      <c r="J60" s="498">
        <f t="shared" si="0"/>
        <v>0</v>
      </c>
    </row>
    <row r="61" spans="1:10">
      <c r="A61" s="445" t="s">
        <v>286</v>
      </c>
      <c r="B61" s="286">
        <f>電輔車!E61</f>
        <v>647</v>
      </c>
      <c r="C61" s="89">
        <f>VLOOKUP(A61,[11]進出口值表查詢結果!$B$10:$D$49,3,0)</f>
        <v>712</v>
      </c>
      <c r="D61" s="497">
        <f t="shared" si="1"/>
        <v>-9.1292134831460675E-2</v>
      </c>
      <c r="E61" s="286">
        <f>電輔車!G61</f>
        <v>1432406</v>
      </c>
      <c r="F61" s="90">
        <v>1795797</v>
      </c>
      <c r="G61" s="496">
        <f t="shared" si="2"/>
        <v>-0.20235639106201869</v>
      </c>
      <c r="H61" s="87">
        <f t="shared" si="9"/>
        <v>2213.9196290571872</v>
      </c>
      <c r="I61" s="88">
        <f t="shared" si="10"/>
        <v>2522.1867977528091</v>
      </c>
      <c r="J61" s="498">
        <f t="shared" si="0"/>
        <v>-0.12222217996314882</v>
      </c>
    </row>
    <row r="62" spans="1:10">
      <c r="A62" s="445" t="s">
        <v>334</v>
      </c>
      <c r="B62" s="286">
        <f>電輔車!E62</f>
        <v>166</v>
      </c>
      <c r="C62" s="89">
        <f>VLOOKUP(A62,[11]進出口值表查詢結果!$B$10:$D$49,3,0)</f>
        <v>456</v>
      </c>
      <c r="D62" s="497">
        <f t="shared" si="1"/>
        <v>-0.63596491228070173</v>
      </c>
      <c r="E62" s="286">
        <f>電輔車!G62</f>
        <v>396114</v>
      </c>
      <c r="F62" s="90">
        <v>1464226</v>
      </c>
      <c r="G62" s="496">
        <f t="shared" si="2"/>
        <v>-0.72947208969107225</v>
      </c>
      <c r="H62" s="87">
        <f t="shared" si="9"/>
        <v>2386.2289156626507</v>
      </c>
      <c r="I62" s="88">
        <f t="shared" si="10"/>
        <v>3211.0219298245615</v>
      </c>
      <c r="J62" s="498">
        <f t="shared" si="0"/>
        <v>-0.25686308975378891</v>
      </c>
    </row>
    <row r="63" spans="1:10">
      <c r="A63" s="287" t="s">
        <v>29</v>
      </c>
      <c r="B63" s="286">
        <f>B64-B48-B42-B13-B8</f>
        <v>730</v>
      </c>
      <c r="C63" s="90">
        <f>C64-C48-C42-C13-C8</f>
        <v>412</v>
      </c>
      <c r="D63" s="497">
        <f t="shared" si="1"/>
        <v>0.77184466019417475</v>
      </c>
      <c r="E63" s="286">
        <f>E64-E48-E42-E13-E8</f>
        <v>2132253</v>
      </c>
      <c r="F63" s="90">
        <v>1440826</v>
      </c>
      <c r="G63" s="496">
        <f t="shared" si="2"/>
        <v>0.47988237302769382</v>
      </c>
      <c r="H63" s="87">
        <f t="shared" si="9"/>
        <v>2920.8945205479454</v>
      </c>
      <c r="I63" s="88">
        <f t="shared" si="10"/>
        <v>3497.1504854368932</v>
      </c>
      <c r="J63" s="498">
        <f t="shared" si="0"/>
        <v>-0.16477871549669876</v>
      </c>
    </row>
    <row r="64" spans="1:10">
      <c r="A64" s="288" t="s">
        <v>399</v>
      </c>
      <c r="B64" s="289">
        <f>電輔車!E64</f>
        <v>47657</v>
      </c>
      <c r="C64" s="89">
        <f>VLOOKUP(A64,[11]進出口值表查詢結果!$B$10:$D$49,3,0)</f>
        <v>53457</v>
      </c>
      <c r="D64" s="497">
        <f t="shared" si="1"/>
        <v>-0.10849841929027068</v>
      </c>
      <c r="E64" s="286">
        <f>電輔車!G64</f>
        <v>89300522</v>
      </c>
      <c r="F64" s="90">
        <v>112718368</v>
      </c>
      <c r="G64" s="496">
        <f t="shared" si="2"/>
        <v>-0.20775536778531073</v>
      </c>
      <c r="H64" s="87">
        <f t="shared" ref="H64" si="11">E64/B64</f>
        <v>1873.817529429045</v>
      </c>
      <c r="I64" s="88">
        <f t="shared" ref="I64" si="12">F64/C64</f>
        <v>2108.5801298239708</v>
      </c>
      <c r="J64" s="498">
        <f t="shared" si="0"/>
        <v>-0.11133681716640494</v>
      </c>
    </row>
    <row r="65" spans="1:7" ht="9.75" customHeight="1">
      <c r="A65" s="291"/>
      <c r="B65" s="292"/>
      <c r="C65" s="559"/>
      <c r="D65" s="294"/>
      <c r="E65" s="292"/>
      <c r="F65" s="293"/>
      <c r="G65" s="294"/>
    </row>
    <row r="66" spans="1:7" ht="13.5" customHeight="1">
      <c r="A66" s="295" t="s">
        <v>462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G7:G1048576 J7:J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2.375" style="96" customWidth="1"/>
    <col min="3" max="3" width="14.375" style="5" customWidth="1"/>
    <col min="4" max="4" width="11.125" style="96" customWidth="1"/>
    <col min="5" max="5" width="13.5" style="5" customWidth="1"/>
    <col min="6" max="6" width="8.875" style="96" customWidth="1"/>
    <col min="7" max="7" width="13.25" style="96" customWidth="1"/>
    <col min="8" max="8" width="9.25" style="5" customWidth="1"/>
    <col min="9" max="9" width="9.87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9" customFormat="1" ht="23.25">
      <c r="A1" s="178"/>
      <c r="C1" s="180" t="s">
        <v>504</v>
      </c>
    </row>
    <row r="2" spans="1:9" ht="12.75" customHeight="1"/>
    <row r="3" spans="1:9" s="7" customFormat="1" ht="15.75">
      <c r="A3" s="112" t="s">
        <v>467</v>
      </c>
      <c r="B3" s="181"/>
      <c r="C3" s="63"/>
      <c r="D3" s="182"/>
      <c r="E3" s="63"/>
      <c r="F3" s="181"/>
      <c r="G3" s="181"/>
      <c r="H3" s="63"/>
      <c r="I3" s="182"/>
    </row>
    <row r="4" spans="1:9" s="13" customFormat="1">
      <c r="A4" s="8" t="s">
        <v>502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565" t="s">
        <v>505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112</v>
      </c>
      <c r="H5" s="8"/>
      <c r="I5" s="46" t="s">
        <v>3</v>
      </c>
    </row>
    <row r="6" spans="1:9" ht="18.600000000000001" customHeight="1">
      <c r="A6" s="172" t="s">
        <v>4</v>
      </c>
      <c r="B6" s="183"/>
      <c r="C6" s="17"/>
      <c r="D6" s="184"/>
      <c r="E6" s="17"/>
      <c r="F6" s="184"/>
      <c r="G6" s="184"/>
      <c r="H6" s="17"/>
      <c r="I6" s="185"/>
    </row>
    <row r="7" spans="1:9">
      <c r="A7" s="20" t="s">
        <v>5</v>
      </c>
      <c r="B7" s="186">
        <f>SUM(B8:B10)</f>
        <v>2</v>
      </c>
      <c r="C7" s="22">
        <f>SUM(C8:C10)</f>
        <v>95</v>
      </c>
      <c r="D7" s="187">
        <f>IF(B7,C7/B7,0)</f>
        <v>47.5</v>
      </c>
      <c r="E7" s="22">
        <f>SUM(E8:E10)</f>
        <v>2</v>
      </c>
      <c r="F7" s="188">
        <f>E7/$E$68</f>
        <v>5.0251256281407036E-3</v>
      </c>
      <c r="G7" s="189">
        <f>SUM(G8:G10)</f>
        <v>95</v>
      </c>
      <c r="H7" s="24">
        <f>G7/$G$68</f>
        <v>2.883042550673266E-4</v>
      </c>
      <c r="I7" s="190">
        <f>IF(E7,G7/E7,0)</f>
        <v>47.5</v>
      </c>
    </row>
    <row r="8" spans="1:9">
      <c r="A8" s="26" t="s">
        <v>377</v>
      </c>
      <c r="B8" s="191">
        <v>2</v>
      </c>
      <c r="C8" s="28">
        <v>95</v>
      </c>
      <c r="D8" s="187">
        <f t="shared" ref="D8:D67" si="0">IF(B8,C8/B8,0)</f>
        <v>47.5</v>
      </c>
      <c r="E8" s="28">
        <f>VLOOKUP(A8,[12]進出口值表查詢結果!$B$10:$D$19,3,0)</f>
        <v>2</v>
      </c>
      <c r="F8" s="188">
        <f>E8/$E$68</f>
        <v>5.0251256281407036E-3</v>
      </c>
      <c r="G8" s="191">
        <f>VLOOKUP(A8,[12]進出口值表查詢結果!$B$10:$D$19,2,0)</f>
        <v>95</v>
      </c>
      <c r="H8" s="24">
        <f>G8/$G$68</f>
        <v>2.883042550673266E-4</v>
      </c>
      <c r="I8" s="190">
        <f t="shared" ref="I8:I67" si="1">IF(E8,G8/E8,0)</f>
        <v>47.5</v>
      </c>
    </row>
    <row r="9" spans="1:9">
      <c r="A9" s="30" t="s">
        <v>6</v>
      </c>
      <c r="B9" s="191">
        <f>_xlfn.IFNA(VLOOKUP(A9,[8]折!$C$3:$F$95,4,0),-[4]整車!$B$22)</f>
        <v>0</v>
      </c>
      <c r="C9" s="28">
        <f>_xlfn.IFNA(VLOOKUP(A9,[8]折!$C$3:$F$99,3,0),-[4]整車!$B$22)</f>
        <v>0</v>
      </c>
      <c r="D9" s="187">
        <f t="shared" si="0"/>
        <v>0</v>
      </c>
      <c r="E9" s="28">
        <v>0</v>
      </c>
      <c r="F9" s="188">
        <f>E9/$E$68</f>
        <v>0</v>
      </c>
      <c r="G9" s="191">
        <f>_xlfn.IFNA(VLOOKUP(A9,[8]折同!$C$3:$H$532,4,0),-[4]整車!$B$22)</f>
        <v>0</v>
      </c>
      <c r="H9" s="24">
        <f>G9/$G$68</f>
        <v>0</v>
      </c>
      <c r="I9" s="190">
        <f t="shared" si="1"/>
        <v>0</v>
      </c>
    </row>
    <row r="10" spans="1:9">
      <c r="A10" s="30" t="s">
        <v>7</v>
      </c>
      <c r="B10" s="191">
        <f>_xlfn.IFNA(VLOOKUP(A10,[8]折!$C$3:$F$95,4,0),-[4]整車!$B$22)</f>
        <v>0</v>
      </c>
      <c r="C10" s="28">
        <f>_xlfn.IFNA(VLOOKUP(A10,[8]折!$C$3:$F$99,3,0),-[4]整車!$B$22)</f>
        <v>0</v>
      </c>
      <c r="D10" s="187">
        <f t="shared" si="0"/>
        <v>0</v>
      </c>
      <c r="E10" s="28">
        <v>0</v>
      </c>
      <c r="F10" s="188">
        <f>E10/$E$68</f>
        <v>0</v>
      </c>
      <c r="G10" s="191">
        <f>_xlfn.IFNA(VLOOKUP(A10,[8]折同!$C$3:$H$532,4,0),-[4]整車!$B$22)</f>
        <v>0</v>
      </c>
      <c r="H10" s="24">
        <f>G10/$G$68</f>
        <v>0</v>
      </c>
      <c r="I10" s="190">
        <f t="shared" si="1"/>
        <v>0</v>
      </c>
    </row>
    <row r="11" spans="1:9">
      <c r="A11" s="31"/>
      <c r="B11" s="191"/>
      <c r="C11" s="28"/>
      <c r="D11" s="187"/>
      <c r="E11" s="27"/>
      <c r="F11" s="192"/>
      <c r="G11" s="191"/>
      <c r="H11" s="29"/>
      <c r="I11" s="190"/>
    </row>
    <row r="12" spans="1:9">
      <c r="A12" s="32" t="s">
        <v>8</v>
      </c>
      <c r="B12" s="193">
        <f>SUM(B13:B39)</f>
        <v>115</v>
      </c>
      <c r="C12" s="33">
        <f>SUM(C13:C39)</f>
        <v>61387</v>
      </c>
      <c r="D12" s="187">
        <f t="shared" si="0"/>
        <v>533.79999999999995</v>
      </c>
      <c r="E12" s="33">
        <f>SUM(E13:E39)</f>
        <v>115</v>
      </c>
      <c r="F12" s="188">
        <f t="shared" ref="F12:F13" si="2">E12/$E$68</f>
        <v>0.28894472361809043</v>
      </c>
      <c r="G12" s="193">
        <f>SUM(G13:G39)</f>
        <v>61387</v>
      </c>
      <c r="H12" s="24">
        <f>G12/$G$68</f>
        <v>0.1862961400612419</v>
      </c>
      <c r="I12" s="190">
        <f t="shared" si="1"/>
        <v>533.79999999999995</v>
      </c>
    </row>
    <row r="13" spans="1:9">
      <c r="A13" s="444" t="s">
        <v>196</v>
      </c>
      <c r="B13" s="191">
        <v>115</v>
      </c>
      <c r="C13" s="27">
        <v>61387</v>
      </c>
      <c r="D13" s="187">
        <f t="shared" si="0"/>
        <v>533.79999999999995</v>
      </c>
      <c r="E13" s="28">
        <f>VLOOKUP(A13,[12]進出口值表查詢結果!$B$10:$D$19,3,0)</f>
        <v>115</v>
      </c>
      <c r="F13" s="188">
        <f t="shared" si="2"/>
        <v>0.28894472361809043</v>
      </c>
      <c r="G13" s="191">
        <f>VLOOKUP(A13,[12]進出口值表查詢結果!$B$10:$D$19,2,0)</f>
        <v>61387</v>
      </c>
      <c r="H13" s="24">
        <f>G13/$G$68</f>
        <v>0.1862961400612419</v>
      </c>
      <c r="I13" s="190">
        <f t="shared" si="1"/>
        <v>533.79999999999995</v>
      </c>
    </row>
    <row r="14" spans="1:9">
      <c r="A14" s="444" t="s">
        <v>197</v>
      </c>
      <c r="B14" s="191">
        <f>_xlfn.IFNA(VLOOKUP(A14,[8]折!$C$3:$F$99,4,0),-[4]整車!$B$22)</f>
        <v>0</v>
      </c>
      <c r="C14" s="27">
        <f>_xlfn.IFNA(VLOOKUP(A14,[8]折!$C$3:$F$99,3,0),-[4]整車!$B$22)</f>
        <v>0</v>
      </c>
      <c r="D14" s="187">
        <f t="shared" ref="D14:D39" si="3">IF(B14,C14/B14,0)</f>
        <v>0</v>
      </c>
      <c r="E14" s="28">
        <v>0</v>
      </c>
      <c r="F14" s="188">
        <f t="shared" ref="F14:F39" si="4">E14/$E$68</f>
        <v>0</v>
      </c>
      <c r="G14" s="191">
        <f>_xlfn.IFNA(VLOOKUP(A14,[8]折同!$C$3:$H$312,4,0),-[4]整車!$B$22)</f>
        <v>0</v>
      </c>
      <c r="H14" s="24">
        <f t="shared" ref="H14:H39" si="5">G14/$G$68</f>
        <v>0</v>
      </c>
      <c r="I14" s="190">
        <f t="shared" ref="I14:I39" si="6">IF(E14,G14/E14,0)</f>
        <v>0</v>
      </c>
    </row>
    <row r="15" spans="1:9">
      <c r="A15" s="445" t="s">
        <v>9</v>
      </c>
      <c r="B15" s="191"/>
      <c r="C15" s="27"/>
      <c r="D15" s="187">
        <f t="shared" si="3"/>
        <v>0</v>
      </c>
      <c r="E15" s="28">
        <v>0</v>
      </c>
      <c r="F15" s="188">
        <f t="shared" si="4"/>
        <v>0</v>
      </c>
      <c r="G15" s="191"/>
      <c r="H15" s="24">
        <f t="shared" si="5"/>
        <v>0</v>
      </c>
      <c r="I15" s="190">
        <f t="shared" si="6"/>
        <v>0</v>
      </c>
    </row>
    <row r="16" spans="1:9">
      <c r="A16" s="444" t="s">
        <v>198</v>
      </c>
      <c r="B16" s="191">
        <f>_xlfn.IFNA(VLOOKUP(A16,[8]折!$C$3:$F$99,4,0),-[4]整車!$B$22)</f>
        <v>0</v>
      </c>
      <c r="C16" s="27">
        <f>_xlfn.IFNA(VLOOKUP(A16,[8]折!$C$3:$F$99,3,0),-[4]整車!$B$22)</f>
        <v>0</v>
      </c>
      <c r="D16" s="187">
        <f t="shared" si="3"/>
        <v>0</v>
      </c>
      <c r="E16" s="28">
        <v>0</v>
      </c>
      <c r="F16" s="188">
        <f t="shared" si="4"/>
        <v>0</v>
      </c>
      <c r="G16" s="191">
        <f>_xlfn.IFNA(VLOOKUP(A16,[8]折同!$C$3:$H$312,4,0),-[4]整車!$B$22)</f>
        <v>0</v>
      </c>
      <c r="H16" s="24">
        <f t="shared" si="5"/>
        <v>0</v>
      </c>
      <c r="I16" s="190">
        <f t="shared" si="6"/>
        <v>0</v>
      </c>
    </row>
    <row r="17" spans="1:9">
      <c r="A17" s="445" t="s">
        <v>10</v>
      </c>
      <c r="B17" s="191">
        <f>_xlfn.IFNA(VLOOKUP(A17,[8]折!$C$3:$F$99,4,0),-[4]整車!$B$22)</f>
        <v>0</v>
      </c>
      <c r="C17" s="27">
        <f>_xlfn.IFNA(VLOOKUP(A17,[8]折!$C$3:$F$99,3,0),-[4]整車!$B$22)</f>
        <v>0</v>
      </c>
      <c r="D17" s="187">
        <f t="shared" si="3"/>
        <v>0</v>
      </c>
      <c r="E17" s="28">
        <v>0</v>
      </c>
      <c r="F17" s="188">
        <f t="shared" si="4"/>
        <v>0</v>
      </c>
      <c r="G17" s="191">
        <f>_xlfn.IFNA(VLOOKUP(A17,[8]折同!$C$3:$H$312,4,0),-[4]整車!$B$22)</f>
        <v>0</v>
      </c>
      <c r="H17" s="24">
        <f t="shared" si="5"/>
        <v>0</v>
      </c>
      <c r="I17" s="190">
        <f t="shared" si="6"/>
        <v>0</v>
      </c>
    </row>
    <row r="18" spans="1:9">
      <c r="A18" s="445" t="s">
        <v>11</v>
      </c>
      <c r="B18" s="191">
        <f>_xlfn.IFNA(VLOOKUP(A18,[8]折!$C$3:$F$99,4,0),-[4]整車!$B$22)</f>
        <v>0</v>
      </c>
      <c r="C18" s="27">
        <f>_xlfn.IFNA(VLOOKUP(A18,[8]折!$C$3:$F$99,3,0),-[4]整車!$B$22)</f>
        <v>0</v>
      </c>
      <c r="D18" s="187">
        <f t="shared" si="3"/>
        <v>0</v>
      </c>
      <c r="E18" s="28">
        <v>0</v>
      </c>
      <c r="F18" s="188">
        <f t="shared" si="4"/>
        <v>0</v>
      </c>
      <c r="G18" s="191">
        <f>_xlfn.IFNA(VLOOKUP(A18,[8]折同!$C$3:$H$312,4,0),-[4]整車!$B$22)</f>
        <v>0</v>
      </c>
      <c r="H18" s="24">
        <f t="shared" si="5"/>
        <v>0</v>
      </c>
      <c r="I18" s="190">
        <f t="shared" si="6"/>
        <v>0</v>
      </c>
    </row>
    <row r="19" spans="1:9">
      <c r="A19" s="444" t="s">
        <v>199</v>
      </c>
      <c r="B19" s="191">
        <f>_xlfn.IFNA(VLOOKUP(A19,[8]折!$C$3:$F$99,4,0),-[4]整車!$B$22)</f>
        <v>0</v>
      </c>
      <c r="C19" s="27">
        <f>_xlfn.IFNA(VLOOKUP(A19,[8]折!$C$3:$F$99,3,0),-[4]整車!$B$22)</f>
        <v>0</v>
      </c>
      <c r="D19" s="187">
        <f t="shared" si="3"/>
        <v>0</v>
      </c>
      <c r="E19" s="28">
        <v>0</v>
      </c>
      <c r="F19" s="188">
        <f t="shared" si="4"/>
        <v>0</v>
      </c>
      <c r="G19" s="191">
        <f>_xlfn.IFNA(VLOOKUP(A19,[8]折同!$C$3:$H$312,4,0),-[4]整車!$B$22)</f>
        <v>0</v>
      </c>
      <c r="H19" s="24">
        <f t="shared" si="5"/>
        <v>0</v>
      </c>
      <c r="I19" s="190">
        <f t="shared" si="6"/>
        <v>0</v>
      </c>
    </row>
    <row r="20" spans="1:9">
      <c r="A20" s="445" t="s">
        <v>12</v>
      </c>
      <c r="B20" s="191">
        <f>_xlfn.IFNA(VLOOKUP(A20,[8]折!$C$3:$F$99,4,0),-[4]整車!$B$22)</f>
        <v>0</v>
      </c>
      <c r="C20" s="27">
        <f>_xlfn.IFNA(VLOOKUP(A20,[8]折!$C$3:$F$99,3,0),-[4]整車!$B$22)</f>
        <v>0</v>
      </c>
      <c r="D20" s="187">
        <f t="shared" si="3"/>
        <v>0</v>
      </c>
      <c r="E20" s="28">
        <v>0</v>
      </c>
      <c r="F20" s="188">
        <f t="shared" si="4"/>
        <v>0</v>
      </c>
      <c r="G20" s="191">
        <f>_xlfn.IFNA(VLOOKUP(A20,[8]折同!$C$3:$H$312,4,0),-[4]整車!$B$22)</f>
        <v>0</v>
      </c>
      <c r="H20" s="24">
        <f t="shared" si="5"/>
        <v>0</v>
      </c>
      <c r="I20" s="190">
        <f t="shared" si="6"/>
        <v>0</v>
      </c>
    </row>
    <row r="21" spans="1:9">
      <c r="A21" s="444" t="s">
        <v>201</v>
      </c>
      <c r="B21" s="191">
        <f>_xlfn.IFNA(VLOOKUP(A21,[8]折!$C$3:$F$99,4,0),-[4]整車!$B$22)</f>
        <v>0</v>
      </c>
      <c r="C21" s="27">
        <f>_xlfn.IFNA(VLOOKUP(A21,[8]折!$C$3:$F$99,3,0),-[4]整車!$B$22)</f>
        <v>0</v>
      </c>
      <c r="D21" s="187">
        <f t="shared" si="3"/>
        <v>0</v>
      </c>
      <c r="E21" s="28">
        <v>0</v>
      </c>
      <c r="F21" s="188">
        <f t="shared" si="4"/>
        <v>0</v>
      </c>
      <c r="G21" s="191">
        <f>_xlfn.IFNA(VLOOKUP(A21,[8]折同!$C$3:$H$312,4,0),-[4]整車!$B$22)</f>
        <v>0</v>
      </c>
      <c r="H21" s="24">
        <f t="shared" si="5"/>
        <v>0</v>
      </c>
      <c r="I21" s="190">
        <f t="shared" si="6"/>
        <v>0</v>
      </c>
    </row>
    <row r="22" spans="1:9">
      <c r="A22" s="445" t="s">
        <v>13</v>
      </c>
      <c r="B22" s="191">
        <f>_xlfn.IFNA(VLOOKUP(A22,[8]折!$C$3:$F$99,4,0),-[4]整車!$B$22)</f>
        <v>0</v>
      </c>
      <c r="C22" s="27">
        <f>_xlfn.IFNA(VLOOKUP(A22,[8]折!$C$3:$F$99,3,0),-[4]整車!$B$22)</f>
        <v>0</v>
      </c>
      <c r="D22" s="187">
        <f t="shared" si="3"/>
        <v>0</v>
      </c>
      <c r="E22" s="28">
        <v>0</v>
      </c>
      <c r="F22" s="188">
        <f t="shared" si="4"/>
        <v>0</v>
      </c>
      <c r="G22" s="191">
        <f>_xlfn.IFNA(VLOOKUP(A22,[8]折同!$C$3:$H$312,4,0),-[4]整車!$B$22)</f>
        <v>0</v>
      </c>
      <c r="H22" s="24">
        <f t="shared" si="5"/>
        <v>0</v>
      </c>
      <c r="I22" s="190">
        <f t="shared" si="6"/>
        <v>0</v>
      </c>
    </row>
    <row r="23" spans="1:9">
      <c r="A23" s="445" t="s">
        <v>14</v>
      </c>
      <c r="B23" s="191">
        <f>_xlfn.IFNA(VLOOKUP(A23,[8]折!$C$3:$F$99,4,0),-[4]整車!$B$22)</f>
        <v>0</v>
      </c>
      <c r="C23" s="27">
        <f>_xlfn.IFNA(VLOOKUP(A23,[8]折!$C$3:$F$99,3,0),-[4]整車!$B$22)</f>
        <v>0</v>
      </c>
      <c r="D23" s="187">
        <f t="shared" si="3"/>
        <v>0</v>
      </c>
      <c r="E23" s="28">
        <v>0</v>
      </c>
      <c r="F23" s="188">
        <f t="shared" si="4"/>
        <v>0</v>
      </c>
      <c r="G23" s="191">
        <f>_xlfn.IFNA(VLOOKUP(A23,[8]折同!$C$3:$H$312,4,0),-[4]整車!$B$22)</f>
        <v>0</v>
      </c>
      <c r="H23" s="24">
        <f t="shared" si="5"/>
        <v>0</v>
      </c>
      <c r="I23" s="190">
        <f t="shared" si="6"/>
        <v>0</v>
      </c>
    </row>
    <row r="24" spans="1:9">
      <c r="A24" s="445" t="s">
        <v>15</v>
      </c>
      <c r="B24" s="191">
        <f>_xlfn.IFNA(VLOOKUP(A24,[8]折!$C$3:$F$99,4,0),-[4]整車!$B$22)</f>
        <v>0</v>
      </c>
      <c r="C24" s="27">
        <f>_xlfn.IFNA(VLOOKUP(A24,[8]折!$C$3:$F$99,3,0),-[4]整車!$B$22)</f>
        <v>0</v>
      </c>
      <c r="D24" s="187">
        <f t="shared" si="3"/>
        <v>0</v>
      </c>
      <c r="E24" s="28">
        <v>0</v>
      </c>
      <c r="F24" s="188">
        <f t="shared" si="4"/>
        <v>0</v>
      </c>
      <c r="G24" s="191">
        <f>_xlfn.IFNA(VLOOKUP(A24,[8]折同!$C$3:$H$312,4,0),-[4]整車!$B$22)</f>
        <v>0</v>
      </c>
      <c r="H24" s="24">
        <f t="shared" si="5"/>
        <v>0</v>
      </c>
      <c r="I24" s="190">
        <f t="shared" si="6"/>
        <v>0</v>
      </c>
    </row>
    <row r="25" spans="1:9">
      <c r="A25" s="444" t="s">
        <v>202</v>
      </c>
      <c r="B25" s="191">
        <f>_xlfn.IFNA(VLOOKUP(A25,[8]折!$C$3:$F$99,4,0),-[4]整車!$B$22)</f>
        <v>0</v>
      </c>
      <c r="C25" s="27">
        <f>_xlfn.IFNA(VLOOKUP(A25,[8]折!$C$3:$F$99,3,0),-[4]整車!$B$22)</f>
        <v>0</v>
      </c>
      <c r="D25" s="187">
        <f t="shared" si="3"/>
        <v>0</v>
      </c>
      <c r="E25" s="28">
        <v>0</v>
      </c>
      <c r="F25" s="188">
        <f t="shared" si="4"/>
        <v>0</v>
      </c>
      <c r="G25" s="191">
        <f>_xlfn.IFNA(VLOOKUP(A25,[8]折同!$C$3:$H$312,4,0),-[4]整車!$B$22)</f>
        <v>0</v>
      </c>
      <c r="H25" s="24">
        <f t="shared" si="5"/>
        <v>0</v>
      </c>
      <c r="I25" s="190">
        <f t="shared" si="6"/>
        <v>0</v>
      </c>
    </row>
    <row r="26" spans="1:9">
      <c r="A26" s="444" t="s">
        <v>203</v>
      </c>
      <c r="B26" s="191">
        <f>_xlfn.IFNA(VLOOKUP(A26,[8]折!$C$3:$F$99,4,0),-[4]整車!$B$22)</f>
        <v>0</v>
      </c>
      <c r="C26" s="27">
        <f>_xlfn.IFNA(VLOOKUP(A26,[8]折!$C$3:$F$99,3,0),-[4]整車!$B$22)</f>
        <v>0</v>
      </c>
      <c r="D26" s="187">
        <f t="shared" si="3"/>
        <v>0</v>
      </c>
      <c r="E26" s="28">
        <v>0</v>
      </c>
      <c r="F26" s="188">
        <f t="shared" si="4"/>
        <v>0</v>
      </c>
      <c r="G26" s="191">
        <f>_xlfn.IFNA(VLOOKUP(A26,[8]折同!$C$3:$H$312,4,0),-[4]整車!$B$22)</f>
        <v>0</v>
      </c>
      <c r="H26" s="24">
        <f t="shared" si="5"/>
        <v>0</v>
      </c>
      <c r="I26" s="190">
        <f t="shared" si="6"/>
        <v>0</v>
      </c>
    </row>
    <row r="27" spans="1:9">
      <c r="A27" s="287" t="s">
        <v>204</v>
      </c>
      <c r="B27" s="191">
        <f>_xlfn.IFNA(VLOOKUP(A27,[8]折!$C$3:$F$99,4,0),-[4]整車!$B$22)</f>
        <v>0</v>
      </c>
      <c r="C27" s="27">
        <f>_xlfn.IFNA(VLOOKUP(A27,[8]折!$C$3:$F$99,3,0),-[4]整車!$B$22)</f>
        <v>0</v>
      </c>
      <c r="D27" s="187">
        <f t="shared" si="3"/>
        <v>0</v>
      </c>
      <c r="E27" s="28">
        <v>0</v>
      </c>
      <c r="F27" s="188">
        <f t="shared" si="4"/>
        <v>0</v>
      </c>
      <c r="G27" s="191">
        <f>_xlfn.IFNA(VLOOKUP(A27,[8]折同!$C$3:$H$312,4,0),-[4]整車!$B$22)</f>
        <v>0</v>
      </c>
      <c r="H27" s="24">
        <f t="shared" si="5"/>
        <v>0</v>
      </c>
      <c r="I27" s="190">
        <f t="shared" si="6"/>
        <v>0</v>
      </c>
    </row>
    <row r="28" spans="1:9">
      <c r="A28" s="287" t="s">
        <v>205</v>
      </c>
      <c r="B28" s="191">
        <f>_xlfn.IFNA(VLOOKUP(A28,[8]折!$C$3:$F$99,4,0),-[4]整車!$B$22)</f>
        <v>0</v>
      </c>
      <c r="C28" s="27">
        <f>_xlfn.IFNA(VLOOKUP(A28,[8]折!$C$3:$F$99,3,0),-[4]整車!$B$22)</f>
        <v>0</v>
      </c>
      <c r="D28" s="187">
        <f t="shared" si="3"/>
        <v>0</v>
      </c>
      <c r="E28" s="28">
        <v>0</v>
      </c>
      <c r="F28" s="188">
        <f t="shared" si="4"/>
        <v>0</v>
      </c>
      <c r="G28" s="191">
        <f>_xlfn.IFNA(VLOOKUP(A28,[8]折同!$C$3:$H$312,4,0),-[4]整車!$B$22)</f>
        <v>0</v>
      </c>
      <c r="H28" s="24">
        <f t="shared" si="5"/>
        <v>0</v>
      </c>
      <c r="I28" s="190">
        <f t="shared" si="6"/>
        <v>0</v>
      </c>
    </row>
    <row r="29" spans="1:9">
      <c r="A29" s="445" t="s">
        <v>206</v>
      </c>
      <c r="B29" s="191">
        <f>_xlfn.IFNA(VLOOKUP(A29,[8]折!$C$3:$F$99,4,0),-[4]整車!$B$22)</f>
        <v>0</v>
      </c>
      <c r="C29" s="27">
        <f>_xlfn.IFNA(VLOOKUP(A29,[8]折!$C$3:$F$99,3,0),-[4]整車!$B$22)</f>
        <v>0</v>
      </c>
      <c r="D29" s="187">
        <f t="shared" si="3"/>
        <v>0</v>
      </c>
      <c r="E29" s="28">
        <v>0</v>
      </c>
      <c r="F29" s="188">
        <f t="shared" si="4"/>
        <v>0</v>
      </c>
      <c r="G29" s="191">
        <f>_xlfn.IFNA(VLOOKUP(A29,[8]折同!$C$3:$H$312,4,0),-[4]整車!$B$22)</f>
        <v>0</v>
      </c>
      <c r="H29" s="24">
        <f t="shared" si="5"/>
        <v>0</v>
      </c>
      <c r="I29" s="190">
        <f t="shared" si="6"/>
        <v>0</v>
      </c>
    </row>
    <row r="30" spans="1:9">
      <c r="A30" s="445" t="s">
        <v>207</v>
      </c>
      <c r="B30" s="191">
        <f>_xlfn.IFNA(VLOOKUP(A30,[8]折!$C$3:$F$99,4,0),-[4]整車!$B$22)</f>
        <v>0</v>
      </c>
      <c r="C30" s="27">
        <f>_xlfn.IFNA(VLOOKUP(A30,[8]折!$C$3:$F$99,3,0),-[4]整車!$B$22)</f>
        <v>0</v>
      </c>
      <c r="D30" s="187">
        <f t="shared" si="3"/>
        <v>0</v>
      </c>
      <c r="E30" s="28">
        <v>0</v>
      </c>
      <c r="F30" s="188">
        <f t="shared" si="4"/>
        <v>0</v>
      </c>
      <c r="G30" s="191">
        <f>_xlfn.IFNA(VLOOKUP(A30,[8]折同!$C$3:$H$312,4,0),-[4]整車!$B$22)</f>
        <v>0</v>
      </c>
      <c r="H30" s="24">
        <f t="shared" si="5"/>
        <v>0</v>
      </c>
      <c r="I30" s="190">
        <f t="shared" si="6"/>
        <v>0</v>
      </c>
    </row>
    <row r="31" spans="1:9">
      <c r="A31" s="445" t="s">
        <v>16</v>
      </c>
      <c r="B31" s="191">
        <f>_xlfn.IFNA(VLOOKUP(A31,[8]折!$C$3:$F$99,4,0),-[4]整車!$B$22)</f>
        <v>0</v>
      </c>
      <c r="C31" s="27">
        <f>_xlfn.IFNA(VLOOKUP(A31,[8]折!$C$3:$F$99,3,0),-[4]整車!$B$22)</f>
        <v>0</v>
      </c>
      <c r="D31" s="187">
        <f t="shared" si="3"/>
        <v>0</v>
      </c>
      <c r="E31" s="28">
        <v>0</v>
      </c>
      <c r="F31" s="188">
        <f t="shared" si="4"/>
        <v>0</v>
      </c>
      <c r="G31" s="191">
        <f>_xlfn.IFNA(VLOOKUP(A31,[8]折同!$C$3:$H$312,4,0),-[4]整車!$B$22)</f>
        <v>0</v>
      </c>
      <c r="H31" s="24">
        <f t="shared" si="5"/>
        <v>0</v>
      </c>
      <c r="I31" s="190">
        <f t="shared" si="6"/>
        <v>0</v>
      </c>
    </row>
    <row r="32" spans="1:9">
      <c r="A32" s="445" t="s">
        <v>17</v>
      </c>
      <c r="B32" s="191">
        <f>_xlfn.IFNA(VLOOKUP(A32,[8]折!$C$3:$F$99,4,0),-[4]整車!$B$22)</f>
        <v>0</v>
      </c>
      <c r="C32" s="27">
        <f>_xlfn.IFNA(VLOOKUP(A32,[8]折!$C$3:$F$99,3,0),-[4]整車!$B$22)</f>
        <v>0</v>
      </c>
      <c r="D32" s="187">
        <f t="shared" si="3"/>
        <v>0</v>
      </c>
      <c r="E32" s="28">
        <v>0</v>
      </c>
      <c r="F32" s="188">
        <f t="shared" si="4"/>
        <v>0</v>
      </c>
      <c r="G32" s="191">
        <f>_xlfn.IFNA(VLOOKUP(A32,[8]折同!$C$3:$H$312,4,0),-[4]整車!$B$22)</f>
        <v>0</v>
      </c>
      <c r="H32" s="24">
        <f t="shared" si="5"/>
        <v>0</v>
      </c>
      <c r="I32" s="190">
        <f t="shared" si="6"/>
        <v>0</v>
      </c>
    </row>
    <row r="33" spans="1:9">
      <c r="A33" s="445" t="s">
        <v>208</v>
      </c>
      <c r="B33" s="191">
        <f>_xlfn.IFNA(VLOOKUP(A33,[8]折!$C$3:$F$99,4,0),-[4]整車!$B$22)</f>
        <v>0</v>
      </c>
      <c r="C33" s="27">
        <f>_xlfn.IFNA(VLOOKUP(A33,[8]折!$C$3:$F$99,3,0),-[4]整車!$B$22)</f>
        <v>0</v>
      </c>
      <c r="D33" s="187">
        <f t="shared" si="3"/>
        <v>0</v>
      </c>
      <c r="E33" s="28">
        <v>0</v>
      </c>
      <c r="F33" s="188">
        <f t="shared" si="4"/>
        <v>0</v>
      </c>
      <c r="G33" s="191">
        <f>_xlfn.IFNA(VLOOKUP(A33,[8]折同!$C$3:$H$312,4,0),-[4]整車!$B$22)</f>
        <v>0</v>
      </c>
      <c r="H33" s="24">
        <f t="shared" si="5"/>
        <v>0</v>
      </c>
      <c r="I33" s="190">
        <f t="shared" si="6"/>
        <v>0</v>
      </c>
    </row>
    <row r="34" spans="1:9">
      <c r="A34" s="445" t="s">
        <v>209</v>
      </c>
      <c r="B34" s="191">
        <f>_xlfn.IFNA(VLOOKUP(A34,[8]折!$C$3:$F$99,4,0),-[4]整車!$B$22)</f>
        <v>0</v>
      </c>
      <c r="C34" s="27">
        <f>_xlfn.IFNA(VLOOKUP(A34,[8]折!$C$3:$F$99,3,0),-[4]整車!$B$22)</f>
        <v>0</v>
      </c>
      <c r="D34" s="187">
        <f t="shared" si="3"/>
        <v>0</v>
      </c>
      <c r="E34" s="28">
        <v>0</v>
      </c>
      <c r="F34" s="188">
        <f t="shared" si="4"/>
        <v>0</v>
      </c>
      <c r="G34" s="191">
        <f>_xlfn.IFNA(VLOOKUP(A34,[8]折同!$C$3:$H$312,4,0),-[4]整車!$B$22)</f>
        <v>0</v>
      </c>
      <c r="H34" s="24">
        <f t="shared" si="5"/>
        <v>0</v>
      </c>
      <c r="I34" s="190">
        <f t="shared" si="6"/>
        <v>0</v>
      </c>
    </row>
    <row r="35" spans="1:9">
      <c r="A35" s="445" t="s">
        <v>210</v>
      </c>
      <c r="B35" s="191">
        <f>_xlfn.IFNA(VLOOKUP(A35,[8]折!$C$3:$F$99,4,0),-[4]整車!$B$22)</f>
        <v>0</v>
      </c>
      <c r="C35" s="27">
        <f>_xlfn.IFNA(VLOOKUP(A35,[8]折!$C$3:$F$99,3,0),-[4]整車!$B$22)</f>
        <v>0</v>
      </c>
      <c r="D35" s="187">
        <f t="shared" si="3"/>
        <v>0</v>
      </c>
      <c r="E35" s="28">
        <v>0</v>
      </c>
      <c r="F35" s="188">
        <f t="shared" si="4"/>
        <v>0</v>
      </c>
      <c r="G35" s="191">
        <f>_xlfn.IFNA(VLOOKUP(A35,[8]折同!$C$3:$H$312,4,0),-[4]整車!$B$22)</f>
        <v>0</v>
      </c>
      <c r="H35" s="24">
        <f t="shared" si="5"/>
        <v>0</v>
      </c>
      <c r="I35" s="190">
        <f t="shared" si="6"/>
        <v>0</v>
      </c>
    </row>
    <row r="36" spans="1:9">
      <c r="A36" s="445" t="s">
        <v>378</v>
      </c>
      <c r="B36" s="191">
        <f>_xlfn.IFNA(VLOOKUP(A36,[8]折!$C$3:$F$99,4,0),-[4]整車!$B$22)</f>
        <v>0</v>
      </c>
      <c r="C36" s="27">
        <f>_xlfn.IFNA(VLOOKUP(A36,[8]折!$C$3:$F$99,3,0),-[4]整車!$B$22)</f>
        <v>0</v>
      </c>
      <c r="D36" s="187">
        <f t="shared" si="3"/>
        <v>0</v>
      </c>
      <c r="E36" s="28">
        <v>0</v>
      </c>
      <c r="F36" s="188">
        <f t="shared" si="4"/>
        <v>0</v>
      </c>
      <c r="G36" s="191">
        <f>_xlfn.IFNA(VLOOKUP(A36,[8]折同!$C$3:$H$312,4,0),-[4]整車!$B$22)</f>
        <v>0</v>
      </c>
      <c r="H36" s="24">
        <f t="shared" si="5"/>
        <v>0</v>
      </c>
      <c r="I36" s="190">
        <f t="shared" si="6"/>
        <v>0</v>
      </c>
    </row>
    <row r="37" spans="1:9">
      <c r="A37" s="445" t="s">
        <v>212</v>
      </c>
      <c r="B37" s="191">
        <f>_xlfn.IFNA(VLOOKUP(A37,[8]折!$C$3:$F$99,4,0),-[4]整車!$B$22)</f>
        <v>0</v>
      </c>
      <c r="C37" s="27">
        <f>_xlfn.IFNA(VLOOKUP(A37,[8]折!$C$3:$F$99,3,0),-[4]整車!$B$22)</f>
        <v>0</v>
      </c>
      <c r="D37" s="187">
        <f t="shared" si="3"/>
        <v>0</v>
      </c>
      <c r="E37" s="28">
        <v>0</v>
      </c>
      <c r="F37" s="188">
        <f t="shared" si="4"/>
        <v>0</v>
      </c>
      <c r="G37" s="191">
        <f>_xlfn.IFNA(VLOOKUP(A37,[8]折同!$C$3:$H$312,4,0),-[4]整車!$B$22)</f>
        <v>0</v>
      </c>
      <c r="H37" s="24">
        <f t="shared" si="5"/>
        <v>0</v>
      </c>
      <c r="I37" s="190">
        <f t="shared" si="6"/>
        <v>0</v>
      </c>
    </row>
    <row r="38" spans="1:9">
      <c r="A38" s="445" t="s">
        <v>213</v>
      </c>
      <c r="B38" s="191">
        <f>_xlfn.IFNA(VLOOKUP(A38,[8]折!$C$3:$F$99,4,0),-[4]整車!$B$22)</f>
        <v>0</v>
      </c>
      <c r="C38" s="27">
        <f>_xlfn.IFNA(VLOOKUP(A38,[8]折!$C$3:$F$99,3,0),-[4]整車!$B$22)</f>
        <v>0</v>
      </c>
      <c r="D38" s="187">
        <f t="shared" si="3"/>
        <v>0</v>
      </c>
      <c r="E38" s="28">
        <v>0</v>
      </c>
      <c r="F38" s="188">
        <f t="shared" si="4"/>
        <v>0</v>
      </c>
      <c r="G38" s="191">
        <f>_xlfn.IFNA(VLOOKUP(A38,[8]折同!$C$3:$H$312,4,0),-[4]整車!$B$22)</f>
        <v>0</v>
      </c>
      <c r="H38" s="24">
        <f t="shared" si="5"/>
        <v>0</v>
      </c>
      <c r="I38" s="190">
        <f t="shared" si="6"/>
        <v>0</v>
      </c>
    </row>
    <row r="39" spans="1:9">
      <c r="A39" s="445" t="s">
        <v>18</v>
      </c>
      <c r="B39" s="191">
        <f>_xlfn.IFNA(VLOOKUP(A39,[8]折!$C$3:$F$99,4,0),-[4]整車!$B$22)</f>
        <v>0</v>
      </c>
      <c r="C39" s="27">
        <f>_xlfn.IFNA(VLOOKUP(A39,[8]折!$C$3:$F$99,3,0),-[4]整車!$B$22)</f>
        <v>0</v>
      </c>
      <c r="D39" s="187">
        <f t="shared" si="3"/>
        <v>0</v>
      </c>
      <c r="E39" s="28">
        <v>0</v>
      </c>
      <c r="F39" s="188">
        <f t="shared" si="4"/>
        <v>0</v>
      </c>
      <c r="G39" s="191">
        <f>_xlfn.IFNA(VLOOKUP(A39,[8]折同!$C$3:$H$312,4,0),-[4]整車!$B$22)</f>
        <v>0</v>
      </c>
      <c r="H39" s="24">
        <f t="shared" si="5"/>
        <v>0</v>
      </c>
      <c r="I39" s="190">
        <f t="shared" si="6"/>
        <v>0</v>
      </c>
    </row>
    <row r="40" spans="1:9">
      <c r="A40" s="30"/>
      <c r="B40" s="191"/>
      <c r="C40" s="27"/>
      <c r="D40" s="187"/>
      <c r="E40" s="27"/>
      <c r="F40" s="192"/>
      <c r="G40" s="191"/>
      <c r="H40" s="24"/>
      <c r="I40" s="190"/>
    </row>
    <row r="41" spans="1:9" ht="15.6" customHeight="1">
      <c r="A41" s="36" t="s">
        <v>19</v>
      </c>
      <c r="B41" s="193">
        <f>SUM(B42:B45)</f>
        <v>0</v>
      </c>
      <c r="C41" s="33">
        <f>SUM(C42:C45)</f>
        <v>0</v>
      </c>
      <c r="D41" s="187">
        <f t="shared" si="0"/>
        <v>0</v>
      </c>
      <c r="E41" s="33">
        <f>SUM(E42:E45)</f>
        <v>0</v>
      </c>
      <c r="F41" s="188">
        <f>E41/$E$68</f>
        <v>0</v>
      </c>
      <c r="G41" s="193">
        <f>SUM(G42:G45)</f>
        <v>0</v>
      </c>
      <c r="H41" s="24">
        <f t="shared" ref="H41:H42" si="7">G41/$G$68</f>
        <v>0</v>
      </c>
      <c r="I41" s="190">
        <f t="shared" si="1"/>
        <v>0</v>
      </c>
    </row>
    <row r="42" spans="1:9">
      <c r="A42" s="444" t="s">
        <v>214</v>
      </c>
      <c r="B42" s="191">
        <f>_xlfn.IFNA(VLOOKUP(A42,[8]折!$C$3:$F$99,4,0),-[4]整車!$B$22)</f>
        <v>0</v>
      </c>
      <c r="C42" s="27">
        <f>_xlfn.IFNA(VLOOKUP(A42,[8]折!$C$3:$F$99,3,0),-[4]整車!$B$22)</f>
        <v>0</v>
      </c>
      <c r="D42" s="187">
        <f t="shared" si="0"/>
        <v>0</v>
      </c>
      <c r="E42" s="28">
        <v>0</v>
      </c>
      <c r="F42" s="188">
        <f>E42/$E$68</f>
        <v>0</v>
      </c>
      <c r="G42" s="191">
        <f>_xlfn.IFNA(VLOOKUP(A42,[8]折同!$C$3:$H$32,4,0),-[4]整車!$B$22)</f>
        <v>0</v>
      </c>
      <c r="H42" s="24">
        <f t="shared" si="7"/>
        <v>0</v>
      </c>
      <c r="I42" s="190">
        <f t="shared" si="1"/>
        <v>0</v>
      </c>
    </row>
    <row r="43" spans="1:9">
      <c r="A43" s="444" t="s">
        <v>215</v>
      </c>
      <c r="B43" s="191">
        <f>_xlfn.IFNA(VLOOKUP(A43,[8]折!$C$3:$F$99,4,0),-[4]整車!$B$22)</f>
        <v>0</v>
      </c>
      <c r="C43" s="27">
        <f>_xlfn.IFNA(VLOOKUP(A43,[8]折!$C$3:$F$99,3,0),-[4]整車!$B$22)</f>
        <v>0</v>
      </c>
      <c r="D43" s="187">
        <f t="shared" ref="D43:D45" si="8">IF(B43,C43/B43,0)</f>
        <v>0</v>
      </c>
      <c r="E43" s="28">
        <v>0</v>
      </c>
      <c r="F43" s="188">
        <f t="shared" ref="F43:F45" si="9">E43/$E$68</f>
        <v>0</v>
      </c>
      <c r="G43" s="191">
        <f>_xlfn.IFNA(VLOOKUP(A43,[8]折同!$C$3:$H$32,4,0),-[4]整車!$B$22)</f>
        <v>0</v>
      </c>
      <c r="H43" s="24">
        <f t="shared" ref="H43:H45" si="10">G43/$G$68</f>
        <v>0</v>
      </c>
      <c r="I43" s="190">
        <f t="shared" ref="I43:I45" si="11">IF(E43,G43/E43,0)</f>
        <v>0</v>
      </c>
    </row>
    <row r="44" spans="1:9">
      <c r="A44" s="444" t="s">
        <v>216</v>
      </c>
      <c r="B44" s="191">
        <f>_xlfn.IFNA(VLOOKUP(A44,[8]折!$C$3:$F$99,4,0),-[4]整車!$B$22)</f>
        <v>0</v>
      </c>
      <c r="C44" s="27">
        <f>_xlfn.IFNA(VLOOKUP(A44,[8]折!$C$3:$F$99,3,0),-[4]整車!$B$22)</f>
        <v>0</v>
      </c>
      <c r="D44" s="187">
        <f t="shared" si="8"/>
        <v>0</v>
      </c>
      <c r="E44" s="28">
        <v>0</v>
      </c>
      <c r="F44" s="188">
        <f t="shared" si="9"/>
        <v>0</v>
      </c>
      <c r="G44" s="191">
        <f>_xlfn.IFNA(VLOOKUP(A44,[8]折同!$C$3:$H$32,4,0),-[4]整車!$B$22)</f>
        <v>0</v>
      </c>
      <c r="H44" s="24">
        <f t="shared" si="10"/>
        <v>0</v>
      </c>
      <c r="I44" s="190">
        <f t="shared" si="11"/>
        <v>0</v>
      </c>
    </row>
    <row r="45" spans="1:9">
      <c r="A45" s="30" t="s">
        <v>20</v>
      </c>
      <c r="B45" s="191">
        <f>_xlfn.IFNA(VLOOKUP(A45,[8]折!$C$3:$F$99,4,0),-[4]整車!$B$22)</f>
        <v>0</v>
      </c>
      <c r="C45" s="27">
        <f>_xlfn.IFNA(VLOOKUP(A45,[8]折!$C$3:$F$99,3,0),-[4]整車!$B$22)</f>
        <v>0</v>
      </c>
      <c r="D45" s="187">
        <f t="shared" si="8"/>
        <v>0</v>
      </c>
      <c r="E45" s="28">
        <v>0</v>
      </c>
      <c r="F45" s="188">
        <f t="shared" si="9"/>
        <v>0</v>
      </c>
      <c r="G45" s="191">
        <f>_xlfn.IFNA(VLOOKUP(A45,[8]折同!$C$3:$H$32,4,0),-[4]整車!$B$22)</f>
        <v>0</v>
      </c>
      <c r="H45" s="24">
        <f t="shared" si="10"/>
        <v>0</v>
      </c>
      <c r="I45" s="190">
        <f t="shared" si="11"/>
        <v>0</v>
      </c>
    </row>
    <row r="46" spans="1:9" ht="16.899999999999999" customHeight="1">
      <c r="A46" s="30"/>
      <c r="B46" s="191"/>
      <c r="C46" s="27"/>
      <c r="D46" s="187"/>
      <c r="E46" s="27"/>
      <c r="F46" s="192"/>
      <c r="G46" s="191"/>
      <c r="H46" s="24"/>
      <c r="I46" s="190"/>
    </row>
    <row r="47" spans="1:9">
      <c r="A47" s="36" t="s">
        <v>21</v>
      </c>
      <c r="B47" s="193">
        <f>SUM(B48:B66)</f>
        <v>85</v>
      </c>
      <c r="C47" s="33">
        <f>SUM(C48:C66)</f>
        <v>50618</v>
      </c>
      <c r="D47" s="187">
        <f t="shared" si="0"/>
        <v>595.50588235294117</v>
      </c>
      <c r="E47" s="193">
        <f>SUM(E48:E66)</f>
        <v>264</v>
      </c>
      <c r="F47" s="188">
        <f>E47/$E$68</f>
        <v>0.66331658291457285</v>
      </c>
      <c r="G47" s="33">
        <f>SUM(G48:G66)</f>
        <v>247479</v>
      </c>
      <c r="H47" s="24">
        <f>G47/$G$68</f>
        <v>0.75104472357691499</v>
      </c>
      <c r="I47" s="190">
        <f t="shared" si="1"/>
        <v>937.4204545454545</v>
      </c>
    </row>
    <row r="48" spans="1:9">
      <c r="A48" s="476" t="s">
        <v>157</v>
      </c>
      <c r="B48" s="191">
        <f>_xlfn.IFNA(VLOOKUP(A48,[8]折!$C$3:$F$99,4,0),-[4]整車!$B$22)</f>
        <v>0</v>
      </c>
      <c r="C48" s="27">
        <f>_xlfn.IFNA(VLOOKUP(A48,[8]折!$C$3:$F$99,3,0),-[4]整車!$B$22)</f>
        <v>0</v>
      </c>
      <c r="D48" s="187">
        <f t="shared" si="0"/>
        <v>0</v>
      </c>
      <c r="E48" s="28">
        <v>0</v>
      </c>
      <c r="F48" s="188">
        <f t="shared" ref="F48" si="12">E48/$E$68</f>
        <v>0</v>
      </c>
      <c r="G48" s="27">
        <f>_xlfn.IFNA(VLOOKUP(E48,[8]折!$C$3:$F$99,3,0),-[4]整車!$B$22)</f>
        <v>0</v>
      </c>
      <c r="H48" s="24">
        <f>G48/$G$68</f>
        <v>0</v>
      </c>
      <c r="I48" s="190">
        <f t="shared" si="1"/>
        <v>0</v>
      </c>
    </row>
    <row r="49" spans="1:10">
      <c r="A49" s="444" t="s">
        <v>217</v>
      </c>
      <c r="B49" s="191">
        <v>55</v>
      </c>
      <c r="C49" s="27">
        <v>19544</v>
      </c>
      <c r="D49" s="187">
        <f t="shared" ref="D49:D66" si="13">IF(B49,C49/B49,0)</f>
        <v>355.34545454545457</v>
      </c>
      <c r="E49" s="28">
        <f>VLOOKUP(A49,[12]進出口值表查詢結果!$B$10:$D$19,3,0)</f>
        <v>55</v>
      </c>
      <c r="F49" s="188">
        <f t="shared" ref="F49:F66" si="14">E49/$E$68</f>
        <v>0.13819095477386933</v>
      </c>
      <c r="G49" s="191">
        <f>VLOOKUP(A49,[12]進出口值表查詢結果!$B$10:$D$19,2,0)</f>
        <v>19544</v>
      </c>
      <c r="H49" s="24">
        <f t="shared" ref="H49:H66" si="15">G49/$G$68</f>
        <v>5.9311772221429804E-2</v>
      </c>
      <c r="I49" s="190">
        <f t="shared" ref="I49:I66" si="16">IF(E49,G49/E49,0)</f>
        <v>355.34545454545457</v>
      </c>
    </row>
    <row r="50" spans="1:10">
      <c r="A50" s="284" t="s">
        <v>218</v>
      </c>
      <c r="B50" s="191">
        <f>_xlfn.IFNA(VLOOKUP(A50,[8]折!$C$3:$F$99,4,0),-[4]整車!$B$22)</f>
        <v>0</v>
      </c>
      <c r="C50" s="27">
        <f>_xlfn.IFNA(VLOOKUP(A50,[8]折!$C$3:$F$99,3,0),-[4]整車!$B$22)</f>
        <v>0</v>
      </c>
      <c r="D50" s="187">
        <f t="shared" si="13"/>
        <v>0</v>
      </c>
      <c r="E50" s="28">
        <v>0</v>
      </c>
      <c r="F50" s="188">
        <f t="shared" si="14"/>
        <v>0</v>
      </c>
      <c r="G50" s="27">
        <f>_xlfn.IFNA(VLOOKUP(E50,[8]折!$C$3:$F$99,3,0),-[4]整車!$B$22)</f>
        <v>0</v>
      </c>
      <c r="H50" s="24">
        <f t="shared" si="15"/>
        <v>0</v>
      </c>
      <c r="I50" s="190">
        <f t="shared" si="16"/>
        <v>0</v>
      </c>
      <c r="J50" s="477"/>
    </row>
    <row r="51" spans="1:10">
      <c r="A51" s="444" t="s">
        <v>219</v>
      </c>
      <c r="B51" s="191">
        <f>_xlfn.IFNA(VLOOKUP(A51,[8]折!$C$3:$F$99,4,0),-[4]整車!$B$22)</f>
        <v>0</v>
      </c>
      <c r="C51" s="27">
        <f>_xlfn.IFNA(VLOOKUP(A51,[8]折!$C$3:$F$99,3,0),-[4]整車!$B$22)</f>
        <v>0</v>
      </c>
      <c r="D51" s="187">
        <f t="shared" si="13"/>
        <v>0</v>
      </c>
      <c r="E51" s="28">
        <v>0</v>
      </c>
      <c r="F51" s="188">
        <f t="shared" si="14"/>
        <v>0</v>
      </c>
      <c r="G51" s="27">
        <f>_xlfn.IFNA(VLOOKUP(E51,[8]折!$C$3:$F$99,3,0),-[4]整車!$B$22)</f>
        <v>0</v>
      </c>
      <c r="H51" s="24">
        <f t="shared" si="15"/>
        <v>0</v>
      </c>
      <c r="I51" s="190">
        <f t="shared" si="16"/>
        <v>0</v>
      </c>
    </row>
    <row r="52" spans="1:10">
      <c r="A52" s="445" t="s">
        <v>22</v>
      </c>
      <c r="B52" s="191">
        <f>_xlfn.IFNA(VLOOKUP(A52,[8]折!$C$3:$F$99,4,0),-[4]整車!$B$22)</f>
        <v>0</v>
      </c>
      <c r="C52" s="27">
        <f>_xlfn.IFNA(VLOOKUP(A52,[8]折!$C$3:$F$99,3,0),-[4]整車!$B$22)</f>
        <v>0</v>
      </c>
      <c r="D52" s="187">
        <f t="shared" si="13"/>
        <v>0</v>
      </c>
      <c r="E52" s="28">
        <v>0</v>
      </c>
      <c r="F52" s="188">
        <f t="shared" si="14"/>
        <v>0</v>
      </c>
      <c r="G52" s="27">
        <f>_xlfn.IFNA(VLOOKUP(E52,[8]折!$C$3:$F$99,3,0),-[4]整車!$B$22)</f>
        <v>0</v>
      </c>
      <c r="H52" s="24">
        <f t="shared" si="15"/>
        <v>0</v>
      </c>
      <c r="I52" s="190">
        <f t="shared" si="16"/>
        <v>0</v>
      </c>
    </row>
    <row r="53" spans="1:10">
      <c r="A53" s="444" t="s">
        <v>220</v>
      </c>
      <c r="B53" s="191">
        <f>_xlfn.IFNA(VLOOKUP(A53,[8]折!$C$3:$F$99,4,0),-[4]整車!$B$22)</f>
        <v>0</v>
      </c>
      <c r="C53" s="27">
        <f>_xlfn.IFNA(VLOOKUP(A53,[8]折!$C$3:$F$99,3,0),-[4]整車!$B$22)</f>
        <v>0</v>
      </c>
      <c r="D53" s="187">
        <f t="shared" si="13"/>
        <v>0</v>
      </c>
      <c r="E53" s="28">
        <v>0</v>
      </c>
      <c r="F53" s="188">
        <f t="shared" si="14"/>
        <v>0</v>
      </c>
      <c r="G53" s="27">
        <f>_xlfn.IFNA(VLOOKUP(E53,[8]折!$C$3:$F$99,3,0),-[4]整車!$B$22)</f>
        <v>0</v>
      </c>
      <c r="H53" s="24">
        <f t="shared" si="15"/>
        <v>0</v>
      </c>
      <c r="I53" s="190">
        <f t="shared" si="16"/>
        <v>0</v>
      </c>
    </row>
    <row r="54" spans="1:10">
      <c r="A54" s="445" t="s">
        <v>221</v>
      </c>
      <c r="B54" s="191">
        <f>_xlfn.IFNA(VLOOKUP(A54,[8]折!$C$3:$F$99,4,0),-[4]整車!$B$22)</f>
        <v>0</v>
      </c>
      <c r="C54" s="27">
        <f>_xlfn.IFNA(VLOOKUP(A54,[8]折!$C$3:$F$99,3,0),-[4]整車!$B$22)</f>
        <v>0</v>
      </c>
      <c r="D54" s="187">
        <f t="shared" si="13"/>
        <v>0</v>
      </c>
      <c r="E54" s="28">
        <v>0</v>
      </c>
      <c r="F54" s="188">
        <f t="shared" si="14"/>
        <v>0</v>
      </c>
      <c r="G54" s="27">
        <f>_xlfn.IFNA(VLOOKUP(E54,[8]折!$C$3:$F$99,3,0),-[4]整車!$B$22)</f>
        <v>0</v>
      </c>
      <c r="H54" s="24">
        <f t="shared" si="15"/>
        <v>0</v>
      </c>
      <c r="I54" s="190">
        <f t="shared" si="16"/>
        <v>0</v>
      </c>
    </row>
    <row r="55" spans="1:10">
      <c r="A55" s="445" t="s">
        <v>23</v>
      </c>
      <c r="B55" s="191">
        <f>_xlfn.IFNA(VLOOKUP(A55,[8]折!$C$3:$F$99,4,0),-[4]整車!$B$22)</f>
        <v>0</v>
      </c>
      <c r="C55" s="27">
        <f>_xlfn.IFNA(VLOOKUP(A55,[8]折!$C$3:$F$99,3,0),-[4]整車!$B$22)</f>
        <v>0</v>
      </c>
      <c r="D55" s="187">
        <f t="shared" si="13"/>
        <v>0</v>
      </c>
      <c r="E55" s="28">
        <v>0</v>
      </c>
      <c r="F55" s="188">
        <f t="shared" si="14"/>
        <v>0</v>
      </c>
      <c r="G55" s="27">
        <f>_xlfn.IFNA(VLOOKUP(E55,[8]折!$C$3:$F$99,3,0),-[4]整車!$B$22)</f>
        <v>0</v>
      </c>
      <c r="H55" s="24">
        <f t="shared" si="15"/>
        <v>0</v>
      </c>
      <c r="I55" s="190">
        <f t="shared" si="16"/>
        <v>0</v>
      </c>
    </row>
    <row r="56" spans="1:10">
      <c r="A56" s="445" t="s">
        <v>222</v>
      </c>
      <c r="B56" s="191">
        <v>0</v>
      </c>
      <c r="C56" s="27">
        <v>0</v>
      </c>
      <c r="D56" s="187">
        <f t="shared" si="13"/>
        <v>0</v>
      </c>
      <c r="E56" s="28">
        <f>VLOOKUP(A56,[12]進出口值表查詢結果!$B$10:$D$19,3,0)</f>
        <v>29</v>
      </c>
      <c r="F56" s="188">
        <f t="shared" si="14"/>
        <v>7.2864321608040197E-2</v>
      </c>
      <c r="G56" s="191">
        <f>VLOOKUP(A56,[12]進出口值表查詢結果!$B$10:$D$19,2,0)</f>
        <v>31938</v>
      </c>
      <c r="H56" s="24">
        <f t="shared" si="15"/>
        <v>9.6924855772002924E-2</v>
      </c>
      <c r="I56" s="190">
        <f t="shared" si="16"/>
        <v>1101.3103448275863</v>
      </c>
    </row>
    <row r="57" spans="1:10">
      <c r="A57" s="447" t="s">
        <v>223</v>
      </c>
      <c r="B57" s="191">
        <v>0</v>
      </c>
      <c r="C57" s="27">
        <v>0</v>
      </c>
      <c r="D57" s="187">
        <f t="shared" si="13"/>
        <v>0</v>
      </c>
      <c r="E57" s="28">
        <f>VLOOKUP(A57,[12]進出口值表查詢結果!$B$10:$D$19,3,0)</f>
        <v>140</v>
      </c>
      <c r="F57" s="188">
        <f t="shared" si="14"/>
        <v>0.35175879396984927</v>
      </c>
      <c r="G57" s="191">
        <f>VLOOKUP(A57,[12]進出口值表查詢結果!$B$10:$D$19,2,0)</f>
        <v>148018</v>
      </c>
      <c r="H57" s="24">
        <f t="shared" si="15"/>
        <v>0.44920230764795321</v>
      </c>
      <c r="I57" s="190">
        <f t="shared" si="16"/>
        <v>1057.2714285714285</v>
      </c>
    </row>
    <row r="58" spans="1:10">
      <c r="A58" s="287" t="s">
        <v>379</v>
      </c>
      <c r="B58" s="191">
        <v>30</v>
      </c>
      <c r="C58" s="27">
        <v>31074</v>
      </c>
      <c r="D58" s="187">
        <f t="shared" si="13"/>
        <v>1035.8</v>
      </c>
      <c r="E58" s="28">
        <f>VLOOKUP(A58,[12]進出口值表查詢結果!$B$10:$D$19,3,0)</f>
        <v>40</v>
      </c>
      <c r="F58" s="188">
        <f t="shared" si="14"/>
        <v>0.10050251256281408</v>
      </c>
      <c r="G58" s="191">
        <f>VLOOKUP(A58,[12]進出口值表查詢結果!$B$10:$D$19,2,0)</f>
        <v>47979</v>
      </c>
      <c r="H58" s="24">
        <f t="shared" si="15"/>
        <v>0.14560578793552909</v>
      </c>
      <c r="I58" s="190">
        <f t="shared" si="16"/>
        <v>1199.4749999999999</v>
      </c>
    </row>
    <row r="59" spans="1:10">
      <c r="A59" s="445" t="s">
        <v>24</v>
      </c>
      <c r="B59" s="191">
        <v>0</v>
      </c>
      <c r="C59" s="27">
        <v>0</v>
      </c>
      <c r="D59" s="187">
        <f t="shared" si="13"/>
        <v>0</v>
      </c>
      <c r="E59" s="28">
        <v>0</v>
      </c>
      <c r="F59" s="188">
        <f t="shared" si="14"/>
        <v>0</v>
      </c>
      <c r="G59" s="27">
        <v>0</v>
      </c>
      <c r="H59" s="24">
        <f t="shared" si="15"/>
        <v>0</v>
      </c>
      <c r="I59" s="190">
        <f t="shared" si="16"/>
        <v>0</v>
      </c>
    </row>
    <row r="60" spans="1:10">
      <c r="A60" s="445" t="s">
        <v>25</v>
      </c>
      <c r="B60" s="191">
        <f>_xlfn.IFNA(VLOOKUP(A60,[8]折!$C$3:$F$99,4,0),-[4]整車!$B$22)</f>
        <v>0</v>
      </c>
      <c r="C60" s="27">
        <f>_xlfn.IFNA(VLOOKUP(A60,[8]折!$C$3:$F$99,3,0),-[4]整車!$B$22)</f>
        <v>0</v>
      </c>
      <c r="D60" s="187">
        <f t="shared" si="13"/>
        <v>0</v>
      </c>
      <c r="E60" s="28">
        <v>0</v>
      </c>
      <c r="F60" s="188">
        <f t="shared" si="14"/>
        <v>0</v>
      </c>
      <c r="G60" s="27">
        <f>_xlfn.IFNA(VLOOKUP(E60,[8]折!$C$3:$F$99,3,0),-[4]整車!$B$22)</f>
        <v>0</v>
      </c>
      <c r="H60" s="24">
        <f t="shared" si="15"/>
        <v>0</v>
      </c>
      <c r="I60" s="190">
        <f t="shared" si="16"/>
        <v>0</v>
      </c>
    </row>
    <row r="61" spans="1:10">
      <c r="A61" s="445" t="s">
        <v>26</v>
      </c>
      <c r="B61" s="191">
        <f>_xlfn.IFNA(VLOOKUP(A61,[8]折!$C$3:$F$99,4,0),-[4]整車!$B$22)</f>
        <v>0</v>
      </c>
      <c r="C61" s="27">
        <f>_xlfn.IFNA(VLOOKUP(A61,[8]折!$C$3:$F$99,3,0),-[4]整車!$B$22)</f>
        <v>0</v>
      </c>
      <c r="D61" s="187">
        <f t="shared" si="13"/>
        <v>0</v>
      </c>
      <c r="E61" s="28">
        <v>0</v>
      </c>
      <c r="F61" s="188">
        <f t="shared" si="14"/>
        <v>0</v>
      </c>
      <c r="G61" s="27">
        <f>_xlfn.IFNA(VLOOKUP(E61,[8]折!$C$3:$F$99,3,0),-[4]整車!$B$22)</f>
        <v>0</v>
      </c>
      <c r="H61" s="24">
        <f t="shared" si="15"/>
        <v>0</v>
      </c>
      <c r="I61" s="190">
        <f t="shared" si="16"/>
        <v>0</v>
      </c>
    </row>
    <row r="62" spans="1:10">
      <c r="A62" s="287" t="s">
        <v>224</v>
      </c>
      <c r="B62" s="191">
        <f>_xlfn.IFNA(VLOOKUP(A62,[8]折!$C$3:$F$99,4,0),-[4]整車!$B$22)</f>
        <v>0</v>
      </c>
      <c r="C62" s="27">
        <f>_xlfn.IFNA(VLOOKUP(A62,[8]折!$C$3:$F$99,3,0),-[4]整車!$B$22)</f>
        <v>0</v>
      </c>
      <c r="D62" s="187">
        <f t="shared" si="13"/>
        <v>0</v>
      </c>
      <c r="E62" s="28">
        <v>0</v>
      </c>
      <c r="F62" s="188">
        <f t="shared" si="14"/>
        <v>0</v>
      </c>
      <c r="G62" s="27">
        <f>_xlfn.IFNA(VLOOKUP(E62,[8]折!$C$3:$F$99,3,0),-[4]整車!$B$22)</f>
        <v>0</v>
      </c>
      <c r="H62" s="24">
        <f t="shared" si="15"/>
        <v>0</v>
      </c>
      <c r="I62" s="190">
        <f t="shared" si="16"/>
        <v>0</v>
      </c>
    </row>
    <row r="63" spans="1:10">
      <c r="A63" s="445" t="s">
        <v>27</v>
      </c>
      <c r="B63" s="191">
        <f>_xlfn.IFNA(VLOOKUP(A63,[8]折!$C$3:$F$99,4,0),-[4]整車!$B$22)</f>
        <v>0</v>
      </c>
      <c r="C63" s="27">
        <f>_xlfn.IFNA(VLOOKUP(A63,[8]折!$C$3:$F$99,3,0),-[4]整車!$B$22)</f>
        <v>0</v>
      </c>
      <c r="D63" s="187">
        <f t="shared" si="13"/>
        <v>0</v>
      </c>
      <c r="E63" s="28">
        <v>0</v>
      </c>
      <c r="F63" s="188">
        <f t="shared" si="14"/>
        <v>0</v>
      </c>
      <c r="G63" s="27">
        <f>_xlfn.IFNA(VLOOKUP(E63,[8]折!$C$3:$F$99,3,0),-[4]整車!$B$22)</f>
        <v>0</v>
      </c>
      <c r="H63" s="24">
        <f t="shared" si="15"/>
        <v>0</v>
      </c>
      <c r="I63" s="190">
        <f t="shared" si="16"/>
        <v>0</v>
      </c>
    </row>
    <row r="64" spans="1:10" ht="15.75" customHeight="1">
      <c r="A64" s="287" t="s">
        <v>225</v>
      </c>
      <c r="B64" s="191">
        <f>_xlfn.IFNA(VLOOKUP(A64,[8]折!$C$3:$F$99,4,0),-[4]整車!$B$22)</f>
        <v>0</v>
      </c>
      <c r="C64" s="27">
        <f>_xlfn.IFNA(VLOOKUP(A64,[8]折!$C$3:$F$99,3,0),-[4]整車!$B$22)</f>
        <v>0</v>
      </c>
      <c r="D64" s="187">
        <f t="shared" si="13"/>
        <v>0</v>
      </c>
      <c r="E64" s="28">
        <v>0</v>
      </c>
      <c r="F64" s="188">
        <f t="shared" si="14"/>
        <v>0</v>
      </c>
      <c r="G64" s="27">
        <f>_xlfn.IFNA(VLOOKUP(E64,[8]折!$C$3:$F$99,3,0),-[4]整車!$B$22)</f>
        <v>0</v>
      </c>
      <c r="H64" s="24">
        <f t="shared" si="15"/>
        <v>0</v>
      </c>
      <c r="I64" s="190">
        <f t="shared" si="16"/>
        <v>0</v>
      </c>
    </row>
    <row r="65" spans="1:9">
      <c r="A65" s="445" t="s">
        <v>28</v>
      </c>
      <c r="B65" s="191">
        <f>_xlfn.IFNA(VLOOKUP(A65,[8]折!$C$3:$F$99,4,0),-[4]整車!$B$22)</f>
        <v>0</v>
      </c>
      <c r="C65" s="27">
        <f>_xlfn.IFNA(VLOOKUP(A65,[8]折!$C$3:$F$99,3,0),-[4]整車!$B$22)</f>
        <v>0</v>
      </c>
      <c r="D65" s="187">
        <f t="shared" si="13"/>
        <v>0</v>
      </c>
      <c r="E65" s="28">
        <v>0</v>
      </c>
      <c r="F65" s="188">
        <f t="shared" si="14"/>
        <v>0</v>
      </c>
      <c r="G65" s="27">
        <f>_xlfn.IFNA(VLOOKUP(E65,[8]折!$C$3:$F$99,3,0),-[4]整車!$B$22)</f>
        <v>0</v>
      </c>
      <c r="H65" s="24">
        <f t="shared" si="15"/>
        <v>0</v>
      </c>
      <c r="I65" s="190">
        <f t="shared" si="16"/>
        <v>0</v>
      </c>
    </row>
    <row r="66" spans="1:9">
      <c r="A66" s="287" t="s">
        <v>226</v>
      </c>
      <c r="B66" s="191">
        <v>0</v>
      </c>
      <c r="C66" s="27">
        <v>0</v>
      </c>
      <c r="D66" s="187">
        <f t="shared" si="13"/>
        <v>0</v>
      </c>
      <c r="E66" s="28">
        <v>0</v>
      </c>
      <c r="F66" s="188">
        <f t="shared" si="14"/>
        <v>0</v>
      </c>
      <c r="G66" s="27">
        <v>0</v>
      </c>
      <c r="H66" s="24">
        <f t="shared" si="15"/>
        <v>0</v>
      </c>
      <c r="I66" s="190">
        <f t="shared" si="16"/>
        <v>0</v>
      </c>
    </row>
    <row r="67" spans="1:9">
      <c r="A67" s="30" t="s">
        <v>29</v>
      </c>
      <c r="B67" s="191">
        <f>B68-B7-B12-B41-B47</f>
        <v>0</v>
      </c>
      <c r="C67" s="27">
        <f>C68-C47-C41-C12-C7</f>
        <v>0</v>
      </c>
      <c r="D67" s="187">
        <f t="shared" si="0"/>
        <v>0</v>
      </c>
      <c r="E67" s="191">
        <v>0</v>
      </c>
      <c r="F67" s="188">
        <f t="shared" ref="F67:F68" si="17">E67/$E$68</f>
        <v>0</v>
      </c>
      <c r="G67" s="27">
        <f>G68-G47-G41-G12-G7</f>
        <v>20552</v>
      </c>
      <c r="H67" s="24">
        <f t="shared" ref="H67:H68" si="18">G67/$G$68</f>
        <v>6.2370832106775756E-2</v>
      </c>
      <c r="I67" s="190">
        <f t="shared" si="1"/>
        <v>0</v>
      </c>
    </row>
    <row r="68" spans="1:9">
      <c r="A68" s="32" t="s">
        <v>398</v>
      </c>
      <c r="B68" s="193">
        <v>202</v>
      </c>
      <c r="C68" s="33">
        <v>112100</v>
      </c>
      <c r="D68" s="187">
        <f t="shared" ref="D68" si="19">C68/B68</f>
        <v>554.95049504950498</v>
      </c>
      <c r="E68" s="28">
        <f>VLOOKUP(A68,[12]進出口值表查詢結果!$B$10:$D$19,3,0)</f>
        <v>398</v>
      </c>
      <c r="F68" s="188">
        <f t="shared" si="17"/>
        <v>1</v>
      </c>
      <c r="G68" s="191">
        <f>VLOOKUP(A68,[12]進出口值表查詢結果!$B$10:$D$19,2,0)</f>
        <v>329513</v>
      </c>
      <c r="H68" s="24">
        <f t="shared" si="18"/>
        <v>1</v>
      </c>
      <c r="I68" s="190">
        <f t="shared" ref="I68" si="20">G68/E68</f>
        <v>827.9221105527638</v>
      </c>
    </row>
    <row r="69" spans="1:9" ht="4.5" customHeight="1">
      <c r="A69" s="38"/>
      <c r="B69" s="194"/>
      <c r="C69" s="39"/>
      <c r="D69" s="195"/>
      <c r="E69" s="39"/>
      <c r="F69" s="196"/>
      <c r="G69" s="194"/>
      <c r="H69" s="41"/>
      <c r="I69" s="195"/>
    </row>
    <row r="70" spans="1:9">
      <c r="A70" s="55" t="s">
        <v>460</v>
      </c>
      <c r="B70" s="197"/>
      <c r="C70" s="39"/>
      <c r="D70" s="197"/>
      <c r="E70" s="13"/>
      <c r="F70" s="197"/>
      <c r="G70" s="197"/>
      <c r="H70" s="13"/>
      <c r="I70" s="197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2026-04-16T07:56:51Z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