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C3721F12-7557-49FA-BBFF-97103215234A}" xr6:coauthVersionLast="47" xr6:coauthVersionMax="47" xr10:uidLastSave="{00000000-0000-0000-0000-000000000000}"/>
  <bookViews>
    <workbookView xWindow="510" yWindow="0" windowWidth="19860" windowHeight="10800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8" l="1"/>
  <c r="D31" i="28"/>
  <c r="E31" i="28"/>
  <c r="F31" i="28"/>
  <c r="G31" i="28"/>
  <c r="H31" i="28"/>
  <c r="I31" i="28"/>
  <c r="J31" i="28"/>
  <c r="G32" i="28"/>
  <c r="H15" i="30"/>
  <c r="E51" i="12" l="1"/>
  <c r="E59" i="12"/>
  <c r="E60" i="12"/>
  <c r="G8" i="5"/>
  <c r="G9" i="5"/>
  <c r="M59" i="22"/>
  <c r="L59" i="22"/>
  <c r="M56" i="22"/>
  <c r="L56" i="22"/>
  <c r="M53" i="22"/>
  <c r="L53" i="22"/>
  <c r="M51" i="22"/>
  <c r="L51" i="22"/>
  <c r="M49" i="22"/>
  <c r="L49" i="22"/>
  <c r="M46" i="22"/>
  <c r="L46" i="22"/>
  <c r="M38" i="22"/>
  <c r="L38" i="22"/>
  <c r="M40" i="22"/>
  <c r="L40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L17" i="22"/>
  <c r="M16" i="22"/>
  <c r="L16" i="22"/>
  <c r="L13" i="22"/>
  <c r="M13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I20" i="22"/>
  <c r="J19" i="22"/>
  <c r="I19" i="22"/>
  <c r="I17" i="22"/>
  <c r="J16" i="22"/>
  <c r="I16" i="22"/>
  <c r="J13" i="22"/>
  <c r="I13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F20" i="22"/>
  <c r="F17" i="22"/>
  <c r="G24" i="22"/>
  <c r="F24" i="22"/>
  <c r="G22" i="22"/>
  <c r="F22" i="22"/>
  <c r="G19" i="22"/>
  <c r="F19" i="22"/>
  <c r="G16" i="22"/>
  <c r="F16" i="22"/>
  <c r="G13" i="22"/>
  <c r="F13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D19" i="22"/>
  <c r="C19" i="22"/>
  <c r="C17" i="22"/>
  <c r="D16" i="22"/>
  <c r="C16" i="22"/>
  <c r="D13" i="22"/>
  <c r="C13" i="22"/>
  <c r="G68" i="9"/>
  <c r="G66" i="9"/>
  <c r="G59" i="9"/>
  <c r="G58" i="9"/>
  <c r="G57" i="9"/>
  <c r="G56" i="9"/>
  <c r="G49" i="9"/>
  <c r="E68" i="9"/>
  <c r="E49" i="9"/>
  <c r="E56" i="9"/>
  <c r="E57" i="9"/>
  <c r="E58" i="9"/>
  <c r="E59" i="9"/>
  <c r="E66" i="9"/>
  <c r="G14" i="9"/>
  <c r="G13" i="9"/>
  <c r="E14" i="9"/>
  <c r="E13" i="9"/>
  <c r="G10" i="9"/>
  <c r="G8" i="9"/>
  <c r="E10" i="9"/>
  <c r="E8" i="9"/>
  <c r="E64" i="11"/>
  <c r="E62" i="11"/>
  <c r="E50" i="11"/>
  <c r="E52" i="11"/>
  <c r="E53" i="11"/>
  <c r="E54" i="11"/>
  <c r="E55" i="11"/>
  <c r="E56" i="11"/>
  <c r="E57" i="11"/>
  <c r="E58" i="11"/>
  <c r="E61" i="11"/>
  <c r="E49" i="11"/>
  <c r="E44" i="11"/>
  <c r="E43" i="11"/>
  <c r="G64" i="11"/>
  <c r="E64" i="12" s="1"/>
  <c r="G50" i="11"/>
  <c r="E50" i="12" s="1"/>
  <c r="G52" i="11"/>
  <c r="E52" i="12" s="1"/>
  <c r="G53" i="11"/>
  <c r="E53" i="12" s="1"/>
  <c r="G54" i="11"/>
  <c r="E54" i="12" s="1"/>
  <c r="G55" i="11"/>
  <c r="E55" i="12" s="1"/>
  <c r="G56" i="11"/>
  <c r="E56" i="12" s="1"/>
  <c r="G57" i="11"/>
  <c r="E57" i="12" s="1"/>
  <c r="G58" i="11"/>
  <c r="E58" i="12" s="1"/>
  <c r="G61" i="11"/>
  <c r="E61" i="12" s="1"/>
  <c r="G62" i="11"/>
  <c r="E62" i="12" s="1"/>
  <c r="G49" i="11"/>
  <c r="E49" i="12" s="1"/>
  <c r="G44" i="11"/>
  <c r="G43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14" i="11"/>
  <c r="E15" i="11"/>
  <c r="E16" i="11"/>
  <c r="E17" i="11"/>
  <c r="E18" i="11"/>
  <c r="E19" i="11"/>
  <c r="E20" i="11"/>
  <c r="E25" i="11"/>
  <c r="E26" i="11"/>
  <c r="E27" i="11"/>
  <c r="E28" i="11"/>
  <c r="E29" i="11"/>
  <c r="E30" i="11"/>
  <c r="E14" i="11"/>
  <c r="G10" i="11"/>
  <c r="G11" i="11"/>
  <c r="G9" i="11"/>
  <c r="E10" i="11"/>
  <c r="E11" i="11"/>
  <c r="E9" i="11"/>
  <c r="C64" i="11"/>
  <c r="B64" i="11"/>
  <c r="B50" i="11"/>
  <c r="C50" i="11"/>
  <c r="B52" i="11"/>
  <c r="C52" i="11"/>
  <c r="B54" i="11"/>
  <c r="C54" i="11"/>
  <c r="B55" i="11"/>
  <c r="C55" i="11"/>
  <c r="B56" i="11"/>
  <c r="C56" i="11"/>
  <c r="B57" i="11"/>
  <c r="C57" i="11"/>
  <c r="B61" i="11"/>
  <c r="C61" i="11"/>
  <c r="B62" i="11"/>
  <c r="C62" i="11"/>
  <c r="C49" i="11"/>
  <c r="B49" i="11"/>
  <c r="C44" i="11"/>
  <c r="B44" i="11"/>
  <c r="C43" i="11"/>
  <c r="B43" i="11"/>
  <c r="B15" i="11"/>
  <c r="C15" i="11"/>
  <c r="B16" i="11"/>
  <c r="C16" i="11"/>
  <c r="B17" i="11"/>
  <c r="C17" i="11"/>
  <c r="B18" i="11"/>
  <c r="C18" i="11"/>
  <c r="B20" i="11"/>
  <c r="C20" i="11"/>
  <c r="B27" i="11"/>
  <c r="C27" i="11"/>
  <c r="B28" i="11"/>
  <c r="C28" i="11"/>
  <c r="B29" i="11"/>
  <c r="C29" i="11"/>
  <c r="C14" i="11"/>
  <c r="B14" i="11"/>
  <c r="C10" i="11"/>
  <c r="C11" i="11"/>
  <c r="C9" i="11"/>
  <c r="B10" i="11"/>
  <c r="B11" i="11"/>
  <c r="B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E14" i="5"/>
  <c r="G14" i="5"/>
  <c r="E15" i="5"/>
  <c r="G15" i="5"/>
  <c r="E16" i="5"/>
  <c r="G16" i="5"/>
  <c r="E17" i="5"/>
  <c r="G17" i="5"/>
  <c r="E19" i="5"/>
  <c r="G19" i="5"/>
  <c r="E25" i="5"/>
  <c r="G25" i="5"/>
  <c r="E9" i="5"/>
  <c r="E8" i="5"/>
  <c r="C66" i="5"/>
  <c r="C61" i="5"/>
  <c r="C59" i="5"/>
  <c r="C58" i="5"/>
  <c r="C49" i="5"/>
  <c r="C48" i="5"/>
  <c r="C25" i="5"/>
  <c r="C17" i="5"/>
  <c r="C16" i="5"/>
  <c r="C14" i="5"/>
  <c r="C8" i="5"/>
  <c r="B66" i="5"/>
  <c r="B49" i="5"/>
  <c r="B58" i="5"/>
  <c r="B59" i="5"/>
  <c r="B61" i="5"/>
  <c r="B48" i="5"/>
  <c r="B14" i="5"/>
  <c r="B16" i="5"/>
  <c r="B17" i="5"/>
  <c r="B25" i="5"/>
  <c r="B8" i="5"/>
  <c r="G67" i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39" i="1"/>
  <c r="G38" i="1"/>
  <c r="G28" i="1"/>
  <c r="G29" i="1"/>
  <c r="G30" i="1"/>
  <c r="G31" i="1"/>
  <c r="G32" i="1"/>
  <c r="G33" i="1"/>
  <c r="G34" i="1"/>
  <c r="G35" i="1"/>
  <c r="G27" i="1"/>
  <c r="G22" i="1"/>
  <c r="G23" i="1"/>
  <c r="G24" i="1"/>
  <c r="G25" i="1"/>
  <c r="G21" i="1"/>
  <c r="G14" i="1"/>
  <c r="G15" i="1"/>
  <c r="G16" i="1"/>
  <c r="G17" i="1"/>
  <c r="G18" i="1"/>
  <c r="G19" i="1"/>
  <c r="G13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8" i="1"/>
  <c r="E39" i="1"/>
  <c r="E13" i="1"/>
  <c r="E9" i="1"/>
  <c r="E10" i="1"/>
  <c r="G9" i="1"/>
  <c r="G10" i="1"/>
  <c r="G8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8" i="1"/>
  <c r="C28" i="1"/>
  <c r="C27" i="1"/>
  <c r="C25" i="1"/>
  <c r="C24" i="1"/>
  <c r="C23" i="1"/>
  <c r="C22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2" i="1"/>
  <c r="B23" i="1"/>
  <c r="B24" i="1"/>
  <c r="B25" i="1"/>
  <c r="B27" i="1"/>
  <c r="B28" i="1"/>
  <c r="B38" i="1"/>
  <c r="B13" i="1"/>
  <c r="B9" i="1"/>
  <c r="B10" i="1"/>
  <c r="B8" i="1"/>
  <c r="G32" i="26"/>
  <c r="D32" i="26"/>
  <c r="G11" i="26"/>
  <c r="D11" i="26"/>
  <c r="B16" i="28"/>
  <c r="B15" i="28"/>
  <c r="F7" i="5" l="1"/>
  <c r="D20" i="1" l="1"/>
  <c r="D24" i="1"/>
  <c r="D26" i="1"/>
  <c r="D31" i="1"/>
  <c r="D32" i="1"/>
  <c r="D34" i="1"/>
  <c r="D36" i="1"/>
  <c r="D37" i="1"/>
  <c r="D38" i="1"/>
  <c r="D39" i="1"/>
  <c r="D15" i="1"/>
  <c r="D16" i="1"/>
  <c r="D17" i="1"/>
  <c r="D18" i="1"/>
  <c r="D21" i="1"/>
  <c r="D22" i="1"/>
  <c r="D23" i="1"/>
  <c r="D25" i="1"/>
  <c r="D27" i="1"/>
  <c r="D28" i="1"/>
  <c r="D29" i="1"/>
  <c r="D30" i="1"/>
  <c r="D35" i="1"/>
  <c r="D13" i="1"/>
  <c r="G31" i="26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D14" i="1" l="1"/>
  <c r="D33" i="1"/>
  <c r="D19" i="1"/>
  <c r="G7" i="5"/>
  <c r="F59" i="1"/>
  <c r="F12" i="5"/>
  <c r="E165" i="30"/>
  <c r="G67" i="22" l="1"/>
  <c r="G29" i="26"/>
  <c r="D29" i="26"/>
  <c r="G8" i="26"/>
  <c r="D8" i="26"/>
  <c r="E48" i="11"/>
  <c r="E42" i="11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7" i="22"/>
  <c r="G41" i="1"/>
  <c r="E13" i="11"/>
  <c r="E47" i="1"/>
  <c r="E7" i="1"/>
  <c r="G42" i="11"/>
  <c r="M67" i="22"/>
  <c r="L67" i="22"/>
  <c r="G48" i="11"/>
  <c r="G13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3" i="11" l="1"/>
  <c r="E66" i="1"/>
  <c r="E65" i="5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I47" i="2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D48" i="1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G65" i="25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I45" i="2"/>
  <c r="J45" i="2" s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H43" i="11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I72" i="2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I67" i="2"/>
  <c r="J67" i="2" s="1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<sst xmlns="http://schemas.openxmlformats.org/spreadsheetml/2006/main" count="1821" uniqueCount="521">
  <si>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</si>
  <si>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</si>
  <si>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</si>
  <si>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</si>
  <si>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</si>
  <si>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</si>
  <si>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</si>
  <si>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</si>
  <si>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</si>
  <si>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</si>
  <si>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</si>
  <si>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</si>
  <si>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</si>
  <si>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</si>
  <si>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</si>
  <si>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</si>
  <si>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</si>
  <si>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</si>
  <si>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</si>
  <si>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</si>
  <si>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</si>
  <si>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</si>
  <si>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</si>
  <si>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</si>
  <si>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</si>
  <si>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</si>
  <si>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</si>
  <si>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</si>
  <si>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</si>
  <si>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</si>
  <si>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</si>
  <si>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</si>
  <si>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</si>
  <si>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</si>
  <si>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</si>
  <si>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</si>
  <si>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</si>
  <si>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</si>
  <si>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</si>
  <si>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</si>
  <si>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</si>
  <si>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</si>
  <si>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</si>
  <si>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</si>
  <si>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</si>
  <si>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</si>
  <si>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</si>
  <si>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</si>
  <si>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</si>
  <si>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</si>
  <si>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</si>
  <si>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</si>
  <si>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</si>
  <si>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</si>
  <si>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</si>
  <si>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</si>
  <si>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</si>
  <si>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</si>
  <si>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</si>
  <si>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</si>
  <si>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</si>
  <si>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</si>
  <si>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</si>
  <si>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</si>
  <si>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</si>
  <si>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</si>
  <si>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</si>
  <si>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</si>
  <si>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</si>
  <si>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</si>
  <si>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</si>
  <si>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</si>
  <si>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</si>
  <si>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</si>
  <si>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</si>
  <si>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</si>
  <si>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</si>
  <si>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</si>
  <si>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</si>
  <si>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</si>
  <si>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</si>
  <si>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</si>
  <si>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</si>
  <si>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</si>
  <si>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</si>
  <si>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</si>
  <si>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</si>
  <si>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</si>
  <si>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</si>
  <si>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</si>
  <si>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</si>
  <si>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</si>
  <si>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</si>
  <si>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</si>
  <si>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</si>
  <si>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</si>
  <si>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</si>
  <si>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</si>
  <si>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</si>
  <si>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</si>
  <si>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</si>
  <si>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</si>
  <si>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</si>
  <si>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</si>
  <si>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</si>
  <si>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</si>
  <si>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</si>
  <si>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</si>
  <si>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</si>
  <si>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</si>
  <si>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</si>
  <si>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</si>
  <si>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</si>
  <si>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</si>
  <si>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</si>
  <si>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</si>
  <si>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</si>
  <si>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</si>
  <si>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</si>
  <si>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</si>
  <si>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</si>
  <si>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</si>
  <si>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</si>
  <si>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</si>
  <si>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</si>
  <si>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</si>
  <si>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</si>
  <si>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</si>
  <si>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</si>
  <si>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</si>
  <si>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</si>
  <si>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</si>
  <si>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</si>
  <si>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</si>
  <si>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</si>
  <si>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</si>
  <si>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</si>
  <si>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</si>
  <si>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</si>
  <si>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</si>
  <si>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</si>
  <si>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</si>
  <si>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</si>
  <si>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</si>
  <si>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</si>
  <si>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</si>
  <si>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</si>
  <si>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</si>
  <si>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</si>
  <si>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</si>
  <si>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</si>
  <si>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</si>
  <si>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</si>
  <si>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</si>
  <si>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</si>
  <si>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</si>
  <si>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</si>
  <si>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</si>
  <si>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</si>
  <si>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</si>
  <si>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</si>
  <si>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</si>
  <si>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</si>
  <si>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</si>
  <si>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</si>
  <si>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</si>
  <si>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</si>
  <si>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</si>
  <si>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</si>
  <si>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</si>
  <si>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</si>
  <si>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</si>
  <si>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</si>
  <si>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</si>
  <si>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</si>
  <si>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</si>
  <si>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</si>
  <si>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</si>
  <si>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</si>
  <si>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</si>
  <si>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</si>
  <si>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</si>
  <si>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</si>
  <si>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</si>
  <si>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</si>
  <si>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</si>
  <si>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</si>
  <si>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</si>
  <si>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</si>
  <si>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</si>
  <si>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</si>
  <si>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</si>
  <si>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</si>
  <si>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</si>
  <si>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</si>
  <si>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</si>
  <si>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</si>
  <si>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</si>
  <si>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</si>
  <si>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</si>
  <si>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</si>
  <si>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</si>
  <si>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</si>
  <si>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</si>
  <si>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</si>
  <si>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</si>
  <si>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</si>
  <si>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</si>
  <si>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</si>
  <si>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</si>
  <si>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</si>
  <si>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</si>
  <si>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</si>
  <si>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</si>
  <si>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</si>
  <si>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</si>
  <si>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</si>
  <si>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</si>
  <si>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</si>
  <si>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</si>
  <si>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</si>
  <si>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</si>
  <si>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</si>
  <si>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</si>
  <si>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</si>
  <si>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</si>
  <si>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</si>
  <si>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</si>
  <si>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</si>
  <si>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</si>
  <si>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</si>
  <si>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</si>
  <si>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</si>
  <si>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</si>
  <si>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</si>
  <si>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</si>
  <si>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</si>
  <si>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</si>
  <si>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</si>
  <si>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</si>
  <si>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</si>
  <si>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</si>
  <si>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</si>
  <si>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</si>
  <si>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</si>
  <si>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</si>
  <si>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</si>
  <si>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</si>
  <si>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</si>
  <si>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</si>
  <si>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</si>
  <si>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</si>
  <si>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</si>
  <si>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</si>
  <si>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</si>
  <si>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</si>
  <si>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</si>
  <si>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</si>
  <si>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</si>
  <si>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</si>
  <si>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</si>
  <si>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</si>
  <si>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</si>
  <si>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</si>
  <si>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</si>
  <si>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</si>
  <si>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</si>
  <si>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</si>
  <si>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</si>
  <si>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</si>
  <si>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</si>
  <si>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</si>
  <si>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</si>
  <si>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</si>
  <si>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</si>
  <si>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</si>
  <si>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</si>
  <si>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</si>
  <si>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</si>
  <si>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</si>
  <si>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</si>
  <si>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</si>
  <si>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</si>
  <si>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</si>
  <si>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</si>
  <si>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</si>
  <si>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</si>
  <si>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</si>
  <si>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</si>
  <si>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</si>
  <si>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</si>
  <si>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</si>
  <si>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</si>
  <si>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</si>
  <si>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</si>
  <si>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</si>
  <si>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</si>
  <si>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</si>
  <si>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</si>
  <si>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</si>
  <si>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</si>
  <si>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</si>
  <si>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</si>
  <si>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</si>
  <si>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</si>
  <si>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</si>
  <si>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</si>
  <si>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</si>
  <si>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</si>
  <si>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</si>
  <si>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</si>
  <si>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</si>
  <si>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</si>
  <si>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</si>
  <si>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</si>
  <si>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</si>
  <si>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</si>
  <si>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</si>
  <si>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</si>
  <si>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</si>
  <si>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</si>
  <si>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</si>
  <si>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</si>
  <si>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</si>
  <si>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</si>
  <si>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</si>
  <si>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</si>
  <si>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</si>
  <si>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</si>
  <si>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</si>
  <si>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</si>
  <si>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</si>
  <si>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</si>
  <si>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</si>
  <si>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</si>
  <si>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</si>
  <si>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</si>
  <si>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</si>
  <si>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</si>
  <si>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</si>
  <si>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</si>
  <si>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</si>
  <si>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</si>
  <si>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</si>
  <si>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</si>
  <si>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</si>
  <si>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</si>
  <si>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</si>
  <si>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</si>
  <si>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</si>
  <si>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</si>
  <si>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</si>
  <si>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</si>
  <si>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</si>
  <si>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</si>
  <si>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</si>
  <si>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</si>
  <si>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</si>
  <si>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</si>
  <si>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</si>
  <si>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</si>
  <si>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</si>
  <si>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</si>
  <si>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</si>
  <si>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</si>
  <si>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</si>
  <si>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</si>
  <si>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</si>
  <si>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</si>
  <si>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</si>
  <si>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</si>
  <si>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</si>
  <si>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</si>
  <si>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</si>
  <si>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</si>
  <si>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</si>
  <si>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</si>
  <si>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</si>
  <si>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</si>
  <si>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</si>
  <si>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</si>
  <si>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</si>
  <si>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</si>
  <si>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</si>
  <si>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</si>
  <si>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</si>
  <si>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</si>
  <si>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</si>
  <si>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</si>
  <si>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</si>
  <si>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</si>
  <si>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</si>
  <si>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</si>
  <si>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</si>
  <si>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</si>
  <si>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</si>
  <si>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</si>
  <si>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</si>
  <si>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</si>
  <si>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</si>
  <si>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</si>
  <si>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</si>
  <si>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</si>
  <si>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</si>
  <si>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</si>
  <si>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</si>
  <si>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</si>
  <si>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</si>
  <si>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</si>
  <si>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</si>
  <si>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</si>
  <si>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</si>
  <si>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</si>
  <si>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</si>
  <si>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</si>
  <si>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</si>
  <si>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</si>
  <si>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</si>
  <si>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</si>
  <si>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</si>
  <si>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</si>
  <si>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</si>
  <si>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</si>
  <si>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</si>
  <si>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</si>
  <si>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</si>
  <si>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</si>
  <si>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</si>
  <si>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</si>
  <si>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</si>
  <si>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</si>
  <si>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</si>
  <si>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</si>
  <si>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</si>
  <si>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</si>
  <si>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</si>
  <si>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</si>
  <si>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</si>
  <si>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</si>
  <si>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</si>
  <si>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</si>
  <si>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</si>
  <si>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</si>
  <si>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</si>
  <si>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</si>
  <si>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</si>
  <si>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</si>
  <si>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</si>
  <si>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</si>
  <si>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</si>
  <si>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t>香港</t>
  </si>
  <si>
    <t>印度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</si>
  <si>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</si>
  <si>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</si>
  <si>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</si>
  <si>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</si>
  <si>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</si>
  <si>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</si>
  <si>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</si>
  <si>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</si>
  <si>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</si>
  <si>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</si>
  <si>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</si>
  <si>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</si>
  <si>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</si>
  <si>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</si>
  <si>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</si>
  <si>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</si>
  <si>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</si>
  <si>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</si>
  <si>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</si>
  <si>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</si>
  <si>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</si>
  <si>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</si>
  <si>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</si>
  <si>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</si>
  <si>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</si>
  <si>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</si>
  <si>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</si>
  <si>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</si>
  <si>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</si>
  <si>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</si>
  <si>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</si>
  <si>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</si>
  <si>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中華民國</t>
    <phoneticPr fontId="3" type="noConversion"/>
  </si>
  <si>
    <t>孟加拉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</si>
  <si>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</si>
  <si>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年5月</t>
    </r>
    <phoneticPr fontId="4" type="noConversion"/>
  </si>
  <si>
    <r>
      <t>5</t>
    </r>
    <r>
      <rPr>
        <sz val="12"/>
        <rFont val="新細明體"/>
        <family val="1"/>
        <charset val="136"/>
      </rPr>
      <t>月數量</t>
    </r>
    <phoneticPr fontId="4" type="noConversion"/>
  </si>
  <si>
    <r>
      <t>5</t>
    </r>
    <r>
      <rPr>
        <sz val="12"/>
        <rFont val="新細明體"/>
        <family val="1"/>
        <charset val="136"/>
      </rPr>
      <t>月金額</t>
    </r>
    <phoneticPr fontId="4" type="noConversion"/>
  </si>
  <si>
    <r>
      <t>1-5</t>
    </r>
    <r>
      <rPr>
        <sz val="12"/>
        <rFont val="新細明體"/>
        <family val="1"/>
        <charset val="136"/>
      </rPr>
      <t>月數量</t>
    </r>
    <phoneticPr fontId="4" type="noConversion"/>
  </si>
  <si>
    <r>
      <t>1-5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</si>
  <si>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</si>
  <si>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</si>
  <si>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</si>
  <si>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</si>
  <si>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年5月台灣自行車出口地區別統計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</si>
  <si>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</si>
  <si>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2025/2024年1-5月台灣電動自行車主要出口國家比較        </t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</si>
  <si>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1-5</t>
    </r>
    <r>
      <rPr>
        <sz val="10"/>
        <rFont val="新細明體"/>
        <family val="1"/>
        <charset val="136"/>
      </rPr>
      <t>月</t>
    </r>
    <phoneticPr fontId="3" type="noConversion"/>
  </si>
  <si>
    <t>2025年1-5月台灣折疊式自行車主要出口國家統計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</si>
  <si>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</si>
  <si>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</si>
  <si>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</si>
  <si>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</si>
  <si>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5月出口量</t>
    <phoneticPr fontId="4" type="noConversion"/>
  </si>
  <si>
    <t>5月出口金額</t>
    <phoneticPr fontId="4" type="noConversion"/>
  </si>
  <si>
    <r>
      <t>1-5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</si>
  <si>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1-5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</si>
  <si>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5月進口量</t>
    <phoneticPr fontId="4" type="noConversion"/>
  </si>
  <si>
    <t>5月進口金額</t>
    <phoneticPr fontId="4" type="noConversion"/>
  </si>
  <si>
    <r>
      <t>1-5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</si>
  <si>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1-5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</si>
  <si>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1-5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</si>
  <si>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1-5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</si>
  <si>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年5月台灣自行車主要零件進出口統計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</si>
  <si>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</si>
  <si>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新加坡</t>
  </si>
  <si>
    <t>秘魯</t>
  </si>
  <si>
    <t>厄瓜多</t>
  </si>
  <si>
    <r>
      <t>2025</t>
    </r>
    <r>
      <rPr>
        <sz val="12"/>
        <rFont val="Microsoft JhengHei"/>
        <family val="3"/>
      </rPr>
      <t>年</t>
    </r>
    <r>
      <rPr>
        <sz val="12"/>
        <rFont val="華康仿宋體"/>
        <family val="3"/>
        <charset val="136"/>
      </rPr>
      <t>5</t>
    </r>
    <r>
      <rPr>
        <sz val="12"/>
        <rFont val="新細明體"/>
        <family val="1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</si>
</sst>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84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76" fontId="11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1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0" fontId="34" fillId="0" borderId="0" xfId="0" applyFont="1" applyAlignment="1"/>
    <xf numFmtId="10" fontId="35" fillId="0" borderId="0" xfId="0" applyNumberFormat="1" applyFont="1" applyAlignment="1"/>
    <xf numFmtId="10" fontId="35" fillId="0" borderId="12" xfId="0" applyNumberFormat="1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36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centerContinuous"/>
    </xf>
    <xf numFmtId="0" fontId="37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9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8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76" fontId="34" fillId="0" borderId="0" xfId="0" applyNumberFormat="1" applyFont="1" applyAlignment="1"/>
    <xf numFmtId="10" fontId="35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42" fillId="0" borderId="0" xfId="0" applyFont="1" applyAlignment="1"/>
    <xf numFmtId="0" fontId="43" fillId="0" borderId="0" xfId="0" applyFont="1" applyAlignment="1"/>
    <xf numFmtId="0" fontId="42" fillId="0" borderId="2" xfId="0" applyFont="1" applyBorder="1" applyAlignment="1"/>
    <xf numFmtId="0" fontId="43" fillId="0" borderId="2" xfId="0" applyFont="1" applyBorder="1" applyAlignment="1"/>
    <xf numFmtId="0" fontId="44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3" fillId="2" borderId="0" xfId="3" applyNumberFormat="1" applyFont="1" applyFill="1" applyBorder="1" applyAlignment="1"/>
    <xf numFmtId="176" fontId="42" fillId="0" borderId="2" xfId="0" applyNumberFormat="1" applyFont="1" applyBorder="1" applyAlignment="1"/>
    <xf numFmtId="10" fontId="43" fillId="0" borderId="2" xfId="3" applyNumberFormat="1" applyFont="1" applyBorder="1" applyAlignment="1"/>
    <xf numFmtId="176" fontId="44" fillId="0" borderId="2" xfId="0" applyNumberFormat="1" applyFont="1" applyBorder="1" applyAlignment="1"/>
    <xf numFmtId="176" fontId="45" fillId="0" borderId="0" xfId="0" applyNumberFormat="1" applyFont="1" applyAlignment="1">
      <alignment horizontal="centerContinuous"/>
    </xf>
    <xf numFmtId="0" fontId="45" fillId="0" borderId="0" xfId="0" applyFont="1" applyAlignment="1"/>
    <xf numFmtId="176" fontId="45" fillId="0" borderId="0" xfId="0" applyNumberFormat="1" applyFont="1" applyAlignment="1"/>
    <xf numFmtId="0" fontId="45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5" fillId="0" borderId="10" xfId="0" quotePrefix="1" applyFont="1" applyBorder="1" applyAlignment="1">
      <alignment horizontal="center"/>
    </xf>
    <xf numFmtId="0" fontId="45" fillId="0" borderId="1" xfId="0" quotePrefix="1" applyFont="1" applyBorder="1" applyAlignment="1">
      <alignment horizontal="center"/>
    </xf>
    <xf numFmtId="176" fontId="45" fillId="0" borderId="3" xfId="0" applyNumberFormat="1" applyFont="1" applyBorder="1" applyAlignment="1">
      <alignment horizontal="center"/>
    </xf>
    <xf numFmtId="176" fontId="45" fillId="0" borderId="10" xfId="0" quotePrefix="1" applyNumberFormat="1" applyFont="1" applyBorder="1" applyAlignment="1">
      <alignment horizontal="center"/>
    </xf>
    <xf numFmtId="0" fontId="45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5" fillId="0" borderId="5" xfId="0" applyFont="1" applyBorder="1" applyAlignment="1"/>
    <xf numFmtId="178" fontId="8" fillId="0" borderId="11" xfId="2" applyNumberFormat="1" applyFont="1" applyBorder="1" applyAlignment="1"/>
    <xf numFmtId="0" fontId="45" fillId="3" borderId="5" xfId="0" applyFont="1" applyFill="1" applyBorder="1" applyAlignment="1">
      <alignment horizontal="left"/>
    </xf>
    <xf numFmtId="0" fontId="45" fillId="4" borderId="5" xfId="0" applyFont="1" applyFill="1" applyBorder="1" applyAlignment="1">
      <alignment horizontal="left"/>
    </xf>
    <xf numFmtId="0" fontId="45" fillId="0" borderId="5" xfId="0" quotePrefix="1" applyFont="1" applyBorder="1" applyAlignment="1">
      <alignment horizontal="left"/>
    </xf>
    <xf numFmtId="0" fontId="45" fillId="0" borderId="5" xfId="0" applyFont="1" applyBorder="1" applyAlignment="1">
      <alignment horizontal="left"/>
    </xf>
    <xf numFmtId="0" fontId="45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6" fillId="0" borderId="0" xfId="0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/>
    <xf numFmtId="176" fontId="50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5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5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2" fillId="0" borderId="10" xfId="4" applyNumberFormat="1" applyFont="1" applyBorder="1"/>
    <xf numFmtId="176" fontId="52" fillId="0" borderId="8" xfId="4" applyNumberFormat="1" applyFont="1" applyBorder="1"/>
    <xf numFmtId="176" fontId="52" fillId="0" borderId="9" xfId="4" applyNumberFormat="1" applyFont="1" applyBorder="1"/>
    <xf numFmtId="180" fontId="11" fillId="0" borderId="10" xfId="1" applyNumberFormat="1" applyFont="1" applyFill="1" applyBorder="1" applyAlignment="1"/>
    <xf numFmtId="180" fontId="52" fillId="0" borderId="10" xfId="1" applyNumberFormat="1" applyFont="1" applyFill="1" applyBorder="1" applyAlignment="1"/>
    <xf numFmtId="180" fontId="52" fillId="0" borderId="3" xfId="1" applyNumberFormat="1" applyFont="1" applyFill="1" applyBorder="1" applyAlignment="1"/>
    <xf numFmtId="176" fontId="11" fillId="0" borderId="10" xfId="4" applyNumberFormat="1" applyFont="1" applyBorder="1"/>
    <xf numFmtId="176" fontId="53" fillId="0" borderId="10" xfId="4" applyNumberFormat="1" applyFont="1" applyBorder="1"/>
    <xf numFmtId="180" fontId="53" fillId="0" borderId="10" xfId="1" applyNumberFormat="1" applyFont="1" applyFill="1" applyBorder="1" applyAlignment="1"/>
    <xf numFmtId="176" fontId="53" fillId="5" borderId="10" xfId="4" applyNumberFormat="1" applyFont="1" applyFill="1" applyBorder="1"/>
    <xf numFmtId="176" fontId="54" fillId="0" borderId="10" xfId="0" applyNumberFormat="1" applyFont="1" applyBorder="1" applyAlignment="1"/>
    <xf numFmtId="176" fontId="55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9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0" fillId="7" borderId="9" xfId="4" applyNumberFormat="1" applyFont="1" applyFill="1" applyBorder="1" applyAlignment="1">
      <alignment horizontal="right"/>
    </xf>
    <xf numFmtId="176" fontId="61" fillId="7" borderId="9" xfId="4" applyNumberFormat="1" applyFont="1" applyFill="1" applyBorder="1"/>
    <xf numFmtId="176" fontId="61" fillId="7" borderId="9" xfId="4" applyNumberFormat="1" applyFont="1" applyFill="1" applyBorder="1" applyAlignment="1">
      <alignment horizontal="right"/>
    </xf>
    <xf numFmtId="179" fontId="61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2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8" fillId="0" borderId="10" xfId="4" applyNumberFormat="1" applyFont="1" applyBorder="1" applyAlignment="1">
      <alignment horizontal="right"/>
    </xf>
    <xf numFmtId="176" fontId="65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6" fillId="0" borderId="9" xfId="0" applyNumberFormat="1" applyFont="1" applyBorder="1" applyAlignment="1">
      <alignment horizontal="center"/>
    </xf>
    <xf numFmtId="10" fontId="66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2" fillId="0" borderId="10" xfId="0" quotePrefix="1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7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41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7" fillId="0" borderId="10" xfId="4" applyNumberFormat="1" applyFont="1" applyBorder="1" applyAlignment="1">
      <alignment horizontal="right"/>
    </xf>
    <xf numFmtId="176" fontId="70" fillId="7" borderId="10" xfId="4" applyNumberFormat="1" applyFont="1" applyFill="1" applyBorder="1" applyAlignment="1">
      <alignment horizontal="right"/>
    </xf>
    <xf numFmtId="176" fontId="62" fillId="0" borderId="10" xfId="0" applyNumberFormat="1" applyFont="1" applyBorder="1" applyAlignment="1">
      <alignment horizontal="center" vertical="center"/>
    </xf>
    <xf numFmtId="176" fontId="62" fillId="0" borderId="10" xfId="0" quotePrefix="1" applyNumberFormat="1" applyFont="1" applyBorder="1" applyAlignment="1">
      <alignment horizontal="center" vertical="center"/>
    </xf>
    <xf numFmtId="0" fontId="67" fillId="0" borderId="10" xfId="0" quotePrefix="1" applyFont="1" applyBorder="1" applyAlignment="1">
      <alignment horizontal="center"/>
    </xf>
    <xf numFmtId="178" fontId="62" fillId="0" borderId="11" xfId="2" applyNumberFormat="1" applyFont="1" applyBorder="1" applyAlignment="1"/>
    <xf numFmtId="176" fontId="62" fillId="0" borderId="0" xfId="0" applyNumberFormat="1" applyFont="1" applyAlignment="1"/>
    <xf numFmtId="178" fontId="62" fillId="4" borderId="11" xfId="2" applyNumberFormat="1" applyFont="1" applyFill="1" applyBorder="1" applyAlignment="1"/>
    <xf numFmtId="176" fontId="62" fillId="4" borderId="0" xfId="0" applyNumberFormat="1" applyFont="1" applyFill="1" applyAlignment="1"/>
    <xf numFmtId="176" fontId="8" fillId="4" borderId="0" xfId="0" applyNumberFormat="1" applyFont="1" applyFill="1" applyAlignment="1"/>
    <xf numFmtId="0" fontId="45" fillId="4" borderId="0" xfId="0" applyFont="1" applyFill="1" applyAlignment="1">
      <alignment horizontal="left"/>
    </xf>
    <xf numFmtId="178" fontId="62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5" fillId="0" borderId="0" xfId="0" applyFont="1" applyAlignment="1">
      <alignment horizontal="left"/>
    </xf>
    <xf numFmtId="178" fontId="62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5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5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2" fillId="0" borderId="0" xfId="0" applyFont="1" applyAlignment="1"/>
    <xf numFmtId="0" fontId="67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2" fillId="2" borderId="0" xfId="0" applyNumberFormat="1" applyFont="1" applyFill="1" applyAlignment="1"/>
    <xf numFmtId="181" fontId="7" fillId="0" borderId="10" xfId="3" applyNumberFormat="1" applyFont="1" applyBorder="1" applyAlignment="1"/>
    <xf numFmtId="176" fontId="52" fillId="0" borderId="3" xfId="4" applyNumberFormat="1" applyFont="1" applyBorder="1"/>
    <xf numFmtId="176" fontId="11" fillId="2" borderId="0" xfId="0" applyNumberFormat="1" applyFont="1" applyFill="1" applyAlignment="1"/>
    <xf numFmtId="176" fontId="52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1" fillId="0" borderId="6" xfId="0" applyFont="1" applyBorder="1" applyAlignment="1">
      <alignment horizontal="center"/>
    </xf>
    <xf numFmtId="176" fontId="11" fillId="2" borderId="9" xfId="0" applyNumberFormat="1" applyFont="1" applyFill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176" fontId="11" fillId="2" borderId="10" xfId="0" applyNumberFormat="1" applyFont="1" applyFill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43" fontId="76" fillId="0" borderId="9" xfId="0" applyNumberFormat="1" applyFont="1" applyBorder="1" applyAlignment="1">
      <alignment horizontal="center"/>
    </xf>
    <xf numFmtId="176" fontId="77" fillId="0" borderId="10" xfId="4" applyNumberFormat="1" applyFont="1" applyBorder="1"/>
    <xf numFmtId="180" fontId="77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9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80" fillId="0" borderId="0" xfId="0" applyFont="1" applyAlignment="1"/>
    <xf numFmtId="0" fontId="81" fillId="2" borderId="2" xfId="0" applyFont="1" applyFill="1" applyBorder="1" applyAlignment="1"/>
    <xf numFmtId="0" fontId="81" fillId="0" borderId="4" xfId="0" quotePrefix="1" applyFont="1" applyBorder="1" applyAlignment="1">
      <alignment horizontal="center"/>
    </xf>
    <xf numFmtId="0" fontId="81" fillId="0" borderId="9" xfId="0" quotePrefix="1" applyFont="1" applyBorder="1" applyAlignment="1">
      <alignment horizontal="center"/>
    </xf>
    <xf numFmtId="0" fontId="80" fillId="2" borderId="11" xfId="0" applyFont="1" applyFill="1" applyBorder="1" applyAlignment="1"/>
    <xf numFmtId="176" fontId="80" fillId="2" borderId="9" xfId="0" applyNumberFormat="1" applyFont="1" applyFill="1" applyBorder="1" applyAlignment="1"/>
    <xf numFmtId="176" fontId="80" fillId="0" borderId="9" xfId="0" applyNumberFormat="1" applyFont="1" applyBorder="1" applyAlignment="1"/>
    <xf numFmtId="176" fontId="80" fillId="0" borderId="10" xfId="0" applyNumberFormat="1" applyFont="1" applyBorder="1" applyAlignment="1"/>
    <xf numFmtId="176" fontId="80" fillId="2" borderId="10" xfId="0" applyNumberFormat="1" applyFont="1" applyFill="1" applyBorder="1" applyAlignment="1"/>
    <xf numFmtId="176" fontId="80" fillId="2" borderId="0" xfId="0" applyNumberFormat="1" applyFont="1" applyFill="1" applyAlignment="1"/>
    <xf numFmtId="0" fontId="81" fillId="0" borderId="0" xfId="0" applyFont="1" applyAlignment="1"/>
    <xf numFmtId="0" fontId="82" fillId="2" borderId="1" xfId="0" applyFont="1" applyFill="1" applyBorder="1" applyAlignment="1"/>
    <xf numFmtId="176" fontId="52" fillId="5" borderId="10" xfId="4" applyNumberFormat="1" applyFont="1" applyFill="1" applyBorder="1"/>
    <xf numFmtId="0" fontId="62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2" fillId="0" borderId="0" xfId="0" applyFont="1" applyAlignment="1">
      <alignment horizontal="left"/>
    </xf>
    <xf numFmtId="0" fontId="52" fillId="0" borderId="10" xfId="0" applyFont="1" applyBorder="1" applyAlignment="1">
      <alignment horizontal="center"/>
    </xf>
    <xf numFmtId="0" fontId="78" fillId="0" borderId="10" xfId="0" applyFont="1" applyBorder="1" applyAlignment="1">
      <alignment horizontal="center"/>
    </xf>
    <xf numFmtId="0" fontId="90" fillId="0" borderId="10" xfId="0" applyFont="1" applyBorder="1" applyAlignment="1">
      <alignment horizontal="center"/>
    </xf>
    <xf numFmtId="178" fontId="62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71" fillId="0" borderId="3" xfId="0" applyNumberFormat="1" applyFont="1" applyBorder="1" applyAlignment="1">
      <alignment horizontal="center"/>
    </xf>
    <xf numFmtId="176" fontId="71" fillId="0" borderId="10" xfId="0" applyNumberFormat="1" applyFont="1" applyBorder="1" applyAlignment="1">
      <alignment horizontal="center"/>
    </xf>
    <xf numFmtId="0" fontId="91" fillId="0" borderId="8" xfId="0" quotePrefix="1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176" fontId="91" fillId="0" borderId="9" xfId="0" applyNumberFormat="1" applyFont="1" applyBorder="1" applyAlignment="1">
      <alignment horizontal="center"/>
    </xf>
    <xf numFmtId="176" fontId="92" fillId="0" borderId="0" xfId="0" applyNumberFormat="1" applyFont="1" applyAlignment="1"/>
    <xf numFmtId="176" fontId="85" fillId="0" borderId="9" xfId="0" applyNumberFormat="1" applyFont="1" applyBorder="1" applyAlignment="1"/>
    <xf numFmtId="0" fontId="91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5" fillId="0" borderId="9" xfId="2" applyNumberFormat="1" applyFont="1" applyBorder="1" applyAlignment="1"/>
    <xf numFmtId="176" fontId="93" fillId="0" borderId="0" xfId="0" applyNumberFormat="1" applyFont="1" applyAlignment="1"/>
    <xf numFmtId="176" fontId="8" fillId="5" borderId="10" xfId="0" applyNumberFormat="1" applyFont="1" applyFill="1" applyBorder="1" applyAlignment="1"/>
    <xf numFmtId="176" fontId="52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3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2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51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2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7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4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86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0" fontId="62" fillId="5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176" fontId="33" fillId="0" borderId="10" xfId="0" applyNumberFormat="1" applyFont="1" applyFill="1" applyBorder="1" applyAlignment="1"/>
    <xf numFmtId="176" fontId="11" fillId="0" borderId="6" xfId="0" applyNumberFormat="1" applyFon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5%20&#25972;&#36554;&#20986;&#21475;.xlsx" TargetMode="External"/><Relationship Id="rId1" Type="http://schemas.openxmlformats.org/officeDocument/2006/relationships/externalLinkPath" Target="/DATA%20Files/Downloads/&#36914;&#20986;&#21475;&#20540;&#34920;%20-%2020255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5%20&#25240;&#30090;&#36554;&#20986;&#21475;.xlsx" TargetMode="External"/><Relationship Id="rId1" Type="http://schemas.openxmlformats.org/officeDocument/2006/relationships/externalLinkPath" Target="/DATA%20Files/Downloads/&#36914;&#20986;&#21475;&#20540;&#34920;%20-%2020255%20&#25240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5%20&#38646;&#20214;&#20986;&#21475;.xlsx" TargetMode="External"/><Relationship Id="rId1" Type="http://schemas.openxmlformats.org/officeDocument/2006/relationships/externalLinkPath" Target="/DATA%20Files/Downloads/&#36914;&#20986;&#21475;&#20540;&#34920;%20-%2020255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5%20&#38646;&#20214;&#20986;&#21475;.xlsx" TargetMode="External"/><Relationship Id="rId1" Type="http://schemas.openxmlformats.org/officeDocument/2006/relationships/externalLinkPath" Target="/DATA%20Files/Downloads/&#36914;&#20986;&#21475;&#20540;&#34920;%20-%2020251-5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5%20&#38646;&#20214;&#36914;&#21475;.xlsx" TargetMode="External"/><Relationship Id="rId1" Type="http://schemas.openxmlformats.org/officeDocument/2006/relationships/externalLinkPath" Target="/DATA%20Files/Downloads/&#36914;&#20986;&#21475;&#20540;&#34920;%20-%2020255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5%20&#38646;&#20214;&#36914;&#21475;.xlsx" TargetMode="External"/><Relationship Id="rId1" Type="http://schemas.openxmlformats.org/officeDocument/2006/relationships/externalLinkPath" Target="/DATA%20Files/Downloads/&#36914;&#20986;&#21475;&#20540;&#34920;%20-%2020251-5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5%20&#25972;&#36554;&#20986;&#21475;.xlsx" TargetMode="External"/><Relationship Id="rId1" Type="http://schemas.openxmlformats.org/officeDocument/2006/relationships/externalLinkPath" Target="/DATA%20Files/Downloads/&#36914;&#20986;&#21475;&#20540;&#34920;%20-%2020251-5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5%20&#25972;&#36554;&#36914;&#21475;.xlsx" TargetMode="External"/><Relationship Id="rId1" Type="http://schemas.openxmlformats.org/officeDocument/2006/relationships/externalLinkPath" Target="/DATA%20Files/Downloads/&#36914;&#20986;&#21475;&#20540;&#34920;%20-%2020255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5%20&#25972;&#36554;&#36914;&#21475;.xlsx" TargetMode="External"/><Relationship Id="rId1" Type="http://schemas.openxmlformats.org/officeDocument/2006/relationships/externalLinkPath" Target="/DATA%20Files/Downloads/&#36914;&#20986;&#21475;&#20540;&#34920;%20-%2020251-5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5%20&#38651;&#36628;&#36554;&#20986;&#21475;.xlsx" TargetMode="External"/><Relationship Id="rId1" Type="http://schemas.openxmlformats.org/officeDocument/2006/relationships/externalLinkPath" Target="/DATA%20Files/Downloads/&#36914;&#20986;&#21475;&#20540;&#34920;%20-%2020255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5%20&#38651;&#36628;&#36554;&#20986;&#21475;.xlsx" TargetMode="External"/><Relationship Id="rId1" Type="http://schemas.openxmlformats.org/officeDocument/2006/relationships/externalLinkPath" Target="/DATA%20Files/Downloads/&#36914;&#20986;&#21475;&#20540;&#34920;%20-%2020251-5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61771181</v>
          </cell>
          <cell r="C10">
            <v>49575</v>
          </cell>
        </row>
        <row r="11">
          <cell r="A11" t="str">
            <v>美國</v>
          </cell>
          <cell r="B11">
            <v>23992505</v>
          </cell>
          <cell r="C11">
            <v>22036</v>
          </cell>
        </row>
        <row r="12">
          <cell r="A12" t="str">
            <v>荷蘭</v>
          </cell>
          <cell r="B12">
            <v>7612697</v>
          </cell>
          <cell r="C12">
            <v>4840</v>
          </cell>
        </row>
        <row r="13">
          <cell r="A13" t="str">
            <v>比利時</v>
          </cell>
          <cell r="B13">
            <v>5037384</v>
          </cell>
          <cell r="C13">
            <v>3499</v>
          </cell>
        </row>
        <row r="14">
          <cell r="A14" t="str">
            <v>法國</v>
          </cell>
          <cell r="B14">
            <v>4158709</v>
          </cell>
          <cell r="C14">
            <v>2106</v>
          </cell>
        </row>
        <row r="15">
          <cell r="A15" t="str">
            <v>中國大陸</v>
          </cell>
          <cell r="B15">
            <v>3651890</v>
          </cell>
          <cell r="C15">
            <v>2255</v>
          </cell>
        </row>
        <row r="16">
          <cell r="A16" t="str">
            <v>英國</v>
          </cell>
          <cell r="B16">
            <v>2310823</v>
          </cell>
          <cell r="C16">
            <v>3491</v>
          </cell>
        </row>
        <row r="17">
          <cell r="A17" t="str">
            <v>加拿大</v>
          </cell>
          <cell r="B17">
            <v>1994701</v>
          </cell>
          <cell r="C17">
            <v>1548</v>
          </cell>
        </row>
        <row r="18">
          <cell r="A18" t="str">
            <v>韓國</v>
          </cell>
          <cell r="B18">
            <v>1478869</v>
          </cell>
          <cell r="C18">
            <v>796</v>
          </cell>
        </row>
        <row r="19">
          <cell r="A19" t="str">
            <v>德國</v>
          </cell>
          <cell r="B19">
            <v>1437800</v>
          </cell>
          <cell r="C19">
            <v>1037</v>
          </cell>
        </row>
        <row r="20">
          <cell r="A20" t="str">
            <v>日本</v>
          </cell>
          <cell r="B20">
            <v>1243910</v>
          </cell>
          <cell r="C20">
            <v>1131</v>
          </cell>
        </row>
        <row r="21">
          <cell r="A21" t="str">
            <v>墨西哥</v>
          </cell>
          <cell r="B21">
            <v>967270</v>
          </cell>
          <cell r="C21">
            <v>523</v>
          </cell>
        </row>
        <row r="22">
          <cell r="A22" t="str">
            <v>西班牙</v>
          </cell>
          <cell r="B22">
            <v>941357</v>
          </cell>
          <cell r="C22">
            <v>358</v>
          </cell>
        </row>
        <row r="23">
          <cell r="A23" t="str">
            <v>巴西</v>
          </cell>
          <cell r="B23">
            <v>886430</v>
          </cell>
          <cell r="C23">
            <v>368</v>
          </cell>
        </row>
        <row r="24">
          <cell r="A24" t="str">
            <v>義大利</v>
          </cell>
          <cell r="B24">
            <v>735152</v>
          </cell>
          <cell r="C24">
            <v>635</v>
          </cell>
        </row>
        <row r="25">
          <cell r="A25" t="str">
            <v>澳大利亞</v>
          </cell>
          <cell r="B25">
            <v>662130</v>
          </cell>
          <cell r="C25">
            <v>466</v>
          </cell>
        </row>
        <row r="26">
          <cell r="A26" t="str">
            <v>哥倫比亞</v>
          </cell>
          <cell r="B26">
            <v>555186</v>
          </cell>
          <cell r="C26">
            <v>330</v>
          </cell>
        </row>
        <row r="27">
          <cell r="A27" t="str">
            <v>阿根廷</v>
          </cell>
          <cell r="B27">
            <v>542940</v>
          </cell>
          <cell r="C27">
            <v>219</v>
          </cell>
        </row>
        <row r="28">
          <cell r="A28" t="str">
            <v>智利</v>
          </cell>
          <cell r="B28">
            <v>490274</v>
          </cell>
          <cell r="C28">
            <v>183</v>
          </cell>
        </row>
        <row r="29">
          <cell r="A29" t="str">
            <v>捷克</v>
          </cell>
          <cell r="B29">
            <v>477804</v>
          </cell>
          <cell r="C29">
            <v>557</v>
          </cell>
        </row>
        <row r="30">
          <cell r="A30" t="str">
            <v>巴拿馬</v>
          </cell>
          <cell r="B30">
            <v>457318</v>
          </cell>
          <cell r="C30">
            <v>197</v>
          </cell>
        </row>
        <row r="31">
          <cell r="A31" t="str">
            <v>瑞典</v>
          </cell>
          <cell r="B31">
            <v>248078</v>
          </cell>
          <cell r="C31">
            <v>1215</v>
          </cell>
        </row>
        <row r="32">
          <cell r="A32" t="str">
            <v>菲律賓</v>
          </cell>
          <cell r="B32">
            <v>222520</v>
          </cell>
          <cell r="C32">
            <v>252</v>
          </cell>
        </row>
        <row r="33">
          <cell r="A33" t="str">
            <v>南非</v>
          </cell>
          <cell r="B33">
            <v>172214</v>
          </cell>
          <cell r="C33">
            <v>141</v>
          </cell>
        </row>
        <row r="34">
          <cell r="A34" t="str">
            <v>阿拉伯聯合大公國</v>
          </cell>
          <cell r="B34">
            <v>159775</v>
          </cell>
          <cell r="C34">
            <v>379</v>
          </cell>
        </row>
        <row r="35">
          <cell r="A35" t="str">
            <v>烏拉圭</v>
          </cell>
          <cell r="B35">
            <v>157674</v>
          </cell>
          <cell r="C35">
            <v>61</v>
          </cell>
        </row>
        <row r="36">
          <cell r="A36" t="str">
            <v>以色列</v>
          </cell>
          <cell r="B36">
            <v>155509</v>
          </cell>
          <cell r="C36">
            <v>84</v>
          </cell>
        </row>
        <row r="37">
          <cell r="A37" t="str">
            <v>挪威</v>
          </cell>
          <cell r="B37">
            <v>143458</v>
          </cell>
          <cell r="C37">
            <v>105</v>
          </cell>
        </row>
        <row r="38">
          <cell r="A38" t="str">
            <v>瑞士</v>
          </cell>
          <cell r="B38">
            <v>108790</v>
          </cell>
          <cell r="C38">
            <v>149</v>
          </cell>
        </row>
        <row r="39">
          <cell r="A39" t="str">
            <v>香港</v>
          </cell>
          <cell r="B39">
            <v>93732</v>
          </cell>
          <cell r="C39">
            <v>27</v>
          </cell>
        </row>
        <row r="40">
          <cell r="A40" t="str">
            <v>波蘭</v>
          </cell>
          <cell r="B40">
            <v>90436</v>
          </cell>
          <cell r="C40">
            <v>72</v>
          </cell>
        </row>
        <row r="41">
          <cell r="A41" t="str">
            <v>多明尼加</v>
          </cell>
          <cell r="B41">
            <v>89564</v>
          </cell>
          <cell r="C41">
            <v>41</v>
          </cell>
        </row>
        <row r="42">
          <cell r="A42" t="str">
            <v>俄羅斯</v>
          </cell>
          <cell r="B42">
            <v>80258</v>
          </cell>
          <cell r="C42">
            <v>115</v>
          </cell>
        </row>
        <row r="43">
          <cell r="A43" t="str">
            <v>紐西蘭</v>
          </cell>
          <cell r="B43">
            <v>77480</v>
          </cell>
          <cell r="C43">
            <v>66</v>
          </cell>
        </row>
        <row r="44">
          <cell r="A44" t="str">
            <v>愛爾蘭</v>
          </cell>
          <cell r="B44">
            <v>75929</v>
          </cell>
          <cell r="C44">
            <v>90</v>
          </cell>
        </row>
        <row r="45">
          <cell r="A45" t="str">
            <v>哥斯大黎加</v>
          </cell>
          <cell r="B45">
            <v>45299</v>
          </cell>
          <cell r="C45">
            <v>23</v>
          </cell>
        </row>
        <row r="46">
          <cell r="A46" t="str">
            <v>新加坡</v>
          </cell>
          <cell r="B46">
            <v>41196</v>
          </cell>
          <cell r="C46">
            <v>17</v>
          </cell>
        </row>
        <row r="47">
          <cell r="A47" t="str">
            <v>印度</v>
          </cell>
          <cell r="B47">
            <v>41067</v>
          </cell>
          <cell r="C47">
            <v>39</v>
          </cell>
        </row>
        <row r="48">
          <cell r="A48" t="str">
            <v>馬來西亞</v>
          </cell>
          <cell r="B48">
            <v>40646</v>
          </cell>
          <cell r="C48">
            <v>11</v>
          </cell>
        </row>
        <row r="49">
          <cell r="A49" t="str">
            <v>泰國</v>
          </cell>
          <cell r="B49">
            <v>19548</v>
          </cell>
          <cell r="C49">
            <v>11</v>
          </cell>
        </row>
        <row r="50">
          <cell r="A50" t="str">
            <v>丹麥</v>
          </cell>
          <cell r="B50">
            <v>13409</v>
          </cell>
          <cell r="C50">
            <v>38</v>
          </cell>
        </row>
        <row r="51">
          <cell r="A51" t="str">
            <v>印尼</v>
          </cell>
          <cell r="B51">
            <v>9725</v>
          </cell>
          <cell r="C51">
            <v>2</v>
          </cell>
        </row>
        <row r="52">
          <cell r="A52" t="str">
            <v>哈薩克</v>
          </cell>
          <cell r="B52">
            <v>8691</v>
          </cell>
          <cell r="C52">
            <v>6</v>
          </cell>
        </row>
        <row r="53">
          <cell r="A53" t="str">
            <v>尼泊爾</v>
          </cell>
          <cell r="B53">
            <v>6494</v>
          </cell>
          <cell r="C53">
            <v>5</v>
          </cell>
        </row>
        <row r="54">
          <cell r="A54" t="str">
            <v>奧地利</v>
          </cell>
          <cell r="B54">
            <v>6333</v>
          </cell>
          <cell r="C54">
            <v>2</v>
          </cell>
        </row>
        <row r="55">
          <cell r="A55" t="str">
            <v>瓜地馬拉</v>
          </cell>
          <cell r="B55">
            <v>6107</v>
          </cell>
          <cell r="C55">
            <v>5</v>
          </cell>
        </row>
        <row r="56">
          <cell r="A56" t="str">
            <v>盧森堡</v>
          </cell>
          <cell r="B56">
            <v>5913</v>
          </cell>
          <cell r="C56">
            <v>1</v>
          </cell>
        </row>
        <row r="57">
          <cell r="A57" t="str">
            <v>保加利亞</v>
          </cell>
          <cell r="B57">
            <v>4556</v>
          </cell>
          <cell r="C57">
            <v>40</v>
          </cell>
        </row>
        <row r="58">
          <cell r="A58" t="str">
            <v>厄瓜多</v>
          </cell>
          <cell r="B58">
            <v>3877</v>
          </cell>
          <cell r="C58">
            <v>1</v>
          </cell>
        </row>
        <row r="59">
          <cell r="A59" t="str">
            <v>波多黎各</v>
          </cell>
          <cell r="B59">
            <v>3877</v>
          </cell>
          <cell r="C59">
            <v>1</v>
          </cell>
        </row>
        <row r="60">
          <cell r="A60" t="str">
            <v>秘魯</v>
          </cell>
          <cell r="B60">
            <v>3877</v>
          </cell>
          <cell r="C60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1304919</v>
          </cell>
          <cell r="C10">
            <v>1813</v>
          </cell>
        </row>
        <row r="11">
          <cell r="A11" t="str">
            <v>韓國</v>
          </cell>
          <cell r="B11">
            <v>438887</v>
          </cell>
          <cell r="C11">
            <v>524</v>
          </cell>
        </row>
        <row r="12">
          <cell r="A12" t="str">
            <v>中國大陸</v>
          </cell>
          <cell r="B12">
            <v>258004</v>
          </cell>
          <cell r="C12">
            <v>215</v>
          </cell>
        </row>
        <row r="13">
          <cell r="A13" t="str">
            <v>俄羅斯</v>
          </cell>
          <cell r="B13">
            <v>154715</v>
          </cell>
          <cell r="C13">
            <v>400</v>
          </cell>
        </row>
        <row r="14">
          <cell r="A14" t="str">
            <v>日本</v>
          </cell>
          <cell r="B14">
            <v>150756</v>
          </cell>
          <cell r="C14">
            <v>317</v>
          </cell>
        </row>
        <row r="15">
          <cell r="A15" t="str">
            <v>香港</v>
          </cell>
          <cell r="B15">
            <v>118840</v>
          </cell>
          <cell r="C15">
            <v>82</v>
          </cell>
        </row>
        <row r="16">
          <cell r="A16" t="str">
            <v>荷蘭</v>
          </cell>
          <cell r="B16">
            <v>108571</v>
          </cell>
          <cell r="C16">
            <v>227</v>
          </cell>
        </row>
        <row r="17">
          <cell r="A17" t="str">
            <v>德國</v>
          </cell>
          <cell r="B17">
            <v>38887</v>
          </cell>
          <cell r="C17">
            <v>11</v>
          </cell>
        </row>
        <row r="18">
          <cell r="A18" t="str">
            <v>美國</v>
          </cell>
          <cell r="B18">
            <v>18138</v>
          </cell>
          <cell r="C18">
            <v>22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菲律賓</v>
          </cell>
          <cell r="B21">
            <v>244</v>
          </cell>
          <cell r="C21">
            <v>2</v>
          </cell>
        </row>
        <row r="22">
          <cell r="A22" t="str">
            <v>泰國</v>
          </cell>
          <cell r="B22">
            <v>91</v>
          </cell>
          <cell r="C22">
            <v>1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49383567</v>
          </cell>
          <cell r="D10">
            <v>753856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17927721</v>
          </cell>
          <cell r="D11">
            <v>402543</v>
          </cell>
          <cell r="E11">
            <v>0</v>
          </cell>
        </row>
        <row r="12">
          <cell r="A12">
            <v>87149620002</v>
          </cell>
          <cell r="B12" t="str">
            <v>曲柄齒輪及其零件</v>
          </cell>
          <cell r="C12">
            <v>12453379</v>
          </cell>
          <cell r="D12">
            <v>185649</v>
          </cell>
          <cell r="E12">
            <v>0</v>
          </cell>
        </row>
        <row r="13">
          <cell r="A13">
            <v>87149990111</v>
          </cell>
          <cell r="B13" t="str">
            <v>腳踏車用變速器</v>
          </cell>
          <cell r="C13">
            <v>10485858</v>
          </cell>
          <cell r="D13">
            <v>101150</v>
          </cell>
          <cell r="E13">
            <v>0</v>
          </cell>
        </row>
        <row r="14">
          <cell r="A14">
            <v>87149320906</v>
          </cell>
          <cell r="B14" t="str">
            <v>其他飛輪之鏈輪</v>
          </cell>
          <cell r="C14">
            <v>9636938</v>
          </cell>
          <cell r="D14">
            <v>197770</v>
          </cell>
          <cell r="E14">
            <v>0</v>
          </cell>
        </row>
        <row r="15">
          <cell r="A15">
            <v>87149200304</v>
          </cell>
          <cell r="B15" t="str">
            <v>輪圈及輪幅</v>
          </cell>
          <cell r="C15">
            <v>8660515</v>
          </cell>
          <cell r="D15">
            <v>64548</v>
          </cell>
          <cell r="E15">
            <v>80744</v>
          </cell>
        </row>
        <row r="16">
          <cell r="A16">
            <v>87149990157</v>
          </cell>
          <cell r="B16" t="str">
            <v>腳踏車用座管及上下管</v>
          </cell>
          <cell r="C16">
            <v>5593383</v>
          </cell>
          <cell r="D16">
            <v>116333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4991207</v>
          </cell>
          <cell r="D17">
            <v>205027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4228914</v>
          </cell>
          <cell r="D18">
            <v>105748</v>
          </cell>
          <cell r="E18">
            <v>0</v>
          </cell>
        </row>
        <row r="19">
          <cell r="A19">
            <v>87149310007</v>
          </cell>
          <cell r="B19" t="str">
            <v>輪轂，但倒煞車輪轂及輪轂煞車除外</v>
          </cell>
          <cell r="C19">
            <v>4036682</v>
          </cell>
          <cell r="D19">
            <v>56395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3959778</v>
          </cell>
          <cell r="D20">
            <v>99107</v>
          </cell>
          <cell r="E20">
            <v>173176</v>
          </cell>
        </row>
        <row r="21">
          <cell r="A21">
            <v>87149500007</v>
          </cell>
          <cell r="B21" t="str">
            <v>腳踏車車座</v>
          </cell>
          <cell r="C21">
            <v>3356961</v>
          </cell>
          <cell r="D21">
            <v>159964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1883811</v>
          </cell>
          <cell r="D22">
            <v>51487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916314</v>
          </cell>
          <cell r="D23">
            <v>69544</v>
          </cell>
          <cell r="E23">
            <v>13512943</v>
          </cell>
        </row>
        <row r="24">
          <cell r="A24">
            <v>87149410006</v>
          </cell>
          <cell r="B24" t="str">
            <v>鋼?煞車器及其零件</v>
          </cell>
          <cell r="C24">
            <v>311924</v>
          </cell>
          <cell r="D24">
            <v>12828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157156</v>
          </cell>
          <cell r="D25">
            <v>9227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64781</v>
          </cell>
          <cell r="D26">
            <v>1947</v>
          </cell>
          <cell r="E26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202273843</v>
          </cell>
          <cell r="D10">
            <v>3101961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73654128</v>
          </cell>
          <cell r="D11">
            <v>1753968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38668595</v>
          </cell>
          <cell r="D12">
            <v>278483</v>
          </cell>
          <cell r="E12">
            <v>347377</v>
          </cell>
        </row>
        <row r="13">
          <cell r="A13">
            <v>87149620002</v>
          </cell>
          <cell r="B13" t="str">
            <v>曲柄齒輪及其零件</v>
          </cell>
          <cell r="C13">
            <v>38425656</v>
          </cell>
          <cell r="D13">
            <v>706255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34073613</v>
          </cell>
          <cell r="D14">
            <v>361882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28491000</v>
          </cell>
          <cell r="D15">
            <v>746458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21284039</v>
          </cell>
          <cell r="D16">
            <v>464016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19304622</v>
          </cell>
          <cell r="D17">
            <v>242366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17666422</v>
          </cell>
          <cell r="D18">
            <v>743712</v>
          </cell>
          <cell r="E18">
            <v>0</v>
          </cell>
        </row>
        <row r="19">
          <cell r="A19">
            <v>87149990166</v>
          </cell>
          <cell r="B19" t="str">
            <v>腳踏車用把手</v>
          </cell>
          <cell r="C19">
            <v>17318989</v>
          </cell>
          <cell r="D19">
            <v>464800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16794495</v>
          </cell>
          <cell r="D20">
            <v>472759</v>
          </cell>
          <cell r="E20">
            <v>846287</v>
          </cell>
        </row>
        <row r="21">
          <cell r="A21">
            <v>87149500007</v>
          </cell>
          <cell r="B21" t="str">
            <v>腳踏車車座</v>
          </cell>
          <cell r="C21">
            <v>13441087</v>
          </cell>
          <cell r="D21">
            <v>636817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8450086</v>
          </cell>
          <cell r="D22">
            <v>243001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4368532</v>
          </cell>
          <cell r="D23">
            <v>339302</v>
          </cell>
          <cell r="E23">
            <v>51533966</v>
          </cell>
        </row>
        <row r="24">
          <cell r="A24">
            <v>87149410006</v>
          </cell>
          <cell r="B24" t="str">
            <v>鋼?煞車器及其零件</v>
          </cell>
          <cell r="C24">
            <v>974451</v>
          </cell>
          <cell r="D24">
            <v>42418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775486</v>
          </cell>
          <cell r="D25">
            <v>37449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400030</v>
          </cell>
          <cell r="D26">
            <v>11971</v>
          </cell>
          <cell r="E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27749770</v>
          </cell>
          <cell r="D10">
            <v>325931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7458363</v>
          </cell>
          <cell r="D11">
            <v>140424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6387540</v>
          </cell>
          <cell r="D12">
            <v>49364</v>
          </cell>
          <cell r="E12">
            <v>103565</v>
          </cell>
        </row>
        <row r="13">
          <cell r="A13">
            <v>87149620002</v>
          </cell>
          <cell r="B13" t="str">
            <v>曲柄齒輪及其零件</v>
          </cell>
          <cell r="C13">
            <v>3447425</v>
          </cell>
          <cell r="D13">
            <v>107248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3092646</v>
          </cell>
          <cell r="D14">
            <v>27850</v>
          </cell>
          <cell r="E14">
            <v>0</v>
          </cell>
        </row>
        <row r="15">
          <cell r="A15">
            <v>87149990166</v>
          </cell>
          <cell r="B15" t="str">
            <v>腳踏車用把手</v>
          </cell>
          <cell r="C15">
            <v>2379963</v>
          </cell>
          <cell r="D15">
            <v>24349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1908198</v>
          </cell>
          <cell r="D16">
            <v>28574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1861806</v>
          </cell>
          <cell r="D17">
            <v>40202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1247092</v>
          </cell>
          <cell r="D18">
            <v>21099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827902</v>
          </cell>
          <cell r="D19">
            <v>68103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785170</v>
          </cell>
          <cell r="D20">
            <v>7303</v>
          </cell>
          <cell r="E20">
            <v>1371747</v>
          </cell>
        </row>
        <row r="21">
          <cell r="A21">
            <v>87149990148</v>
          </cell>
          <cell r="B21" t="str">
            <v>腳踏車用把手豎管</v>
          </cell>
          <cell r="C21">
            <v>659191</v>
          </cell>
          <cell r="D21">
            <v>10229</v>
          </cell>
          <cell r="E21">
            <v>0</v>
          </cell>
        </row>
        <row r="22">
          <cell r="A22">
            <v>87149200304</v>
          </cell>
          <cell r="B22" t="str">
            <v>輪圈及輪幅</v>
          </cell>
          <cell r="C22">
            <v>597701</v>
          </cell>
          <cell r="D22">
            <v>7476</v>
          </cell>
          <cell r="E22">
            <v>222001</v>
          </cell>
        </row>
        <row r="23">
          <cell r="A23">
            <v>87149610004</v>
          </cell>
          <cell r="B23" t="str">
            <v>踏板及其零件</v>
          </cell>
          <cell r="C23">
            <v>218973</v>
          </cell>
          <cell r="D23">
            <v>19362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147818</v>
          </cell>
          <cell r="D24">
            <v>4019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92265</v>
          </cell>
          <cell r="D25">
            <v>2226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12794</v>
          </cell>
          <cell r="D26">
            <v>4191</v>
          </cell>
          <cell r="E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118624555</v>
          </cell>
          <cell r="D10">
            <v>1648412</v>
          </cell>
          <cell r="E10">
            <v>0</v>
          </cell>
        </row>
        <row r="11">
          <cell r="A11">
            <v>87149200108</v>
          </cell>
          <cell r="B11" t="str">
            <v>輪圈</v>
          </cell>
          <cell r="C11">
            <v>30714228</v>
          </cell>
          <cell r="D11">
            <v>260596</v>
          </cell>
          <cell r="E11">
            <v>531108</v>
          </cell>
        </row>
        <row r="12">
          <cell r="A12">
            <v>87149490009</v>
          </cell>
          <cell r="B12" t="str">
            <v>其他煞車器及其零件</v>
          </cell>
          <cell r="C12">
            <v>30506418</v>
          </cell>
          <cell r="D12">
            <v>637590</v>
          </cell>
          <cell r="E12">
            <v>0</v>
          </cell>
        </row>
        <row r="13">
          <cell r="A13">
            <v>87149620002</v>
          </cell>
          <cell r="B13" t="str">
            <v>曲柄齒輪及其零件</v>
          </cell>
          <cell r="C13">
            <v>13676670</v>
          </cell>
          <cell r="D13">
            <v>500722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11757430</v>
          </cell>
          <cell r="D14">
            <v>119658</v>
          </cell>
          <cell r="E14">
            <v>0</v>
          </cell>
        </row>
        <row r="15">
          <cell r="A15">
            <v>87149990166</v>
          </cell>
          <cell r="B15" t="str">
            <v>腳踏車用把手</v>
          </cell>
          <cell r="C15">
            <v>11312934</v>
          </cell>
          <cell r="D15">
            <v>134694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10126926</v>
          </cell>
          <cell r="D16">
            <v>200586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6766724</v>
          </cell>
          <cell r="D17">
            <v>155709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5562690</v>
          </cell>
          <cell r="D18">
            <v>123818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5325761</v>
          </cell>
          <cell r="D19">
            <v>45325</v>
          </cell>
          <cell r="E19">
            <v>9428220</v>
          </cell>
        </row>
        <row r="20">
          <cell r="A20">
            <v>87149500007</v>
          </cell>
          <cell r="B20" t="str">
            <v>腳踏車車座</v>
          </cell>
          <cell r="C20">
            <v>4124318</v>
          </cell>
          <cell r="D20">
            <v>290602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3415563</v>
          </cell>
          <cell r="D21">
            <v>35830</v>
          </cell>
          <cell r="E21">
            <v>1285437</v>
          </cell>
        </row>
        <row r="22">
          <cell r="A22">
            <v>87149990148</v>
          </cell>
          <cell r="B22" t="str">
            <v>腳踏車用把手豎管</v>
          </cell>
          <cell r="C22">
            <v>2443777</v>
          </cell>
          <cell r="D22">
            <v>50251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1324940</v>
          </cell>
          <cell r="D23">
            <v>97417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690789</v>
          </cell>
          <cell r="D24">
            <v>13112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181590</v>
          </cell>
          <cell r="D25">
            <v>4131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122919</v>
          </cell>
          <cell r="D26">
            <v>10529</v>
          </cell>
          <cell r="E26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288070880</v>
          </cell>
          <cell r="C10">
            <v>284765</v>
          </cell>
        </row>
        <row r="11">
          <cell r="A11" t="str">
            <v>美國</v>
          </cell>
          <cell r="B11">
            <v>88666158</v>
          </cell>
          <cell r="C11">
            <v>111704</v>
          </cell>
        </row>
        <row r="12">
          <cell r="A12" t="str">
            <v>荷蘭</v>
          </cell>
          <cell r="B12">
            <v>43588824</v>
          </cell>
          <cell r="C12">
            <v>30505</v>
          </cell>
        </row>
        <row r="13">
          <cell r="A13" t="str">
            <v>中國大陸</v>
          </cell>
          <cell r="B13">
            <v>24442096</v>
          </cell>
          <cell r="C13">
            <v>15463</v>
          </cell>
        </row>
        <row r="14">
          <cell r="A14" t="str">
            <v>英國</v>
          </cell>
          <cell r="B14">
            <v>16702871</v>
          </cell>
          <cell r="C14">
            <v>17325</v>
          </cell>
        </row>
        <row r="15">
          <cell r="A15" t="str">
            <v>比利時</v>
          </cell>
          <cell r="B15">
            <v>11938663</v>
          </cell>
          <cell r="C15">
            <v>8567</v>
          </cell>
        </row>
        <row r="16">
          <cell r="A16" t="str">
            <v>德國</v>
          </cell>
          <cell r="B16">
            <v>10833437</v>
          </cell>
          <cell r="C16">
            <v>14472</v>
          </cell>
        </row>
        <row r="17">
          <cell r="A17" t="str">
            <v>澳大利亞</v>
          </cell>
          <cell r="B17">
            <v>10664355</v>
          </cell>
          <cell r="C17">
            <v>13561</v>
          </cell>
        </row>
        <row r="18">
          <cell r="A18" t="str">
            <v>法國</v>
          </cell>
          <cell r="B18">
            <v>9435980</v>
          </cell>
          <cell r="C18">
            <v>5294</v>
          </cell>
        </row>
        <row r="19">
          <cell r="A19" t="str">
            <v>加拿大</v>
          </cell>
          <cell r="B19">
            <v>8166467</v>
          </cell>
          <cell r="C19">
            <v>6678</v>
          </cell>
        </row>
        <row r="20">
          <cell r="A20" t="str">
            <v>韓國</v>
          </cell>
          <cell r="B20">
            <v>7208045</v>
          </cell>
          <cell r="C20">
            <v>4326</v>
          </cell>
        </row>
        <row r="21">
          <cell r="A21" t="str">
            <v>西班牙</v>
          </cell>
          <cell r="B21">
            <v>7132888</v>
          </cell>
          <cell r="C21">
            <v>4281</v>
          </cell>
        </row>
        <row r="22">
          <cell r="A22" t="str">
            <v>義大利</v>
          </cell>
          <cell r="B22">
            <v>5323995</v>
          </cell>
          <cell r="C22">
            <v>3877</v>
          </cell>
        </row>
        <row r="23">
          <cell r="A23" t="str">
            <v>日本</v>
          </cell>
          <cell r="B23">
            <v>5148979</v>
          </cell>
          <cell r="C23">
            <v>6192</v>
          </cell>
        </row>
        <row r="24">
          <cell r="A24" t="str">
            <v>哥倫比亞</v>
          </cell>
          <cell r="B24">
            <v>3304520</v>
          </cell>
          <cell r="C24">
            <v>1837</v>
          </cell>
        </row>
        <row r="25">
          <cell r="A25" t="str">
            <v>墨西哥</v>
          </cell>
          <cell r="B25">
            <v>3281247</v>
          </cell>
          <cell r="C25">
            <v>2287</v>
          </cell>
        </row>
        <row r="26">
          <cell r="A26" t="str">
            <v>挪威</v>
          </cell>
          <cell r="B26">
            <v>3068287</v>
          </cell>
          <cell r="C26">
            <v>2734</v>
          </cell>
        </row>
        <row r="27">
          <cell r="A27" t="str">
            <v>瑞士</v>
          </cell>
          <cell r="B27">
            <v>2613903</v>
          </cell>
          <cell r="C27">
            <v>2403</v>
          </cell>
        </row>
        <row r="28">
          <cell r="A28" t="str">
            <v>波蘭</v>
          </cell>
          <cell r="B28">
            <v>2282948</v>
          </cell>
          <cell r="C28">
            <v>4142</v>
          </cell>
        </row>
        <row r="29">
          <cell r="A29" t="str">
            <v>南非</v>
          </cell>
          <cell r="B29">
            <v>2226651</v>
          </cell>
          <cell r="C29">
            <v>1060</v>
          </cell>
        </row>
        <row r="30">
          <cell r="A30" t="str">
            <v>巴拿馬</v>
          </cell>
          <cell r="B30">
            <v>2107207</v>
          </cell>
          <cell r="C30">
            <v>863</v>
          </cell>
        </row>
        <row r="31">
          <cell r="A31" t="str">
            <v>巴西</v>
          </cell>
          <cell r="B31">
            <v>2060729</v>
          </cell>
          <cell r="C31">
            <v>909</v>
          </cell>
        </row>
        <row r="32">
          <cell r="A32" t="str">
            <v>捷克</v>
          </cell>
          <cell r="B32">
            <v>2013450</v>
          </cell>
          <cell r="C32">
            <v>4135</v>
          </cell>
        </row>
        <row r="33">
          <cell r="A33" t="str">
            <v>紐西蘭</v>
          </cell>
          <cell r="B33">
            <v>1947995</v>
          </cell>
          <cell r="C33">
            <v>1873</v>
          </cell>
        </row>
        <row r="34">
          <cell r="A34" t="str">
            <v>阿根廷</v>
          </cell>
          <cell r="B34">
            <v>1377073</v>
          </cell>
          <cell r="C34">
            <v>833</v>
          </cell>
        </row>
        <row r="35">
          <cell r="A35" t="str">
            <v>智利</v>
          </cell>
          <cell r="B35">
            <v>1268010</v>
          </cell>
          <cell r="C35">
            <v>868</v>
          </cell>
        </row>
        <row r="36">
          <cell r="A36" t="str">
            <v>阿拉伯聯合大公國</v>
          </cell>
          <cell r="B36">
            <v>1072871</v>
          </cell>
          <cell r="C36">
            <v>1274</v>
          </cell>
        </row>
        <row r="37">
          <cell r="A37" t="str">
            <v>以色列</v>
          </cell>
          <cell r="B37">
            <v>960238</v>
          </cell>
          <cell r="C37">
            <v>1071</v>
          </cell>
        </row>
        <row r="38">
          <cell r="A38" t="str">
            <v>丹麥</v>
          </cell>
          <cell r="B38">
            <v>865629</v>
          </cell>
          <cell r="C38">
            <v>4420</v>
          </cell>
        </row>
        <row r="39">
          <cell r="A39" t="str">
            <v>新加坡</v>
          </cell>
          <cell r="B39">
            <v>724878</v>
          </cell>
          <cell r="C39">
            <v>447</v>
          </cell>
        </row>
        <row r="40">
          <cell r="A40" t="str">
            <v>菲律賓</v>
          </cell>
          <cell r="B40">
            <v>628327</v>
          </cell>
          <cell r="C40">
            <v>589</v>
          </cell>
        </row>
        <row r="41">
          <cell r="A41" t="str">
            <v>匈牙利</v>
          </cell>
          <cell r="B41">
            <v>598124</v>
          </cell>
          <cell r="C41">
            <v>1014</v>
          </cell>
        </row>
        <row r="42">
          <cell r="A42" t="str">
            <v>瑞典</v>
          </cell>
          <cell r="B42">
            <v>557121</v>
          </cell>
          <cell r="C42">
            <v>2330</v>
          </cell>
        </row>
        <row r="43">
          <cell r="A43" t="str">
            <v>哥斯大黎加</v>
          </cell>
          <cell r="B43">
            <v>546757</v>
          </cell>
          <cell r="C43">
            <v>405</v>
          </cell>
        </row>
        <row r="44">
          <cell r="A44" t="str">
            <v>瓜地馬拉</v>
          </cell>
          <cell r="B44">
            <v>527900</v>
          </cell>
          <cell r="C44">
            <v>342</v>
          </cell>
        </row>
        <row r="45">
          <cell r="A45" t="str">
            <v>泰國</v>
          </cell>
          <cell r="B45">
            <v>445439</v>
          </cell>
          <cell r="C45">
            <v>418</v>
          </cell>
        </row>
        <row r="46">
          <cell r="A46" t="str">
            <v>香港</v>
          </cell>
          <cell r="B46">
            <v>410835</v>
          </cell>
          <cell r="C46">
            <v>512</v>
          </cell>
        </row>
        <row r="47">
          <cell r="A47" t="str">
            <v>印度</v>
          </cell>
          <cell r="B47">
            <v>349225</v>
          </cell>
          <cell r="C47">
            <v>401</v>
          </cell>
        </row>
        <row r="48">
          <cell r="A48" t="str">
            <v>哈薩克</v>
          </cell>
          <cell r="B48">
            <v>348684</v>
          </cell>
          <cell r="C48">
            <v>403</v>
          </cell>
        </row>
        <row r="49">
          <cell r="A49" t="str">
            <v>俄羅斯</v>
          </cell>
          <cell r="B49">
            <v>331381</v>
          </cell>
          <cell r="C49">
            <v>741</v>
          </cell>
        </row>
        <row r="50">
          <cell r="A50" t="str">
            <v>愛爾蘭</v>
          </cell>
          <cell r="B50">
            <v>323664</v>
          </cell>
          <cell r="C50">
            <v>525</v>
          </cell>
        </row>
        <row r="51">
          <cell r="A51" t="str">
            <v>馬來西亞</v>
          </cell>
          <cell r="B51">
            <v>284364</v>
          </cell>
          <cell r="C51">
            <v>168</v>
          </cell>
        </row>
        <row r="52">
          <cell r="A52" t="str">
            <v>厄瓜多</v>
          </cell>
          <cell r="B52">
            <v>229783</v>
          </cell>
          <cell r="C52">
            <v>115</v>
          </cell>
        </row>
        <row r="53">
          <cell r="A53" t="str">
            <v>斯洛維尼亞</v>
          </cell>
          <cell r="B53">
            <v>214912</v>
          </cell>
          <cell r="C53">
            <v>113</v>
          </cell>
        </row>
        <row r="54">
          <cell r="A54" t="str">
            <v>烏拉圭</v>
          </cell>
          <cell r="B54">
            <v>202022</v>
          </cell>
          <cell r="C54">
            <v>100</v>
          </cell>
        </row>
        <row r="55">
          <cell r="A55" t="str">
            <v>愛沙尼亞</v>
          </cell>
          <cell r="B55">
            <v>187384</v>
          </cell>
          <cell r="C55">
            <v>382</v>
          </cell>
        </row>
        <row r="56">
          <cell r="A56" t="str">
            <v>拉脫維亞</v>
          </cell>
          <cell r="B56">
            <v>149383</v>
          </cell>
          <cell r="C56">
            <v>444</v>
          </cell>
        </row>
        <row r="57">
          <cell r="A57" t="str">
            <v>模里西斯</v>
          </cell>
          <cell r="B57">
            <v>142966</v>
          </cell>
          <cell r="C57">
            <v>82</v>
          </cell>
        </row>
        <row r="58">
          <cell r="A58" t="str">
            <v>立陶宛</v>
          </cell>
          <cell r="B58">
            <v>134206</v>
          </cell>
          <cell r="C58">
            <v>356</v>
          </cell>
        </row>
        <row r="59">
          <cell r="A59" t="str">
            <v>秘魯</v>
          </cell>
          <cell r="B59">
            <v>132184</v>
          </cell>
          <cell r="C59">
            <v>62</v>
          </cell>
        </row>
        <row r="60">
          <cell r="A60" t="str">
            <v>越南</v>
          </cell>
          <cell r="B60">
            <v>112289</v>
          </cell>
          <cell r="C60">
            <v>50</v>
          </cell>
        </row>
        <row r="61">
          <cell r="A61" t="str">
            <v>多明尼加</v>
          </cell>
          <cell r="B61">
            <v>105313</v>
          </cell>
          <cell r="C61">
            <v>71</v>
          </cell>
        </row>
        <row r="62">
          <cell r="A62" t="str">
            <v>關島</v>
          </cell>
          <cell r="B62">
            <v>100731</v>
          </cell>
          <cell r="C62">
            <v>44</v>
          </cell>
        </row>
        <row r="63">
          <cell r="A63" t="str">
            <v>冰島</v>
          </cell>
          <cell r="B63">
            <v>95318</v>
          </cell>
          <cell r="C63">
            <v>640</v>
          </cell>
        </row>
        <row r="64">
          <cell r="A64" t="str">
            <v>盧森堡</v>
          </cell>
          <cell r="B64">
            <v>80404</v>
          </cell>
          <cell r="C64">
            <v>30</v>
          </cell>
        </row>
        <row r="65">
          <cell r="A65" t="str">
            <v>克羅埃西亞</v>
          </cell>
          <cell r="B65">
            <v>67715</v>
          </cell>
          <cell r="C65">
            <v>256</v>
          </cell>
        </row>
        <row r="66">
          <cell r="A66" t="str">
            <v>沙烏地阿拉伯</v>
          </cell>
          <cell r="B66">
            <v>64296</v>
          </cell>
          <cell r="C66">
            <v>32</v>
          </cell>
        </row>
        <row r="67">
          <cell r="A67" t="str">
            <v>土耳其</v>
          </cell>
          <cell r="B67">
            <v>63728</v>
          </cell>
          <cell r="C67">
            <v>28</v>
          </cell>
        </row>
        <row r="68">
          <cell r="A68" t="str">
            <v>斯洛伐克</v>
          </cell>
          <cell r="B68">
            <v>57583</v>
          </cell>
          <cell r="C68">
            <v>245</v>
          </cell>
        </row>
        <row r="69">
          <cell r="A69" t="str">
            <v>黎巴嫩</v>
          </cell>
          <cell r="B69">
            <v>55731</v>
          </cell>
          <cell r="C69">
            <v>38</v>
          </cell>
        </row>
        <row r="70">
          <cell r="A70" t="str">
            <v>希臘</v>
          </cell>
          <cell r="B70">
            <v>30708</v>
          </cell>
          <cell r="C70">
            <v>9</v>
          </cell>
        </row>
        <row r="71">
          <cell r="A71" t="str">
            <v>奧地利</v>
          </cell>
          <cell r="B71">
            <v>17136</v>
          </cell>
          <cell r="C71">
            <v>5</v>
          </cell>
        </row>
        <row r="72">
          <cell r="A72" t="str">
            <v>印尼</v>
          </cell>
          <cell r="B72">
            <v>9725</v>
          </cell>
          <cell r="C72">
            <v>2</v>
          </cell>
        </row>
        <row r="73">
          <cell r="A73" t="str">
            <v>甘比亞</v>
          </cell>
          <cell r="B73">
            <v>7863</v>
          </cell>
          <cell r="C73">
            <v>182</v>
          </cell>
        </row>
        <row r="74">
          <cell r="A74" t="str">
            <v>馬爾他</v>
          </cell>
          <cell r="B74">
            <v>6719</v>
          </cell>
          <cell r="C74">
            <v>2</v>
          </cell>
        </row>
        <row r="75">
          <cell r="A75" t="str">
            <v>尼泊爾</v>
          </cell>
          <cell r="B75">
            <v>6494</v>
          </cell>
          <cell r="C75">
            <v>5</v>
          </cell>
        </row>
        <row r="76">
          <cell r="A76" t="str">
            <v>保加利亞</v>
          </cell>
          <cell r="B76">
            <v>4556</v>
          </cell>
          <cell r="C76">
            <v>40</v>
          </cell>
        </row>
        <row r="77">
          <cell r="A77" t="str">
            <v>薩爾瓦多</v>
          </cell>
          <cell r="B77">
            <v>4078</v>
          </cell>
          <cell r="C77">
            <v>3</v>
          </cell>
        </row>
        <row r="78">
          <cell r="A78" t="str">
            <v>波多黎各</v>
          </cell>
          <cell r="B78">
            <v>3877</v>
          </cell>
          <cell r="C78">
            <v>1</v>
          </cell>
        </row>
        <row r="79">
          <cell r="A79" t="str">
            <v>蒙古</v>
          </cell>
          <cell r="B79">
            <v>2952</v>
          </cell>
          <cell r="C79">
            <v>1</v>
          </cell>
        </row>
        <row r="80">
          <cell r="A80" t="str">
            <v>奈及利亞</v>
          </cell>
          <cell r="B80">
            <v>183</v>
          </cell>
          <cell r="C80">
            <v>110</v>
          </cell>
        </row>
        <row r="81">
          <cell r="A81" t="str">
            <v>坦尚尼亞</v>
          </cell>
          <cell r="B81">
            <v>91</v>
          </cell>
          <cell r="C81">
            <v>5</v>
          </cell>
        </row>
        <row r="82">
          <cell r="A82" t="str">
            <v>迦納</v>
          </cell>
          <cell r="B82">
            <v>91</v>
          </cell>
          <cell r="C82">
            <v>10</v>
          </cell>
        </row>
        <row r="83">
          <cell r="A83" t="str">
            <v>幾內亞</v>
          </cell>
          <cell r="B83">
            <v>61</v>
          </cell>
          <cell r="C83">
            <v>50</v>
          </cell>
        </row>
        <row r="84">
          <cell r="A84" t="str">
            <v>肯亞</v>
          </cell>
          <cell r="B84">
            <v>61</v>
          </cell>
          <cell r="C84">
            <v>1</v>
          </cell>
        </row>
        <row r="85">
          <cell r="A85" t="str">
            <v>柬埔寨</v>
          </cell>
          <cell r="B85">
            <v>61</v>
          </cell>
          <cell r="C85">
            <v>1</v>
          </cell>
        </row>
        <row r="86">
          <cell r="A86" t="str">
            <v>約旦</v>
          </cell>
          <cell r="B86">
            <v>61</v>
          </cell>
          <cell r="C86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2405431</v>
          </cell>
          <cell r="C10">
            <v>17588</v>
          </cell>
        </row>
        <row r="11">
          <cell r="A11" t="str">
            <v>中國大陸</v>
          </cell>
          <cell r="B11">
            <v>1837823</v>
          </cell>
          <cell r="C11">
            <v>16949</v>
          </cell>
        </row>
        <row r="12">
          <cell r="A12" t="str">
            <v>越南</v>
          </cell>
          <cell r="B12">
            <v>344396</v>
          </cell>
          <cell r="C12">
            <v>470</v>
          </cell>
        </row>
        <row r="13">
          <cell r="A13" t="str">
            <v>德國</v>
          </cell>
          <cell r="B13">
            <v>82746</v>
          </cell>
          <cell r="C13">
            <v>15</v>
          </cell>
        </row>
        <row r="14">
          <cell r="A14" t="str">
            <v>英國</v>
          </cell>
          <cell r="B14">
            <v>78676</v>
          </cell>
          <cell r="C14">
            <v>63</v>
          </cell>
        </row>
        <row r="15">
          <cell r="A15" t="str">
            <v>柬埔寨</v>
          </cell>
          <cell r="B15">
            <v>28077</v>
          </cell>
          <cell r="C15">
            <v>75</v>
          </cell>
        </row>
        <row r="16">
          <cell r="A16" t="str">
            <v>義大利</v>
          </cell>
          <cell r="B16">
            <v>24007</v>
          </cell>
          <cell r="C16">
            <v>4</v>
          </cell>
        </row>
        <row r="17">
          <cell r="A17" t="str">
            <v>中華民國</v>
          </cell>
          <cell r="B17">
            <v>8918</v>
          </cell>
          <cell r="C17">
            <v>4</v>
          </cell>
        </row>
        <row r="18">
          <cell r="A18" t="str">
            <v>日本</v>
          </cell>
          <cell r="B18">
            <v>368</v>
          </cell>
          <cell r="C18">
            <v>5</v>
          </cell>
        </row>
        <row r="19">
          <cell r="A19" t="str">
            <v>瑞典</v>
          </cell>
          <cell r="B19">
            <v>162</v>
          </cell>
          <cell r="C19">
            <v>1</v>
          </cell>
        </row>
        <row r="20">
          <cell r="A20" t="str">
            <v>美國</v>
          </cell>
          <cell r="B20">
            <v>129</v>
          </cell>
          <cell r="C20">
            <v>1</v>
          </cell>
        </row>
        <row r="21">
          <cell r="A21" t="str">
            <v>法國</v>
          </cell>
          <cell r="B21">
            <v>129</v>
          </cell>
          <cell r="C21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12365483</v>
          </cell>
          <cell r="C10">
            <v>81167</v>
          </cell>
        </row>
        <row r="11">
          <cell r="A11" t="str">
            <v>中國大陸</v>
          </cell>
          <cell r="B11">
            <v>9716558</v>
          </cell>
          <cell r="C11">
            <v>78254</v>
          </cell>
        </row>
        <row r="12">
          <cell r="A12" t="str">
            <v>越南</v>
          </cell>
          <cell r="B12">
            <v>1031459</v>
          </cell>
          <cell r="C12">
            <v>1345</v>
          </cell>
        </row>
        <row r="13">
          <cell r="A13" t="str">
            <v>英國</v>
          </cell>
          <cell r="B13">
            <v>442859</v>
          </cell>
          <cell r="C13">
            <v>291</v>
          </cell>
        </row>
        <row r="14">
          <cell r="A14" t="str">
            <v>柬埔寨</v>
          </cell>
          <cell r="B14">
            <v>401941</v>
          </cell>
          <cell r="C14">
            <v>638</v>
          </cell>
        </row>
        <row r="15">
          <cell r="A15" t="str">
            <v>義大利</v>
          </cell>
          <cell r="B15">
            <v>283237</v>
          </cell>
          <cell r="C15">
            <v>58</v>
          </cell>
        </row>
        <row r="16">
          <cell r="A16" t="str">
            <v>中華民國</v>
          </cell>
          <cell r="B16">
            <v>169148</v>
          </cell>
          <cell r="C16">
            <v>82</v>
          </cell>
        </row>
        <row r="17">
          <cell r="A17" t="str">
            <v>德國</v>
          </cell>
          <cell r="B17">
            <v>157815</v>
          </cell>
          <cell r="C17">
            <v>31</v>
          </cell>
        </row>
        <row r="18">
          <cell r="A18" t="str">
            <v>澳大利亞</v>
          </cell>
          <cell r="B18">
            <v>52982</v>
          </cell>
          <cell r="C18">
            <v>3</v>
          </cell>
        </row>
        <row r="19">
          <cell r="A19" t="str">
            <v>孟加拉</v>
          </cell>
          <cell r="B19">
            <v>39736</v>
          </cell>
          <cell r="C19">
            <v>381</v>
          </cell>
        </row>
        <row r="20">
          <cell r="A20" t="str">
            <v>美國</v>
          </cell>
          <cell r="B20">
            <v>17505</v>
          </cell>
          <cell r="C20">
            <v>11</v>
          </cell>
        </row>
        <row r="21">
          <cell r="A21" t="str">
            <v>西班牙</v>
          </cell>
          <cell r="B21">
            <v>17119</v>
          </cell>
          <cell r="C21">
            <v>11</v>
          </cell>
        </row>
        <row r="22">
          <cell r="A22" t="str">
            <v>加拿大</v>
          </cell>
          <cell r="B22">
            <v>9278</v>
          </cell>
          <cell r="C22">
            <v>2</v>
          </cell>
        </row>
        <row r="23">
          <cell r="A23" t="str">
            <v>印尼</v>
          </cell>
          <cell r="B23">
            <v>8947</v>
          </cell>
          <cell r="C23">
            <v>9</v>
          </cell>
        </row>
        <row r="24">
          <cell r="A24" t="str">
            <v>法國</v>
          </cell>
          <cell r="B24">
            <v>7980</v>
          </cell>
          <cell r="C24">
            <v>5</v>
          </cell>
        </row>
        <row r="25">
          <cell r="A25" t="str">
            <v>丹麥</v>
          </cell>
          <cell r="B25">
            <v>4565</v>
          </cell>
          <cell r="C25">
            <v>2</v>
          </cell>
        </row>
        <row r="26">
          <cell r="A26" t="str">
            <v>日本</v>
          </cell>
          <cell r="B26">
            <v>3581</v>
          </cell>
          <cell r="C26">
            <v>38</v>
          </cell>
        </row>
        <row r="27">
          <cell r="A27" t="str">
            <v>喬治亞</v>
          </cell>
          <cell r="B27">
            <v>519</v>
          </cell>
          <cell r="C27">
            <v>4</v>
          </cell>
        </row>
        <row r="28">
          <cell r="A28" t="str">
            <v>瑞典</v>
          </cell>
          <cell r="B28">
            <v>162</v>
          </cell>
          <cell r="C28">
            <v>1</v>
          </cell>
        </row>
        <row r="29">
          <cell r="A29" t="str">
            <v>韓國</v>
          </cell>
          <cell r="B29">
            <v>92</v>
          </cell>
          <cell r="C29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49517602</v>
          </cell>
          <cell r="C10">
            <v>25793</v>
          </cell>
        </row>
        <row r="11">
          <cell r="A11" t="str">
            <v>荷蘭</v>
          </cell>
          <cell r="B11">
            <v>16532374</v>
          </cell>
          <cell r="C11">
            <v>8940</v>
          </cell>
        </row>
        <row r="12">
          <cell r="A12" t="str">
            <v>美國</v>
          </cell>
          <cell r="B12">
            <v>16113247</v>
          </cell>
          <cell r="C12">
            <v>7684</v>
          </cell>
        </row>
        <row r="13">
          <cell r="A13" t="str">
            <v>德國</v>
          </cell>
          <cell r="B13">
            <v>4921323</v>
          </cell>
          <cell r="C13">
            <v>3230</v>
          </cell>
        </row>
        <row r="14">
          <cell r="A14" t="str">
            <v>英國</v>
          </cell>
          <cell r="B14">
            <v>3119514</v>
          </cell>
          <cell r="C14">
            <v>1603</v>
          </cell>
        </row>
        <row r="15">
          <cell r="A15" t="str">
            <v>西班牙</v>
          </cell>
          <cell r="B15">
            <v>1493571</v>
          </cell>
          <cell r="C15">
            <v>702</v>
          </cell>
        </row>
        <row r="16">
          <cell r="A16" t="str">
            <v>加拿大</v>
          </cell>
          <cell r="B16">
            <v>1127948</v>
          </cell>
          <cell r="C16">
            <v>554</v>
          </cell>
        </row>
        <row r="17">
          <cell r="A17" t="str">
            <v>墨西哥</v>
          </cell>
          <cell r="B17">
            <v>656769</v>
          </cell>
          <cell r="C17">
            <v>248</v>
          </cell>
        </row>
        <row r="18">
          <cell r="A18" t="str">
            <v>法國</v>
          </cell>
          <cell r="B18">
            <v>649725</v>
          </cell>
          <cell r="C18">
            <v>368</v>
          </cell>
        </row>
        <row r="19">
          <cell r="A19" t="str">
            <v>義大利</v>
          </cell>
          <cell r="B19">
            <v>556704</v>
          </cell>
          <cell r="C19">
            <v>268</v>
          </cell>
        </row>
        <row r="20">
          <cell r="A20" t="str">
            <v>紐西蘭</v>
          </cell>
          <cell r="B20">
            <v>512342</v>
          </cell>
          <cell r="C20">
            <v>221</v>
          </cell>
        </row>
        <row r="21">
          <cell r="A21" t="str">
            <v>挪威</v>
          </cell>
          <cell r="B21">
            <v>469661</v>
          </cell>
          <cell r="C21">
            <v>199</v>
          </cell>
        </row>
        <row r="22">
          <cell r="A22" t="str">
            <v>芬蘭</v>
          </cell>
          <cell r="B22">
            <v>456995</v>
          </cell>
          <cell r="C22">
            <v>200</v>
          </cell>
        </row>
        <row r="23">
          <cell r="A23" t="str">
            <v>澳大利亞</v>
          </cell>
          <cell r="B23">
            <v>438385</v>
          </cell>
          <cell r="C23">
            <v>184</v>
          </cell>
        </row>
        <row r="24">
          <cell r="A24" t="str">
            <v>智利</v>
          </cell>
          <cell r="B24">
            <v>400065</v>
          </cell>
          <cell r="C24">
            <v>150</v>
          </cell>
        </row>
        <row r="25">
          <cell r="A25" t="str">
            <v>哥倫比亞</v>
          </cell>
          <cell r="B25">
            <v>390985</v>
          </cell>
          <cell r="C25">
            <v>141</v>
          </cell>
        </row>
        <row r="26">
          <cell r="A26" t="str">
            <v>波蘭</v>
          </cell>
          <cell r="B26">
            <v>343328</v>
          </cell>
          <cell r="C26">
            <v>144</v>
          </cell>
        </row>
        <row r="27">
          <cell r="A27" t="str">
            <v>南非</v>
          </cell>
          <cell r="B27">
            <v>249854</v>
          </cell>
          <cell r="C27">
            <v>101</v>
          </cell>
        </row>
        <row r="28">
          <cell r="A28" t="str">
            <v>捷克</v>
          </cell>
          <cell r="B28">
            <v>248658</v>
          </cell>
          <cell r="C28">
            <v>342</v>
          </cell>
        </row>
        <row r="29">
          <cell r="A29" t="str">
            <v>巴拿馬</v>
          </cell>
          <cell r="B29">
            <v>220388</v>
          </cell>
          <cell r="C29">
            <v>85</v>
          </cell>
        </row>
        <row r="30">
          <cell r="A30" t="str">
            <v>瑞士</v>
          </cell>
          <cell r="B30">
            <v>212212</v>
          </cell>
          <cell r="C30">
            <v>81</v>
          </cell>
        </row>
        <row r="31">
          <cell r="A31" t="str">
            <v>日本</v>
          </cell>
          <cell r="B31">
            <v>207044</v>
          </cell>
          <cell r="C31">
            <v>200</v>
          </cell>
        </row>
        <row r="32">
          <cell r="A32" t="str">
            <v>馬來西亞</v>
          </cell>
          <cell r="B32">
            <v>67107</v>
          </cell>
          <cell r="C32">
            <v>18</v>
          </cell>
        </row>
        <row r="33">
          <cell r="A33" t="str">
            <v>巴西</v>
          </cell>
          <cell r="B33">
            <v>52536</v>
          </cell>
          <cell r="C33">
            <v>16</v>
          </cell>
        </row>
        <row r="34">
          <cell r="A34" t="str">
            <v>新加坡</v>
          </cell>
          <cell r="B34">
            <v>39483</v>
          </cell>
          <cell r="C34">
            <v>100</v>
          </cell>
        </row>
        <row r="35">
          <cell r="A35" t="str">
            <v>以色列</v>
          </cell>
          <cell r="B35">
            <v>15283</v>
          </cell>
          <cell r="C35">
            <v>4</v>
          </cell>
        </row>
        <row r="36">
          <cell r="A36" t="str">
            <v>香港</v>
          </cell>
          <cell r="B36">
            <v>7916</v>
          </cell>
          <cell r="C36">
            <v>3</v>
          </cell>
        </row>
        <row r="37">
          <cell r="A37" t="str">
            <v>菲律賓</v>
          </cell>
          <cell r="B37">
            <v>6753</v>
          </cell>
          <cell r="C37">
            <v>3</v>
          </cell>
        </row>
        <row r="38">
          <cell r="A38" t="str">
            <v>中國大陸</v>
          </cell>
          <cell r="B38">
            <v>2908</v>
          </cell>
          <cell r="C38">
            <v>1</v>
          </cell>
        </row>
        <row r="39">
          <cell r="A39" t="str">
            <v>丹麥</v>
          </cell>
          <cell r="B39">
            <v>1971</v>
          </cell>
          <cell r="C39">
            <v>1</v>
          </cell>
        </row>
        <row r="40">
          <cell r="A40" t="str">
            <v>越南</v>
          </cell>
          <cell r="B40">
            <v>1648</v>
          </cell>
          <cell r="C40">
            <v>1</v>
          </cell>
        </row>
        <row r="41">
          <cell r="A41" t="str">
            <v>泰國</v>
          </cell>
          <cell r="B41">
            <v>905</v>
          </cell>
          <cell r="C41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286423611</v>
          </cell>
          <cell r="C10">
            <v>142876</v>
          </cell>
        </row>
        <row r="11">
          <cell r="A11" t="str">
            <v>荷蘭</v>
          </cell>
          <cell r="B11">
            <v>94777593</v>
          </cell>
          <cell r="C11">
            <v>48703</v>
          </cell>
        </row>
        <row r="12">
          <cell r="A12" t="str">
            <v>美國</v>
          </cell>
          <cell r="B12">
            <v>92174898</v>
          </cell>
          <cell r="C12">
            <v>41371</v>
          </cell>
        </row>
        <row r="13">
          <cell r="A13" t="str">
            <v>德國</v>
          </cell>
          <cell r="B13">
            <v>22463870</v>
          </cell>
          <cell r="C13">
            <v>15454</v>
          </cell>
        </row>
        <row r="14">
          <cell r="A14" t="str">
            <v>英國</v>
          </cell>
          <cell r="B14">
            <v>14329853</v>
          </cell>
          <cell r="C14">
            <v>7254</v>
          </cell>
        </row>
        <row r="15">
          <cell r="A15" t="str">
            <v>義大利</v>
          </cell>
          <cell r="B15">
            <v>9224893</v>
          </cell>
          <cell r="C15">
            <v>3611</v>
          </cell>
        </row>
        <row r="16">
          <cell r="A16" t="str">
            <v>西班牙</v>
          </cell>
          <cell r="B16">
            <v>8737930</v>
          </cell>
          <cell r="C16">
            <v>3806</v>
          </cell>
        </row>
        <row r="17">
          <cell r="A17" t="str">
            <v>加拿大</v>
          </cell>
          <cell r="B17">
            <v>6558601</v>
          </cell>
          <cell r="C17">
            <v>3028</v>
          </cell>
        </row>
        <row r="18">
          <cell r="A18" t="str">
            <v>澳大利亞</v>
          </cell>
          <cell r="B18">
            <v>5903585</v>
          </cell>
          <cell r="C18">
            <v>2551</v>
          </cell>
        </row>
        <row r="19">
          <cell r="A19" t="str">
            <v>法國</v>
          </cell>
          <cell r="B19">
            <v>4406085</v>
          </cell>
          <cell r="C19">
            <v>3188</v>
          </cell>
        </row>
        <row r="20">
          <cell r="A20" t="str">
            <v>紐西蘭</v>
          </cell>
          <cell r="B20">
            <v>3619926</v>
          </cell>
          <cell r="C20">
            <v>1490</v>
          </cell>
        </row>
        <row r="21">
          <cell r="A21" t="str">
            <v>南非</v>
          </cell>
          <cell r="B21">
            <v>2840440</v>
          </cell>
          <cell r="C21">
            <v>1012</v>
          </cell>
        </row>
        <row r="22">
          <cell r="A22" t="str">
            <v>瑞士</v>
          </cell>
          <cell r="B22">
            <v>2615268</v>
          </cell>
          <cell r="C22">
            <v>1154</v>
          </cell>
        </row>
        <row r="23">
          <cell r="A23" t="str">
            <v>墨西哥</v>
          </cell>
          <cell r="B23">
            <v>2604645</v>
          </cell>
          <cell r="C23">
            <v>850</v>
          </cell>
        </row>
        <row r="24">
          <cell r="A24" t="str">
            <v>巴拿馬</v>
          </cell>
          <cell r="B24">
            <v>1982073</v>
          </cell>
          <cell r="C24">
            <v>635</v>
          </cell>
        </row>
        <row r="25">
          <cell r="A25" t="str">
            <v>挪威</v>
          </cell>
          <cell r="B25">
            <v>1957037</v>
          </cell>
          <cell r="C25">
            <v>1011</v>
          </cell>
        </row>
        <row r="26">
          <cell r="A26" t="str">
            <v>智利</v>
          </cell>
          <cell r="B26">
            <v>1571375</v>
          </cell>
          <cell r="C26">
            <v>490</v>
          </cell>
        </row>
        <row r="27">
          <cell r="A27" t="str">
            <v>日本</v>
          </cell>
          <cell r="B27">
            <v>1381039</v>
          </cell>
          <cell r="C27">
            <v>1506</v>
          </cell>
        </row>
        <row r="28">
          <cell r="A28" t="str">
            <v>哥倫比亞</v>
          </cell>
          <cell r="B28">
            <v>1190974</v>
          </cell>
          <cell r="C28">
            <v>415</v>
          </cell>
        </row>
        <row r="29">
          <cell r="A29" t="str">
            <v>比利時</v>
          </cell>
          <cell r="B29">
            <v>996904</v>
          </cell>
          <cell r="C29">
            <v>457</v>
          </cell>
        </row>
        <row r="30">
          <cell r="A30" t="str">
            <v>瑞典</v>
          </cell>
          <cell r="B30">
            <v>864024</v>
          </cell>
          <cell r="C30">
            <v>2170</v>
          </cell>
        </row>
        <row r="31">
          <cell r="A31" t="str">
            <v>波蘭</v>
          </cell>
          <cell r="B31">
            <v>817135</v>
          </cell>
          <cell r="C31">
            <v>367</v>
          </cell>
        </row>
        <row r="32">
          <cell r="A32" t="str">
            <v>阿根廷</v>
          </cell>
          <cell r="B32">
            <v>783614</v>
          </cell>
          <cell r="C32">
            <v>247</v>
          </cell>
        </row>
        <row r="33">
          <cell r="A33" t="str">
            <v>丹麥</v>
          </cell>
          <cell r="B33">
            <v>693899</v>
          </cell>
          <cell r="C33">
            <v>363</v>
          </cell>
        </row>
        <row r="34">
          <cell r="A34" t="str">
            <v>捷克</v>
          </cell>
          <cell r="B34">
            <v>637356</v>
          </cell>
          <cell r="C34">
            <v>494</v>
          </cell>
        </row>
        <row r="35">
          <cell r="A35" t="str">
            <v>以色列</v>
          </cell>
          <cell r="B35">
            <v>556498</v>
          </cell>
          <cell r="C35">
            <v>237</v>
          </cell>
        </row>
        <row r="36">
          <cell r="A36" t="str">
            <v>芬蘭</v>
          </cell>
          <cell r="B36">
            <v>456995</v>
          </cell>
          <cell r="C36">
            <v>200</v>
          </cell>
        </row>
        <row r="37">
          <cell r="A37" t="str">
            <v>中國大陸</v>
          </cell>
          <cell r="B37">
            <v>339530</v>
          </cell>
          <cell r="C37">
            <v>119</v>
          </cell>
        </row>
        <row r="38">
          <cell r="A38" t="str">
            <v>馬來西亞</v>
          </cell>
          <cell r="B38">
            <v>315155</v>
          </cell>
          <cell r="C38">
            <v>80</v>
          </cell>
        </row>
        <row r="39">
          <cell r="A39" t="str">
            <v>巴西</v>
          </cell>
          <cell r="B39">
            <v>260015</v>
          </cell>
          <cell r="C39">
            <v>67</v>
          </cell>
        </row>
        <row r="40">
          <cell r="A40" t="str">
            <v>哥斯大黎加</v>
          </cell>
          <cell r="B40">
            <v>232164</v>
          </cell>
          <cell r="C40">
            <v>47</v>
          </cell>
        </row>
        <row r="41">
          <cell r="A41" t="str">
            <v>韓國</v>
          </cell>
          <cell r="B41">
            <v>231997</v>
          </cell>
          <cell r="C41">
            <v>64</v>
          </cell>
        </row>
        <row r="42">
          <cell r="A42" t="str">
            <v>匈牙利</v>
          </cell>
          <cell r="B42">
            <v>162191</v>
          </cell>
          <cell r="C42">
            <v>95</v>
          </cell>
        </row>
        <row r="43">
          <cell r="A43" t="str">
            <v>秘魯</v>
          </cell>
          <cell r="B43">
            <v>159126</v>
          </cell>
          <cell r="C43">
            <v>51</v>
          </cell>
        </row>
        <row r="44">
          <cell r="A44" t="str">
            <v>多明尼加</v>
          </cell>
          <cell r="B44">
            <v>138857</v>
          </cell>
          <cell r="C44">
            <v>43</v>
          </cell>
        </row>
        <row r="45">
          <cell r="A45" t="str">
            <v>厄瓜多</v>
          </cell>
          <cell r="B45">
            <v>116190</v>
          </cell>
          <cell r="C45">
            <v>23</v>
          </cell>
        </row>
        <row r="46">
          <cell r="A46" t="str">
            <v>阿拉伯聯合大公國</v>
          </cell>
          <cell r="B46">
            <v>67440</v>
          </cell>
          <cell r="C46">
            <v>19</v>
          </cell>
        </row>
        <row r="47">
          <cell r="A47" t="str">
            <v>瓜地馬拉</v>
          </cell>
          <cell r="B47">
            <v>57099</v>
          </cell>
          <cell r="C47">
            <v>20</v>
          </cell>
        </row>
        <row r="48">
          <cell r="A48" t="str">
            <v>模里西斯</v>
          </cell>
          <cell r="B48">
            <v>54900</v>
          </cell>
          <cell r="C48">
            <v>24</v>
          </cell>
        </row>
        <row r="49">
          <cell r="A49" t="str">
            <v>新加坡</v>
          </cell>
          <cell r="B49">
            <v>42313</v>
          </cell>
          <cell r="C49">
            <v>105</v>
          </cell>
        </row>
        <row r="50">
          <cell r="A50" t="str">
            <v>尼泊爾</v>
          </cell>
          <cell r="B50">
            <v>42203</v>
          </cell>
          <cell r="C50">
            <v>16</v>
          </cell>
        </row>
        <row r="51">
          <cell r="A51" t="str">
            <v>香港</v>
          </cell>
          <cell r="B51">
            <v>20084</v>
          </cell>
          <cell r="C51">
            <v>21</v>
          </cell>
        </row>
        <row r="52">
          <cell r="A52" t="str">
            <v>菲律賓</v>
          </cell>
          <cell r="B52">
            <v>11595</v>
          </cell>
          <cell r="C52">
            <v>11</v>
          </cell>
        </row>
        <row r="53">
          <cell r="A53" t="str">
            <v>巴林</v>
          </cell>
          <cell r="B53">
            <v>9460</v>
          </cell>
          <cell r="C53">
            <v>2</v>
          </cell>
        </row>
        <row r="54">
          <cell r="A54" t="str">
            <v>奧地利</v>
          </cell>
          <cell r="B54">
            <v>9395</v>
          </cell>
          <cell r="C54">
            <v>2</v>
          </cell>
        </row>
        <row r="55">
          <cell r="A55" t="str">
            <v>摩洛哥</v>
          </cell>
          <cell r="B55">
            <v>4834</v>
          </cell>
          <cell r="C55">
            <v>1</v>
          </cell>
        </row>
        <row r="56">
          <cell r="A56" t="str">
            <v>越南</v>
          </cell>
          <cell r="B56">
            <v>1648</v>
          </cell>
          <cell r="C56">
            <v>1</v>
          </cell>
        </row>
        <row r="57">
          <cell r="A57" t="str">
            <v>泰國</v>
          </cell>
          <cell r="B57">
            <v>905</v>
          </cell>
          <cell r="C5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486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73" t="s">
        <v>103</v>
      </c>
      <c r="B3" s="574"/>
      <c r="C3" s="574"/>
      <c r="D3" s="574"/>
      <c r="E3" s="574"/>
      <c r="F3" s="574"/>
      <c r="G3" s="574"/>
      <c r="H3" s="574"/>
      <c r="I3" s="575"/>
    </row>
    <row r="4" spans="1:9" s="13" customFormat="1">
      <c r="A4" s="513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24107</v>
      </c>
      <c r="C7" s="22">
        <f>SUM(C8:C10)</f>
        <v>26954476</v>
      </c>
      <c r="D7" s="23">
        <f>IF(B7,C7/B7,0)</f>
        <v>1118.1182229228025</v>
      </c>
      <c r="E7" s="204">
        <f>SUM(E8:E10)</f>
        <v>120669</v>
      </c>
      <c r="F7" s="24">
        <f>E7/$E$67</f>
        <v>0.42374940740610678</v>
      </c>
      <c r="G7" s="21">
        <f>SUM(G8:G10)</f>
        <v>100113872</v>
      </c>
      <c r="H7" s="24">
        <f>G7/$G$67</f>
        <v>0.34753207960485283</v>
      </c>
      <c r="I7" s="25">
        <f>IF(E7,G7/E7,0)</f>
        <v>829.65692928589783</v>
      </c>
    </row>
    <row r="8" spans="1:9">
      <c r="A8" s="430" t="s">
        <v>195</v>
      </c>
      <c r="B8" s="27">
        <f>VLOOKUP(A8,[1]進出口值表查詢結果!$A$10:$C$60,3,0)</f>
        <v>22036</v>
      </c>
      <c r="C8" s="28">
        <f>VLOOKUP(A8,[1]進出口值表查詢結果!$A$10:$C$60,2,0)</f>
        <v>23992505</v>
      </c>
      <c r="D8" s="23">
        <f t="shared" ref="D8:D66" si="0">IF(B8,C8/B8,0)</f>
        <v>1088.7867580323107</v>
      </c>
      <c r="E8" s="28">
        <f>VLOOKUP(A8,[2]進出口值表查詢結果!$A$10:$C$86,3,0)</f>
        <v>111704</v>
      </c>
      <c r="F8" s="29">
        <f>E8/$E$67</f>
        <v>0.39226730813126615</v>
      </c>
      <c r="G8" s="27">
        <f>VLOOKUP(A8,[2]進出口值表查詢結果!$A$10:$C$86,2,0)</f>
        <v>88666158</v>
      </c>
      <c r="H8" s="24">
        <f>G8/$G$67</f>
        <v>0.30779285292564107</v>
      </c>
      <c r="I8" s="25">
        <f t="shared" ref="I8:I66" si="1">IF(E8,G8/E8,0)</f>
        <v>793.75991907183266</v>
      </c>
    </row>
    <row r="9" spans="1:9">
      <c r="A9" s="431" t="s">
        <v>6</v>
      </c>
      <c r="B9" s="27">
        <f>VLOOKUP(A9,[1]進出口值表查詢結果!$A$10:$C$60,3,0)</f>
        <v>1548</v>
      </c>
      <c r="C9" s="28">
        <f>VLOOKUP(A9,[1]進出口值表查詢結果!$A$10:$C$60,2,0)</f>
        <v>1994701</v>
      </c>
      <c r="D9" s="23">
        <f t="shared" si="0"/>
        <v>1288.5665374677003</v>
      </c>
      <c r="E9" s="28">
        <f>VLOOKUP(A9,[2]進出口值表查詢結果!$A$10:$C$86,3,0)</f>
        <v>6678</v>
      </c>
      <c r="F9" s="29">
        <f>E9/$E$67</f>
        <v>2.3450915667304621E-2</v>
      </c>
      <c r="G9" s="27">
        <f>VLOOKUP(A9,[2]進出口值表查詢結果!$A$10:$C$86,2,0)</f>
        <v>8166467</v>
      </c>
      <c r="H9" s="24">
        <f>G9/$G$67</f>
        <v>2.8348811237012224E-2</v>
      </c>
      <c r="I9" s="25">
        <f t="shared" si="1"/>
        <v>1222.8911350703804</v>
      </c>
    </row>
    <row r="10" spans="1:9">
      <c r="A10" s="431" t="s">
        <v>7</v>
      </c>
      <c r="B10" s="27">
        <f>VLOOKUP(A10,[1]進出口值表查詢結果!$A$10:$C$60,3,0)</f>
        <v>523</v>
      </c>
      <c r="C10" s="28">
        <f>VLOOKUP(A10,[1]進出口值表查詢結果!$A$10:$C$60,2,0)</f>
        <v>967270</v>
      </c>
      <c r="D10" s="23">
        <f t="shared" si="0"/>
        <v>1849.4646271510517</v>
      </c>
      <c r="E10" s="28">
        <f>VLOOKUP(A10,[2]進出口值表查詢結果!$A$10:$C$86,3,0)</f>
        <v>2287</v>
      </c>
      <c r="F10" s="29">
        <f>E10/$E$67</f>
        <v>8.0311836075360379E-3</v>
      </c>
      <c r="G10" s="27">
        <f>VLOOKUP(A10,[2]進出口值表查詢結果!$A$10:$C$86,2,0)</f>
        <v>3281247</v>
      </c>
      <c r="H10" s="24">
        <f>G10/$G$67</f>
        <v>1.1390415442199504E-2</v>
      </c>
      <c r="I10" s="25">
        <f t="shared" si="1"/>
        <v>1434.7385220813292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14490</v>
      </c>
      <c r="C12" s="33">
        <f>SUM(C13:C39)</f>
        <v>20845557</v>
      </c>
      <c r="D12" s="23">
        <f t="shared" si="0"/>
        <v>1438.6167701863353</v>
      </c>
      <c r="E12" s="33">
        <f>SUM(E13:E39)</f>
        <v>85444</v>
      </c>
      <c r="F12" s="24">
        <f t="shared" ref="F12:F27" si="2">E12/$E$67</f>
        <v>0.30005091917897214</v>
      </c>
      <c r="G12" s="33">
        <f>SUM(G13:G39)</f>
        <v>95845429</v>
      </c>
      <c r="H12" s="24">
        <f t="shared" ref="H12:H39" si="3">G12/$G$67</f>
        <v>0.33271474367697285</v>
      </c>
      <c r="I12" s="25">
        <f t="shared" si="1"/>
        <v>1121.7338724778801</v>
      </c>
    </row>
    <row r="13" spans="1:9">
      <c r="A13" s="430" t="s">
        <v>196</v>
      </c>
      <c r="B13" s="27">
        <f>VLOOKUP(A13,[1]進出口值表查詢結果!$A$10:$C$60,3,0)</f>
        <v>4840</v>
      </c>
      <c r="C13" s="28">
        <f>VLOOKUP(A13,[1]進出口值表查詢結果!$A$10:$C$60,2,0)</f>
        <v>7612697</v>
      </c>
      <c r="D13" s="23">
        <f t="shared" si="0"/>
        <v>1572.8712809917356</v>
      </c>
      <c r="E13" s="28">
        <f>VLOOKUP(A13,[2]進出口值表查詢結果!$A$10:$C$86,3,0)</f>
        <v>30505</v>
      </c>
      <c r="F13" s="29">
        <f t="shared" si="2"/>
        <v>0.10712341755482591</v>
      </c>
      <c r="G13" s="27">
        <f>VLOOKUP(A13,[2]進出口值表查詢結果!$A$10:$C$86,2,0)</f>
        <v>43588824</v>
      </c>
      <c r="H13" s="24">
        <f t="shared" si="3"/>
        <v>0.15131284356127908</v>
      </c>
      <c r="I13" s="25">
        <f t="shared" si="1"/>
        <v>1428.9075233568267</v>
      </c>
    </row>
    <row r="14" spans="1:9">
      <c r="A14" s="430" t="s">
        <v>197</v>
      </c>
      <c r="B14" s="27">
        <f>VLOOKUP(A14,[1]進出口值表查詢結果!$A$10:$C$60,3,0)</f>
        <v>1037</v>
      </c>
      <c r="C14" s="28">
        <f>VLOOKUP(A14,[1]進出口值表查詢結果!$A$10:$C$60,2,0)</f>
        <v>1437800</v>
      </c>
      <c r="D14" s="23">
        <f t="shared" si="0"/>
        <v>1386.4995178399229</v>
      </c>
      <c r="E14" s="28">
        <f>VLOOKUP(A14,[2]進出口值表查詢結果!$A$10:$C$86,3,0)</f>
        <v>14472</v>
      </c>
      <c r="F14" s="29">
        <f t="shared" si="2"/>
        <v>5.0820852281705971E-2</v>
      </c>
      <c r="G14" s="27">
        <f>VLOOKUP(A14,[2]進出口值表查詢結果!$A$10:$C$86,2,0)</f>
        <v>10833437</v>
      </c>
      <c r="H14" s="24">
        <f t="shared" si="3"/>
        <v>3.7606845231979019E-2</v>
      </c>
      <c r="I14" s="25">
        <f t="shared" si="1"/>
        <v>748.57911829740192</v>
      </c>
    </row>
    <row r="15" spans="1:9">
      <c r="A15" s="431" t="s">
        <v>9</v>
      </c>
      <c r="B15" s="27">
        <f>VLOOKUP(A15,[1]進出口值表查詢結果!$A$10:$C$60,3,0)</f>
        <v>358</v>
      </c>
      <c r="C15" s="28">
        <f>VLOOKUP(A15,[1]進出口值表查詢結果!$A$10:$C$60,2,0)</f>
        <v>941357</v>
      </c>
      <c r="D15" s="23">
        <f t="shared" si="0"/>
        <v>2629.4888268156424</v>
      </c>
      <c r="E15" s="28">
        <f>VLOOKUP(A15,[2]進出口值表查詢結果!$A$10:$C$86,3,0)</f>
        <v>4281</v>
      </c>
      <c r="F15" s="29">
        <f t="shared" si="2"/>
        <v>1.503344863308342E-2</v>
      </c>
      <c r="G15" s="27">
        <f>VLOOKUP(A15,[2]進出口值表查詢結果!$A$10:$C$86,2,0)</f>
        <v>7132888</v>
      </c>
      <c r="H15" s="24">
        <f t="shared" si="3"/>
        <v>2.4760878294952965E-2</v>
      </c>
      <c r="I15" s="25">
        <f t="shared" si="1"/>
        <v>1666.1733239897221</v>
      </c>
    </row>
    <row r="16" spans="1:9">
      <c r="A16" s="430" t="s">
        <v>198</v>
      </c>
      <c r="B16" s="27">
        <f>VLOOKUP(A16,[1]進出口值表查詢結果!$A$10:$C$60,3,0)</f>
        <v>2106</v>
      </c>
      <c r="C16" s="28">
        <f>VLOOKUP(A16,[1]進出口值表查詢結果!$A$10:$C$60,2,0)</f>
        <v>4158709</v>
      </c>
      <c r="D16" s="23">
        <f t="shared" si="0"/>
        <v>1974.6956315289649</v>
      </c>
      <c r="E16" s="28">
        <f>VLOOKUP(A16,[2]進出口值表查詢結果!$A$10:$C$86,3,0)</f>
        <v>5294</v>
      </c>
      <c r="F16" s="29">
        <f t="shared" si="2"/>
        <v>1.8590767826102226E-2</v>
      </c>
      <c r="G16" s="27">
        <f>VLOOKUP(A16,[2]進出口值表查詢結果!$A$10:$C$86,2,0)</f>
        <v>9435980</v>
      </c>
      <c r="H16" s="24">
        <f t="shared" si="3"/>
        <v>3.2755757888475227E-2</v>
      </c>
      <c r="I16" s="25">
        <f t="shared" si="1"/>
        <v>1782.3913864752551</v>
      </c>
    </row>
    <row r="17" spans="1:9">
      <c r="A17" s="431" t="s">
        <v>10</v>
      </c>
      <c r="B17" s="27">
        <f>VLOOKUP(A17,[1]進出口值表查詢結果!$A$10:$C$60,3,0)</f>
        <v>635</v>
      </c>
      <c r="C17" s="28">
        <f>VLOOKUP(A17,[1]進出口值表查詢結果!$A$10:$C$60,2,0)</f>
        <v>735152</v>
      </c>
      <c r="D17" s="23">
        <f t="shared" si="0"/>
        <v>1157.71968503937</v>
      </c>
      <c r="E17" s="28">
        <f>VLOOKUP(A17,[2]進出口值表查詢結果!$A$10:$C$86,3,0)</f>
        <v>3877</v>
      </c>
      <c r="F17" s="29">
        <f t="shared" si="2"/>
        <v>1.3614734956894281E-2</v>
      </c>
      <c r="G17" s="27">
        <f>VLOOKUP(A17,[2]進出口值表查詢結果!$A$10:$C$86,2,0)</f>
        <v>5323995</v>
      </c>
      <c r="H17" s="24">
        <f t="shared" si="3"/>
        <v>1.8481545236366827E-2</v>
      </c>
      <c r="I17" s="25">
        <f t="shared" si="1"/>
        <v>1373.2254320350787</v>
      </c>
    </row>
    <row r="18" spans="1:9">
      <c r="A18" s="431" t="s">
        <v>11</v>
      </c>
      <c r="B18" s="27">
        <f>VLOOKUP(A18,[1]進出口值表查詢結果!$A$10:$C$60,3,0)</f>
        <v>3499</v>
      </c>
      <c r="C18" s="28">
        <f>VLOOKUP(A18,[1]進出口值表查詢結果!$A$10:$C$60,2,0)</f>
        <v>5037384</v>
      </c>
      <c r="D18" s="23">
        <f t="shared" si="0"/>
        <v>1439.6639039725635</v>
      </c>
      <c r="E18" s="28">
        <f>VLOOKUP(A18,[2]進出口值表查詢結果!$A$10:$C$86,3,0)</f>
        <v>8567</v>
      </c>
      <c r="F18" s="29">
        <f t="shared" si="2"/>
        <v>3.0084455603743437E-2</v>
      </c>
      <c r="G18" s="27">
        <f>VLOOKUP(A18,[2]進出口值表查詢結果!$A$10:$C$86,2,0)</f>
        <v>11938663</v>
      </c>
      <c r="H18" s="24">
        <f t="shared" si="3"/>
        <v>4.1443491268537802E-2</v>
      </c>
      <c r="I18" s="25">
        <f t="shared" si="1"/>
        <v>1393.5640247461188</v>
      </c>
    </row>
    <row r="19" spans="1:9">
      <c r="A19" s="430" t="s">
        <v>199</v>
      </c>
      <c r="B19" s="27">
        <f>VLOOKUP(A19,[1]進出口值表查詢結果!$A$10:$C$60,3,0)</f>
        <v>38</v>
      </c>
      <c r="C19" s="28">
        <f>VLOOKUP(A19,[1]進出口值表查詢結果!$A$10:$C$60,2,0)</f>
        <v>13409</v>
      </c>
      <c r="D19" s="23">
        <f t="shared" si="0"/>
        <v>352.86842105263156</v>
      </c>
      <c r="E19" s="28">
        <f>VLOOKUP(A19,[2]進出口值表查詢結果!$A$10:$C$86,3,0)</f>
        <v>4420</v>
      </c>
      <c r="F19" s="29">
        <f t="shared" si="2"/>
        <v>1.5521570417712851E-2</v>
      </c>
      <c r="G19" s="27">
        <f>VLOOKUP(A19,[2]進出口值表查詢結果!$A$10:$C$86,2,0)</f>
        <v>865629</v>
      </c>
      <c r="H19" s="24">
        <f t="shared" si="3"/>
        <v>3.0049167066105399E-3</v>
      </c>
      <c r="I19" s="25">
        <f t="shared" si="1"/>
        <v>195.84366515837104</v>
      </c>
    </row>
    <row r="20" spans="1:9">
      <c r="A20" s="431" t="s">
        <v>200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30" t="s">
        <v>201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VLOOKUP(A21,[2]進出口值表查詢結果!$A$10:$C$86,3,0)</f>
        <v>9</v>
      </c>
      <c r="F21" s="29">
        <f t="shared" si="2"/>
        <v>3.1605007637876849E-5</v>
      </c>
      <c r="G21" s="27">
        <f>VLOOKUP(A21,[2]進出口值表查詢結果!$A$10:$C$86,2,0)</f>
        <v>30708</v>
      </c>
      <c r="H21" s="24">
        <f t="shared" si="3"/>
        <v>1.0659876485953734E-4</v>
      </c>
      <c r="I21" s="25">
        <f t="shared" si="1"/>
        <v>3412</v>
      </c>
    </row>
    <row r="22" spans="1:9">
      <c r="A22" s="431" t="s">
        <v>13</v>
      </c>
      <c r="B22" s="27">
        <f>VLOOKUP(A22,[1]進出口值表查詢結果!$A$10:$C$60,3,0)</f>
        <v>90</v>
      </c>
      <c r="C22" s="28">
        <f>VLOOKUP(A22,[1]進出口值表查詢結果!$A$10:$C$60,2,0)</f>
        <v>75929</v>
      </c>
      <c r="D22" s="23">
        <f t="shared" si="0"/>
        <v>843.65555555555557</v>
      </c>
      <c r="E22" s="28">
        <f>VLOOKUP(A22,[2]進出口值表查詢結果!$A$10:$C$86,3,0)</f>
        <v>525</v>
      </c>
      <c r="F22" s="29">
        <f t="shared" si="2"/>
        <v>1.843625445542816E-3</v>
      </c>
      <c r="G22" s="27">
        <f>VLOOKUP(A22,[2]進出口值表查詢結果!$A$10:$C$86,2,0)</f>
        <v>323664</v>
      </c>
      <c r="H22" s="24">
        <f t="shared" si="3"/>
        <v>1.1235568135175621E-3</v>
      </c>
      <c r="I22" s="25">
        <f t="shared" si="1"/>
        <v>616.50285714285712</v>
      </c>
    </row>
    <row r="23" spans="1:9">
      <c r="A23" s="431" t="s">
        <v>14</v>
      </c>
      <c r="B23" s="27">
        <f>VLOOKUP(A23,[1]進出口值表查詢結果!$A$10:$C$60,3,0)</f>
        <v>1</v>
      </c>
      <c r="C23" s="28">
        <f>VLOOKUP(A23,[1]進出口值表查詢結果!$A$10:$C$60,2,0)</f>
        <v>5913</v>
      </c>
      <c r="D23" s="23">
        <f t="shared" si="0"/>
        <v>5913</v>
      </c>
      <c r="E23" s="28">
        <f>VLOOKUP(A23,[2]進出口值表查詢結果!$A$10:$C$86,3,0)</f>
        <v>30</v>
      </c>
      <c r="F23" s="29">
        <f t="shared" si="2"/>
        <v>1.0535002545958949E-4</v>
      </c>
      <c r="G23" s="27">
        <f>VLOOKUP(A23,[2]進出口值表查詢結果!$A$10:$C$86,2,0)</f>
        <v>80404</v>
      </c>
      <c r="H23" s="24">
        <f t="shared" si="3"/>
        <v>2.791118630248222E-4</v>
      </c>
      <c r="I23" s="25">
        <f t="shared" si="1"/>
        <v>2680.1333333333332</v>
      </c>
    </row>
    <row r="24" spans="1:9">
      <c r="A24" s="431" t="s">
        <v>15</v>
      </c>
      <c r="B24" s="27">
        <f>VLOOKUP(A24,[1]進出口值表查詢結果!$A$10:$C$60,3,0)</f>
        <v>2</v>
      </c>
      <c r="C24" s="28">
        <f>VLOOKUP(A24,[1]進出口值表查詢結果!$A$10:$C$60,2,0)</f>
        <v>6333</v>
      </c>
      <c r="D24" s="23">
        <f t="shared" si="0"/>
        <v>3166.5</v>
      </c>
      <c r="E24" s="28">
        <f>VLOOKUP(A24,[2]進出口值表查詢結果!$A$10:$C$86,3,0)</f>
        <v>5</v>
      </c>
      <c r="F24" s="29">
        <f t="shared" si="2"/>
        <v>1.7558337576598247E-5</v>
      </c>
      <c r="G24" s="27">
        <f>VLOOKUP(A24,[2]進出口值表查詢結果!$A$10:$C$86,2,0)</f>
        <v>17136</v>
      </c>
      <c r="H24" s="24">
        <f t="shared" si="3"/>
        <v>5.9485359991957533E-5</v>
      </c>
      <c r="I24" s="25">
        <f t="shared" si="1"/>
        <v>3427.2</v>
      </c>
    </row>
    <row r="25" spans="1:9">
      <c r="A25" s="430" t="s">
        <v>202</v>
      </c>
      <c r="B25" s="27">
        <f>VLOOKUP(A25,[1]進出口值表查詢結果!$A$10:$C$60,3,0)</f>
        <v>1215</v>
      </c>
      <c r="C25" s="28">
        <f>VLOOKUP(A25,[1]進出口值表查詢結果!$A$10:$C$60,2,0)</f>
        <v>248078</v>
      </c>
      <c r="D25" s="23">
        <f t="shared" si="0"/>
        <v>204.17942386831277</v>
      </c>
      <c r="E25" s="28">
        <f>VLOOKUP(A25,[2]進出口值表查詢結果!$A$10:$C$86,3,0)</f>
        <v>2330</v>
      </c>
      <c r="F25" s="29">
        <f t="shared" si="2"/>
        <v>8.1821853106947839E-3</v>
      </c>
      <c r="G25" s="27">
        <f>VLOOKUP(A25,[2]進出口值表查詢結果!$A$10:$C$86,2,0)</f>
        <v>557121</v>
      </c>
      <c r="H25" s="24">
        <f t="shared" si="3"/>
        <v>1.9339719446825031E-3</v>
      </c>
      <c r="I25" s="25">
        <f t="shared" si="1"/>
        <v>239.10772532188841</v>
      </c>
    </row>
    <row r="26" spans="1:9">
      <c r="A26" s="430" t="s">
        <v>203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9">
        <f t="shared" si="2"/>
        <v>0</v>
      </c>
      <c r="G26" s="27">
        <v>0</v>
      </c>
      <c r="H26" s="24">
        <f t="shared" si="3"/>
        <v>0</v>
      </c>
      <c r="I26" s="25">
        <f t="shared" si="1"/>
        <v>0</v>
      </c>
    </row>
    <row r="27" spans="1:9">
      <c r="A27" s="432" t="s">
        <v>204</v>
      </c>
      <c r="B27" s="27">
        <f>VLOOKUP(A27,[1]進出口值表查詢結果!$A$10:$C$60,3,0)</f>
        <v>72</v>
      </c>
      <c r="C27" s="28">
        <f>VLOOKUP(A27,[1]進出口值表查詢結果!$A$10:$C$60,2,0)</f>
        <v>90436</v>
      </c>
      <c r="D27" s="23">
        <f t="shared" si="0"/>
        <v>1256.0555555555557</v>
      </c>
      <c r="E27" s="28">
        <f>VLOOKUP(A27,[2]進出口值表查詢結果!$A$10:$C$86,3,0)</f>
        <v>4142</v>
      </c>
      <c r="F27" s="29">
        <f t="shared" si="2"/>
        <v>1.4545326848453988E-2</v>
      </c>
      <c r="G27" s="27">
        <f>VLOOKUP(A27,[2]進出口值表查詢結果!$A$10:$C$86,2,0)</f>
        <v>2282948</v>
      </c>
      <c r="H27" s="24">
        <f t="shared" si="3"/>
        <v>7.9249523589472147E-3</v>
      </c>
      <c r="I27" s="25">
        <f t="shared" si="1"/>
        <v>551.1704490584259</v>
      </c>
    </row>
    <row r="28" spans="1:9">
      <c r="A28" s="432" t="s">
        <v>205</v>
      </c>
      <c r="B28" s="27">
        <f>VLOOKUP(A28,[1]進出口值表查詢結果!$A$10:$C$60,3,0)</f>
        <v>557</v>
      </c>
      <c r="C28" s="28">
        <f>VLOOKUP(A28,[1]進出口值表查詢結果!$A$10:$C$60,2,0)</f>
        <v>477804</v>
      </c>
      <c r="D28" s="23">
        <f t="shared" si="0"/>
        <v>857.81687612208259</v>
      </c>
      <c r="E28" s="28">
        <f>VLOOKUP(A28,[2]進出口值表查詢結果!$A$10:$C$86,3,0)</f>
        <v>4135</v>
      </c>
      <c r="F28" s="29">
        <f t="shared" ref="F28:F39" si="4">E28/$E$67</f>
        <v>1.452074517584675E-2</v>
      </c>
      <c r="G28" s="27">
        <f>VLOOKUP(A28,[2]進出口值表查詢結果!$A$10:$C$86,2,0)</f>
        <v>2013450</v>
      </c>
      <c r="H28" s="24">
        <f t="shared" si="3"/>
        <v>6.9894256580186097E-3</v>
      </c>
      <c r="I28" s="25">
        <f t="shared" si="1"/>
        <v>486.9286577992745</v>
      </c>
    </row>
    <row r="29" spans="1:9">
      <c r="A29" s="431" t="s">
        <v>206</v>
      </c>
      <c r="B29" s="27">
        <v>0</v>
      </c>
      <c r="C29" s="28">
        <v>0</v>
      </c>
      <c r="D29" s="23">
        <f t="shared" si="0"/>
        <v>0</v>
      </c>
      <c r="E29" s="28">
        <f>VLOOKUP(A29,[2]進出口值表查詢結果!$A$10:$C$86,3,0)</f>
        <v>1014</v>
      </c>
      <c r="F29" s="29">
        <f t="shared" si="4"/>
        <v>3.5608308605341245E-3</v>
      </c>
      <c r="G29" s="27">
        <f>VLOOKUP(A29,[2]進出口值表查詢結果!$A$10:$C$86,2,0)</f>
        <v>598124</v>
      </c>
      <c r="H29" s="24">
        <f t="shared" si="3"/>
        <v>2.0763084418668073E-3</v>
      </c>
      <c r="I29" s="25">
        <f t="shared" si="1"/>
        <v>589.86587771203153</v>
      </c>
    </row>
    <row r="30" spans="1:9">
      <c r="A30" s="431" t="s">
        <v>207</v>
      </c>
      <c r="B30" s="27">
        <v>0</v>
      </c>
      <c r="C30" s="28">
        <v>0</v>
      </c>
      <c r="D30" s="23">
        <f t="shared" si="0"/>
        <v>0</v>
      </c>
      <c r="E30" s="28">
        <f>VLOOKUP(A30,[2]進出口值表查詢結果!$A$10:$C$86,3,0)</f>
        <v>2</v>
      </c>
      <c r="F30" s="29">
        <f t="shared" si="4"/>
        <v>7.0233350306392994E-6</v>
      </c>
      <c r="G30" s="27">
        <f>VLOOKUP(A30,[2]進出口值表查詢結果!$A$10:$C$86,2,0)</f>
        <v>6719</v>
      </c>
      <c r="H30" s="24">
        <f t="shared" si="3"/>
        <v>2.332412078582882E-5</v>
      </c>
      <c r="I30" s="25">
        <f t="shared" si="1"/>
        <v>3359.5</v>
      </c>
    </row>
    <row r="31" spans="1:9">
      <c r="A31" s="431" t="s">
        <v>16</v>
      </c>
      <c r="B31" s="27">
        <v>0</v>
      </c>
      <c r="C31" s="28">
        <v>0</v>
      </c>
      <c r="D31" s="23">
        <f t="shared" si="0"/>
        <v>0</v>
      </c>
      <c r="E31" s="28">
        <f>VLOOKUP(A31,[2]進出口值表查詢結果!$A$10:$C$86,3,0)</f>
        <v>113</v>
      </c>
      <c r="F31" s="29">
        <f t="shared" si="4"/>
        <v>3.9681842923112038E-4</v>
      </c>
      <c r="G31" s="27">
        <f>VLOOKUP(A31,[2]進出口值表查詢結果!$A$10:$C$86,2,0)</f>
        <v>214912</v>
      </c>
      <c r="H31" s="24">
        <f t="shared" si="3"/>
        <v>7.460386138300407E-4</v>
      </c>
      <c r="I31" s="25">
        <f t="shared" si="1"/>
        <v>1901.8761061946902</v>
      </c>
    </row>
    <row r="32" spans="1:9">
      <c r="A32" s="431" t="s">
        <v>17</v>
      </c>
      <c r="B32" s="27">
        <v>0</v>
      </c>
      <c r="C32" s="28">
        <v>0</v>
      </c>
      <c r="D32" s="23">
        <f t="shared" si="0"/>
        <v>0</v>
      </c>
      <c r="E32" s="28">
        <f>VLOOKUP(A32,[2]進出口值表查詢結果!$A$10:$C$86,3,0)</f>
        <v>245</v>
      </c>
      <c r="F32" s="29">
        <f t="shared" si="4"/>
        <v>8.6035854125331417E-4</v>
      </c>
      <c r="G32" s="27">
        <f>VLOOKUP(A32,[2]進出口值表查詢結果!$A$10:$C$86,2,0)</f>
        <v>57583</v>
      </c>
      <c r="H32" s="24">
        <f t="shared" si="3"/>
        <v>1.9989177663497261E-4</v>
      </c>
      <c r="I32" s="25">
        <f t="shared" si="1"/>
        <v>235.03265306122449</v>
      </c>
    </row>
    <row r="33" spans="1:9">
      <c r="A33" s="431" t="s">
        <v>208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VLOOKUP(A33,[2]進出口值表查詢結果!$A$10:$C$86,3,0)</f>
        <v>382</v>
      </c>
      <c r="F33" s="29">
        <f t="shared" si="4"/>
        <v>1.3414569908521061E-3</v>
      </c>
      <c r="G33" s="27">
        <f>VLOOKUP(A33,[2]進出口值表查詢結果!$A$10:$C$86,2,0)</f>
        <v>187384</v>
      </c>
      <c r="H33" s="24">
        <f t="shared" si="3"/>
        <v>6.5047879882895482E-4</v>
      </c>
      <c r="I33" s="25">
        <f t="shared" si="1"/>
        <v>490.53403141361258</v>
      </c>
    </row>
    <row r="34" spans="1:9">
      <c r="A34" s="431" t="s">
        <v>209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VLOOKUP(A34,[2]進出口值表查詢結果!$A$10:$C$86,3,0)</f>
        <v>444</v>
      </c>
      <c r="F34" s="29">
        <f t="shared" si="4"/>
        <v>1.5591803768019244E-3</v>
      </c>
      <c r="G34" s="27">
        <f>VLOOKUP(A34,[2]進出口值表查詢結果!$A$10:$C$86,2,0)</f>
        <v>149383</v>
      </c>
      <c r="H34" s="24">
        <f t="shared" si="3"/>
        <v>5.1856334802045944E-4</v>
      </c>
      <c r="I34" s="25">
        <f t="shared" si="1"/>
        <v>336.44819819819821</v>
      </c>
    </row>
    <row r="35" spans="1:9">
      <c r="A35" s="431" t="s">
        <v>210</v>
      </c>
      <c r="B35" s="27">
        <v>0</v>
      </c>
      <c r="C35" s="28">
        <v>0</v>
      </c>
      <c r="D35" s="23">
        <f t="shared" si="0"/>
        <v>0</v>
      </c>
      <c r="E35" s="28">
        <f>VLOOKUP(A35,[2]進出口值表查詢結果!$A$10:$C$86,3,0)</f>
        <v>356</v>
      </c>
      <c r="F35" s="29">
        <f t="shared" si="4"/>
        <v>1.2501536354537952E-3</v>
      </c>
      <c r="G35" s="27">
        <f>VLOOKUP(A35,[2]進出口值表查詢結果!$A$10:$C$86,2,0)</f>
        <v>134206</v>
      </c>
      <c r="H35" s="24">
        <f t="shared" si="3"/>
        <v>4.6587839770545361E-4</v>
      </c>
      <c r="I35" s="25">
        <f t="shared" si="1"/>
        <v>376.9831460674157</v>
      </c>
    </row>
    <row r="36" spans="1:9">
      <c r="A36" s="431" t="s">
        <v>211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31" t="s">
        <v>212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31" t="s">
        <v>213</v>
      </c>
      <c r="B38" s="27">
        <f>VLOOKUP(A38,[1]進出口值表查詢結果!$A$10:$C$60,3,0)</f>
        <v>40</v>
      </c>
      <c r="C38" s="28">
        <f>VLOOKUP(A38,[1]進出口值表查詢結果!$A$10:$C$60,2,0)</f>
        <v>4556</v>
      </c>
      <c r="D38" s="23">
        <f t="shared" si="0"/>
        <v>113.9</v>
      </c>
      <c r="E38" s="28">
        <f>VLOOKUP(A38,[2]進出口值表查詢結果!$A$10:$C$86,3,0)</f>
        <v>40</v>
      </c>
      <c r="F38" s="29">
        <f t="shared" si="4"/>
        <v>1.4046670061278597E-4</v>
      </c>
      <c r="G38" s="27">
        <f>VLOOKUP(A38,[2]進出口值表查詢結果!$A$10:$C$86,2,0)</f>
        <v>4556</v>
      </c>
      <c r="H38" s="24">
        <f t="shared" si="3"/>
        <v>1.5815552061353788E-5</v>
      </c>
      <c r="I38" s="25">
        <f t="shared" si="1"/>
        <v>113.9</v>
      </c>
    </row>
    <row r="39" spans="1:9">
      <c r="A39" s="431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VLOOKUP(A39,[2]進出口值表查詢結果!$A$10:$C$86,3,0)</f>
        <v>256</v>
      </c>
      <c r="F39" s="29">
        <f t="shared" si="4"/>
        <v>8.9898688392183032E-4</v>
      </c>
      <c r="G39" s="27">
        <f>VLOOKUP(A39,[2]進出口值表查詢結果!$A$10:$C$86,2,0)</f>
        <v>67715</v>
      </c>
      <c r="H39" s="24">
        <f t="shared" si="3"/>
        <v>2.3506367599529672E-4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254</v>
      </c>
      <c r="C41" s="33">
        <f>SUM(C42:C45)</f>
        <v>252248</v>
      </c>
      <c r="D41" s="23">
        <f t="shared" si="0"/>
        <v>993.10236220472439</v>
      </c>
      <c r="E41" s="33">
        <f>SUM(E42:E45)</f>
        <v>5777</v>
      </c>
      <c r="F41" s="24">
        <f>E41/$E$67</f>
        <v>2.0286903236001616E-2</v>
      </c>
      <c r="G41" s="33">
        <f>SUM(G42:G45)</f>
        <v>5777508</v>
      </c>
      <c r="H41" s="24">
        <f>G41/$G$67</f>
        <v>2.0055855697736612E-2</v>
      </c>
      <c r="I41" s="25">
        <f t="shared" si="1"/>
        <v>1000.0879349143154</v>
      </c>
    </row>
    <row r="42" spans="1:9">
      <c r="A42" s="430" t="s">
        <v>214</v>
      </c>
      <c r="B42" s="27">
        <f>VLOOKUP(A42,[1]進出口值表查詢結果!$A$10:$C$60,3,0)</f>
        <v>149</v>
      </c>
      <c r="C42" s="28">
        <f>VLOOKUP(A42,[1]進出口值表查詢結果!$A$10:$C$60,2,0)</f>
        <v>108790</v>
      </c>
      <c r="D42" s="23">
        <f t="shared" si="0"/>
        <v>730.13422818791946</v>
      </c>
      <c r="E42" s="28">
        <f>VLOOKUP(A42,[2]進出口值表查詢結果!$A$10:$C$86,3,0)</f>
        <v>2403</v>
      </c>
      <c r="F42" s="29">
        <f>E42/$E$67</f>
        <v>8.4385370393131182E-3</v>
      </c>
      <c r="G42" s="27">
        <f>VLOOKUP(A42,[2]進出口值表查詢結果!$A$10:$C$86,2,0)</f>
        <v>2613903</v>
      </c>
      <c r="H42" s="29">
        <f>G42/$G$67</f>
        <v>9.0738189156779753E-3</v>
      </c>
      <c r="I42" s="25">
        <f t="shared" si="1"/>
        <v>1087.7665418227216</v>
      </c>
    </row>
    <row r="43" spans="1:9">
      <c r="A43" s="430" t="s">
        <v>215</v>
      </c>
      <c r="B43" s="27">
        <f>VLOOKUP(A43,[1]進出口值表查詢結果!$A$10:$C$60,3,0)</f>
        <v>105</v>
      </c>
      <c r="C43" s="28">
        <f>VLOOKUP(A43,[1]進出口值表查詢結果!$A$10:$C$60,2,0)</f>
        <v>143458</v>
      </c>
      <c r="D43" s="23">
        <f t="shared" si="0"/>
        <v>1366.2666666666667</v>
      </c>
      <c r="E43" s="28">
        <f>VLOOKUP(A43,[2]進出口值表查詢結果!$A$10:$C$86,3,0)</f>
        <v>2734</v>
      </c>
      <c r="F43" s="29">
        <f>E43/$E$67</f>
        <v>9.6008989868839219E-3</v>
      </c>
      <c r="G43" s="27">
        <f>VLOOKUP(A43,[2]進出口值表查詢結果!$A$10:$C$86,2,0)</f>
        <v>3068287</v>
      </c>
      <c r="H43" s="29">
        <f>G43/$G$67</f>
        <v>1.0651152938471254E-2</v>
      </c>
      <c r="I43" s="25">
        <f t="shared" si="1"/>
        <v>1122.2702999268472</v>
      </c>
    </row>
    <row r="44" spans="1:9">
      <c r="A44" s="430" t="s">
        <v>216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VLOOKUP(A44,[2]進出口值表查詢結果!$A$10:$C$86,3,0)</f>
        <v>640</v>
      </c>
      <c r="F44" s="29">
        <f>E44/$E$67</f>
        <v>2.2474672098045756E-3</v>
      </c>
      <c r="G44" s="27">
        <f>VLOOKUP(A44,[2]進出口值表查詢結果!$A$10:$C$86,2,0)</f>
        <v>95318</v>
      </c>
      <c r="H44" s="29">
        <f>G44/$G$67</f>
        <v>3.3088384358738378E-4</v>
      </c>
      <c r="I44" s="25">
        <f t="shared" si="1"/>
        <v>148.93437499999999</v>
      </c>
    </row>
    <row r="45" spans="1:9">
      <c r="A45" s="431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10048</v>
      </c>
      <c r="C47" s="33">
        <f>SUM(C48:C65)</f>
        <v>12537607</v>
      </c>
      <c r="D47" s="23">
        <f t="shared" si="0"/>
        <v>1247.7713972929937</v>
      </c>
      <c r="E47" s="33">
        <f>SUM(E48:E65)</f>
        <v>67921</v>
      </c>
      <c r="F47" s="24">
        <f t="shared" ref="F47:F65" si="5">E47/$E$67</f>
        <v>0.2385159693080259</v>
      </c>
      <c r="G47" s="33">
        <f>SUM(G48:G65)</f>
        <v>79455342</v>
      </c>
      <c r="H47" s="24">
        <f t="shared" ref="H47:H66" si="6">G47/$G$67</f>
        <v>0.27581872211450181</v>
      </c>
      <c r="I47" s="25">
        <f t="shared" si="1"/>
        <v>1169.8199673149688</v>
      </c>
    </row>
    <row r="48" spans="1:9">
      <c r="A48" s="460" t="s">
        <v>157</v>
      </c>
      <c r="B48" s="27">
        <f>VLOOKUP(A48,[1]進出口值表查詢結果!$A$10:$C$60,3,0)</f>
        <v>3491</v>
      </c>
      <c r="C48" s="28">
        <f>VLOOKUP(A48,[1]進出口值表查詢結果!$A$10:$C$60,2,0)</f>
        <v>2310823</v>
      </c>
      <c r="D48" s="23">
        <f t="shared" si="0"/>
        <v>661.93726725866509</v>
      </c>
      <c r="E48" s="28">
        <f>VLOOKUP(A48,[2]進出口值表查詢結果!$A$10:$C$86,3,0)</f>
        <v>17325</v>
      </c>
      <c r="F48" s="29">
        <f t="shared" ref="F48" si="7">E48/$E$67</f>
        <v>6.083963970291293E-2</v>
      </c>
      <c r="G48" s="27">
        <f>VLOOKUP(A48,[2]進出口值表查詢結果!$A$10:$C$86,2,0)</f>
        <v>16702871</v>
      </c>
      <c r="H48" s="29">
        <f t="shared" ref="H48" si="8">G48/$G$67</f>
        <v>5.7981809893454E-2</v>
      </c>
      <c r="I48" s="25">
        <f t="shared" si="1"/>
        <v>964.09067821067822</v>
      </c>
    </row>
    <row r="49" spans="1:9">
      <c r="A49" s="430" t="s">
        <v>217</v>
      </c>
      <c r="B49" s="27">
        <f>VLOOKUP(A49,[1]進出口值表查詢結果!$A$10:$C$60,3,0)</f>
        <v>1131</v>
      </c>
      <c r="C49" s="28">
        <f>VLOOKUP(A49,[1]進出口值表查詢結果!$A$10:$C$60,2,0)</f>
        <v>1243910</v>
      </c>
      <c r="D49" s="23">
        <f t="shared" si="0"/>
        <v>1099.8320070733864</v>
      </c>
      <c r="E49" s="28">
        <f>VLOOKUP(A49,[2]進出口值表查詢結果!$A$10:$C$86,3,0)</f>
        <v>6192</v>
      </c>
      <c r="F49" s="29">
        <f t="shared" si="5"/>
        <v>2.1744245254859271E-2</v>
      </c>
      <c r="G49" s="27">
        <f>VLOOKUP(A49,[2]進出口值表查詢結果!$A$10:$C$86,2,0)</f>
        <v>5148979</v>
      </c>
      <c r="H49" s="29">
        <f t="shared" si="6"/>
        <v>1.7874000315477912E-2</v>
      </c>
      <c r="I49" s="25">
        <f t="shared" si="1"/>
        <v>831.55345607235142</v>
      </c>
    </row>
    <row r="50" spans="1:9">
      <c r="A50" s="283" t="s">
        <v>218</v>
      </c>
      <c r="B50" s="27">
        <f>VLOOKUP(A50,[1]進出口值表查詢結果!$A$10:$C$60,3,0)</f>
        <v>379</v>
      </c>
      <c r="C50" s="28">
        <f>VLOOKUP(A50,[1]進出口值表查詢結果!$A$10:$C$60,2,0)</f>
        <v>159775</v>
      </c>
      <c r="D50" s="23">
        <f t="shared" si="0"/>
        <v>421.56992084432716</v>
      </c>
      <c r="E50" s="28">
        <f>VLOOKUP(A50,[2]進出口值表查詢結果!$A$10:$C$86,3,0)</f>
        <v>1274</v>
      </c>
      <c r="F50" s="29">
        <f t="shared" si="5"/>
        <v>4.4738644145172332E-3</v>
      </c>
      <c r="G50" s="27">
        <f>VLOOKUP(A50,[2]進出口值表查詢結果!$A$10:$C$86,2,0)</f>
        <v>1072871</v>
      </c>
      <c r="H50" s="29">
        <f t="shared" si="6"/>
        <v>3.7243299288008563E-3</v>
      </c>
      <c r="I50" s="25">
        <f t="shared" si="1"/>
        <v>842.12794348508635</v>
      </c>
    </row>
    <row r="51" spans="1:9">
      <c r="A51" s="430" t="s">
        <v>219</v>
      </c>
      <c r="B51" s="27">
        <f>VLOOKUP(A51,[1]進出口值表查詢結果!$A$10:$C$60,3,0)</f>
        <v>368</v>
      </c>
      <c r="C51" s="28">
        <f>VLOOKUP(A51,[1]進出口值表查詢結果!$A$10:$C$60,2,0)</f>
        <v>886430</v>
      </c>
      <c r="D51" s="23">
        <f t="shared" si="0"/>
        <v>2408.7771739130435</v>
      </c>
      <c r="E51" s="28">
        <f>VLOOKUP(A51,[2]進出口值表查詢結果!$A$10:$C$86,3,0)</f>
        <v>909</v>
      </c>
      <c r="F51" s="29">
        <f t="shared" si="5"/>
        <v>3.1921057714255612E-3</v>
      </c>
      <c r="G51" s="27">
        <f>VLOOKUP(A51,[2]進出口值表查詢結果!$A$10:$C$86,2,0)</f>
        <v>2060729</v>
      </c>
      <c r="H51" s="29">
        <f t="shared" si="6"/>
        <v>7.1535484600178953E-3</v>
      </c>
      <c r="I51" s="25">
        <f t="shared" si="1"/>
        <v>2267.0286028602859</v>
      </c>
    </row>
    <row r="52" spans="1:9">
      <c r="A52" s="431" t="s">
        <v>22</v>
      </c>
      <c r="B52" s="27">
        <f>VLOOKUP(A52,[1]進出口值表查詢結果!$A$10:$C$60,3,0)</f>
        <v>219</v>
      </c>
      <c r="C52" s="28">
        <f>VLOOKUP(A52,[1]進出口值表查詢結果!$A$10:$C$60,2,0)</f>
        <v>542940</v>
      </c>
      <c r="D52" s="23">
        <f t="shared" si="0"/>
        <v>2479.178082191781</v>
      </c>
      <c r="E52" s="28">
        <f>VLOOKUP(A52,[2]進出口值表查詢結果!$A$10:$C$86,3,0)</f>
        <v>833</v>
      </c>
      <c r="F52" s="29">
        <f t="shared" si="5"/>
        <v>2.925219040261268E-3</v>
      </c>
      <c r="G52" s="27">
        <f>VLOOKUP(A52,[2]進出口值表查詢結果!$A$10:$C$86,2,0)</f>
        <v>1377073</v>
      </c>
      <c r="H52" s="29">
        <f t="shared" si="6"/>
        <v>4.7803269806375431E-3</v>
      </c>
      <c r="I52" s="25">
        <f t="shared" si="1"/>
        <v>1653.1488595438175</v>
      </c>
    </row>
    <row r="53" spans="1:9">
      <c r="A53" s="430" t="s">
        <v>220</v>
      </c>
      <c r="B53" s="27">
        <f>VLOOKUP(A53,[1]進出口值表查詢結果!$A$10:$C$60,3,0)</f>
        <v>183</v>
      </c>
      <c r="C53" s="28">
        <f>VLOOKUP(A53,[1]進出口值表查詢結果!$A$10:$C$60,2,0)</f>
        <v>490274</v>
      </c>
      <c r="D53" s="23">
        <f t="shared" si="0"/>
        <v>2679.0928961748632</v>
      </c>
      <c r="E53" s="28">
        <f>VLOOKUP(A53,[2]進出口值表查詢結果!$A$10:$C$86,3,0)</f>
        <v>868</v>
      </c>
      <c r="F53" s="29">
        <f t="shared" si="5"/>
        <v>3.0481274032974556E-3</v>
      </c>
      <c r="G53" s="27">
        <f>VLOOKUP(A53,[2]進出口值表查詢結果!$A$10:$C$86,2,0)</f>
        <v>1268010</v>
      </c>
      <c r="H53" s="29">
        <f t="shared" si="6"/>
        <v>4.4017291855393366E-3</v>
      </c>
      <c r="I53" s="25">
        <f t="shared" si="1"/>
        <v>1460.8410138248848</v>
      </c>
    </row>
    <row r="54" spans="1:9">
      <c r="A54" s="431" t="s">
        <v>221</v>
      </c>
      <c r="B54" s="27">
        <f>VLOOKUP(A54,[1]進出口值表查詢結果!$A$10:$C$60,3,0)</f>
        <v>466</v>
      </c>
      <c r="C54" s="28">
        <f>VLOOKUP(A54,[1]進出口值表查詢結果!$A$10:$C$60,2,0)</f>
        <v>662130</v>
      </c>
      <c r="D54" s="23">
        <f t="shared" si="0"/>
        <v>1420.8798283261804</v>
      </c>
      <c r="E54" s="28">
        <f>VLOOKUP(A54,[2]進出口值表查詢結果!$A$10:$C$86,3,0)</f>
        <v>13561</v>
      </c>
      <c r="F54" s="29">
        <f t="shared" si="5"/>
        <v>4.7621723175249771E-2</v>
      </c>
      <c r="G54" s="27">
        <f>VLOOKUP(A54,[2]進出口值表查詢結果!$A$10:$C$86,2,0)</f>
        <v>10664355</v>
      </c>
      <c r="H54" s="29">
        <f t="shared" si="6"/>
        <v>3.7019899408090119E-2</v>
      </c>
      <c r="I54" s="25">
        <f t="shared" si="1"/>
        <v>786.39886439053168</v>
      </c>
    </row>
    <row r="55" spans="1:9">
      <c r="A55" s="431" t="s">
        <v>23</v>
      </c>
      <c r="B55" s="27">
        <f>VLOOKUP(A55,[1]進出口值表查詢結果!$A$10:$C$60,3,0)</f>
        <v>84</v>
      </c>
      <c r="C55" s="28">
        <f>VLOOKUP(A55,[1]進出口值表查詢結果!$A$10:$C$60,2,0)</f>
        <v>155509</v>
      </c>
      <c r="D55" s="23">
        <f t="shared" si="0"/>
        <v>1851.297619047619</v>
      </c>
      <c r="E55" s="28">
        <f>VLOOKUP(A55,[2]進出口值表查詢結果!$A$10:$C$86,3,0)</f>
        <v>1071</v>
      </c>
      <c r="F55" s="29">
        <f t="shared" si="5"/>
        <v>3.7609959089073448E-3</v>
      </c>
      <c r="G55" s="27">
        <f>VLOOKUP(A55,[2]進出口值表查詢結果!$A$10:$C$86,2,0)</f>
        <v>960238</v>
      </c>
      <c r="H55" s="29">
        <f t="shared" si="6"/>
        <v>3.333339350370992E-3</v>
      </c>
      <c r="I55" s="25">
        <f t="shared" si="1"/>
        <v>896.58076563958912</v>
      </c>
    </row>
    <row r="56" spans="1:9">
      <c r="A56" s="431" t="s">
        <v>222</v>
      </c>
      <c r="B56" s="27">
        <f>VLOOKUP(A56,[1]進出口值表查詢結果!$A$10:$C$60,3,0)</f>
        <v>2255</v>
      </c>
      <c r="C56" s="28">
        <f>VLOOKUP(A56,[1]進出口值表查詢結果!$A$10:$C$60,2,0)</f>
        <v>3651890</v>
      </c>
      <c r="D56" s="23">
        <f t="shared" si="0"/>
        <v>1619.4634146341464</v>
      </c>
      <c r="E56" s="28">
        <f>VLOOKUP(A56,[2]進出口值表查詢結果!$A$10:$C$86,3,0)</f>
        <v>15463</v>
      </c>
      <c r="F56" s="29">
        <f t="shared" si="5"/>
        <v>5.4300914789387741E-2</v>
      </c>
      <c r="G56" s="27">
        <f>VLOOKUP(A56,[2]進出口值表查詢結果!$A$10:$C$86,2,0)</f>
        <v>24442096</v>
      </c>
      <c r="H56" s="29">
        <f t="shared" si="6"/>
        <v>8.4847506974672346E-2</v>
      </c>
      <c r="I56" s="25">
        <f t="shared" si="1"/>
        <v>1580.6826618379357</v>
      </c>
    </row>
    <row r="57" spans="1:9">
      <c r="A57" s="433" t="s">
        <v>223</v>
      </c>
      <c r="B57" s="27">
        <f>VLOOKUP(A57,[1]進出口值表查詢結果!$A$10:$C$60,3,0)</f>
        <v>796</v>
      </c>
      <c r="C57" s="28">
        <f>VLOOKUP(A57,[1]進出口值表查詢結果!$A$10:$C$60,2,0)</f>
        <v>1478869</v>
      </c>
      <c r="D57" s="23">
        <f t="shared" si="0"/>
        <v>1857.8756281407036</v>
      </c>
      <c r="E57" s="28">
        <f>VLOOKUP(A57,[2]進出口值表查詢結果!$A$10:$C$86,3,0)</f>
        <v>4326</v>
      </c>
      <c r="F57" s="29">
        <f t="shared" si="5"/>
        <v>1.5191473671272803E-2</v>
      </c>
      <c r="G57" s="27">
        <f>VLOOKUP(A57,[2]進出口值表查詢結果!$A$10:$C$86,2,0)</f>
        <v>7208045</v>
      </c>
      <c r="H57" s="29">
        <f t="shared" si="6"/>
        <v>2.5021775890711341E-2</v>
      </c>
      <c r="I57" s="25">
        <f t="shared" si="1"/>
        <v>1666.2147480351364</v>
      </c>
    </row>
    <row r="58" spans="1:9">
      <c r="A58" s="431" t="s">
        <v>24</v>
      </c>
      <c r="B58" s="27">
        <f>VLOOKUP(A58,[1]進出口值表查詢結果!$A$10:$C$60,3,0)</f>
        <v>115</v>
      </c>
      <c r="C58" s="28">
        <f>VLOOKUP(A58,[1]進出口值表查詢結果!$A$10:$C$60,2,0)</f>
        <v>80258</v>
      </c>
      <c r="D58" s="23">
        <f t="shared" si="0"/>
        <v>697.89565217391305</v>
      </c>
      <c r="E58" s="28">
        <f>VLOOKUP(A58,[2]進出口值表查詢結果!$A$10:$C$86,3,0)</f>
        <v>741</v>
      </c>
      <c r="F58" s="29">
        <f t="shared" si="5"/>
        <v>2.6021456288518605E-3</v>
      </c>
      <c r="G58" s="27">
        <f>VLOOKUP(A58,[2]進出口值表查詢結果!$A$10:$C$86,2,0)</f>
        <v>331381</v>
      </c>
      <c r="H58" s="29">
        <f t="shared" si="6"/>
        <v>1.1503453594476471E-3</v>
      </c>
      <c r="I58" s="25">
        <f t="shared" si="1"/>
        <v>447.20782726045883</v>
      </c>
    </row>
    <row r="59" spans="1:9">
      <c r="A59" s="431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31" t="s">
        <v>26</v>
      </c>
      <c r="B60" s="27">
        <f>VLOOKUP(A60,[1]進出口值表查詢結果!$A$10:$C$60,3,0)</f>
        <v>66</v>
      </c>
      <c r="C60" s="28">
        <f>VLOOKUP(A60,[1]進出口值表查詢結果!$A$10:$C$60,2,0)</f>
        <v>77480</v>
      </c>
      <c r="D60" s="23">
        <f t="shared" si="0"/>
        <v>1173.939393939394</v>
      </c>
      <c r="E60" s="28">
        <f>VLOOKUP(A60,[2]進出口值表查詢結果!$A$10:$C$86,3,0)</f>
        <v>1873</v>
      </c>
      <c r="F60" s="29">
        <f t="shared" si="5"/>
        <v>6.5773532561937036E-3</v>
      </c>
      <c r="G60" s="27">
        <f>VLOOKUP(A60,[2]進出口值表查詢結果!$A$10:$C$86,2,0)</f>
        <v>1947995</v>
      </c>
      <c r="H60" s="29">
        <f t="shared" si="6"/>
        <v>6.7622072734321494E-3</v>
      </c>
      <c r="I60" s="25">
        <f t="shared" si="1"/>
        <v>1040.0400427122263</v>
      </c>
    </row>
    <row r="61" spans="1:9">
      <c r="A61" s="432" t="s">
        <v>224</v>
      </c>
      <c r="B61" s="27">
        <f>VLOOKUP(A61,[1]進出口值表查詢結果!$A$10:$C$60,3,0)</f>
        <v>141</v>
      </c>
      <c r="C61" s="28">
        <f>VLOOKUP(A61,[1]進出口值表查詢結果!$A$10:$C$60,2,0)</f>
        <v>172214</v>
      </c>
      <c r="D61" s="23">
        <f t="shared" si="0"/>
        <v>1221.3758865248226</v>
      </c>
      <c r="E61" s="28">
        <f>VLOOKUP(A61,[2]進出口值表查詢結果!$A$10:$C$86,3,0)</f>
        <v>1060</v>
      </c>
      <c r="F61" s="29">
        <f t="shared" si="5"/>
        <v>3.7223675662388287E-3</v>
      </c>
      <c r="G61" s="27">
        <f>VLOOKUP(A61,[2]進出口值表查詢結果!$A$10:$C$86,2,0)</f>
        <v>2226651</v>
      </c>
      <c r="H61" s="29">
        <f t="shared" si="6"/>
        <v>7.7295247614059433E-3</v>
      </c>
      <c r="I61" s="25">
        <f t="shared" si="1"/>
        <v>2100.6141509433965</v>
      </c>
    </row>
    <row r="62" spans="1:9">
      <c r="A62" s="431" t="s">
        <v>27</v>
      </c>
      <c r="B62" s="27">
        <f>VLOOKUP(A62,[1]進出口值表查詢結果!$A$10:$C$60,3,0)</f>
        <v>330</v>
      </c>
      <c r="C62" s="28">
        <f>VLOOKUP(A62,[1]進出口值表查詢結果!$A$10:$C$60,2,0)</f>
        <v>555186</v>
      </c>
      <c r="D62" s="23">
        <f t="shared" si="0"/>
        <v>1682.3818181818183</v>
      </c>
      <c r="E62" s="28">
        <f>VLOOKUP(A62,[2]進出口值表查詢結果!$A$10:$C$86,3,0)</f>
        <v>1837</v>
      </c>
      <c r="F62" s="29">
        <f t="shared" si="5"/>
        <v>6.4509332256421966E-3</v>
      </c>
      <c r="G62" s="27">
        <f>VLOOKUP(A62,[2]進出口值表查詢結果!$A$10:$C$86,2,0)</f>
        <v>3304520</v>
      </c>
      <c r="H62" s="29">
        <f t="shared" si="6"/>
        <v>1.147120458687112E-2</v>
      </c>
      <c r="I62" s="25">
        <f t="shared" si="1"/>
        <v>1798.86771910724</v>
      </c>
    </row>
    <row r="63" spans="1:9">
      <c r="A63" s="286" t="s">
        <v>225</v>
      </c>
      <c r="B63" s="27">
        <f>VLOOKUP(A63,[1]進出口值表查詢結果!$A$10:$C$60,3,0)</f>
        <v>2</v>
      </c>
      <c r="C63" s="28">
        <f>VLOOKUP(A63,[1]進出口值表查詢結果!$A$10:$C$60,2,0)</f>
        <v>9725</v>
      </c>
      <c r="D63" s="23">
        <f t="shared" si="0"/>
        <v>4862.5</v>
      </c>
      <c r="E63" s="28">
        <f>VLOOKUP(A63,[2]進出口值表查詢結果!$A$10:$C$86,3,0)</f>
        <v>2</v>
      </c>
      <c r="F63" s="29">
        <f t="shared" si="5"/>
        <v>7.0233350306392994E-6</v>
      </c>
      <c r="G63" s="27">
        <f>VLOOKUP(A63,[2]進出口值表查詢結果!$A$10:$C$86,2,0)</f>
        <v>9725</v>
      </c>
      <c r="H63" s="29">
        <f t="shared" si="6"/>
        <v>3.3759052633157503E-5</v>
      </c>
      <c r="I63" s="25">
        <f t="shared" si="1"/>
        <v>4862.5</v>
      </c>
    </row>
    <row r="64" spans="1:9">
      <c r="A64" s="431" t="s">
        <v>28</v>
      </c>
      <c r="B64" s="27">
        <f>VLOOKUP(A64,[1]進出口值表查詢結果!$A$10:$C$60,3,0)</f>
        <v>11</v>
      </c>
      <c r="C64" s="28">
        <f>VLOOKUP(A64,[1]進出口值表查詢結果!$A$10:$C$60,2,0)</f>
        <v>40646</v>
      </c>
      <c r="D64" s="23">
        <f t="shared" si="0"/>
        <v>3695.090909090909</v>
      </c>
      <c r="E64" s="28">
        <f>VLOOKUP(A64,[2]進出口值表查詢結果!$A$10:$C$86,3,0)</f>
        <v>168</v>
      </c>
      <c r="F64" s="29">
        <f t="shared" si="5"/>
        <v>5.8996014257370116E-4</v>
      </c>
      <c r="G64" s="27">
        <f>VLOOKUP(A64,[2]進出口值表查詢結果!$A$10:$C$86,2,0)</f>
        <v>284364</v>
      </c>
      <c r="H64" s="29">
        <f t="shared" si="6"/>
        <v>9.8713205583292546E-4</v>
      </c>
      <c r="I64" s="25">
        <f t="shared" si="1"/>
        <v>1692.6428571428571</v>
      </c>
    </row>
    <row r="65" spans="1:256">
      <c r="A65" s="286" t="s">
        <v>226</v>
      </c>
      <c r="B65" s="27">
        <f>VLOOKUP(A65,[1]進出口值表查詢結果!$A$10:$C$60,3,0)</f>
        <v>11</v>
      </c>
      <c r="C65" s="28">
        <f>VLOOKUP(A65,[1]進出口值表查詢結果!$A$10:$C$60,2,0)</f>
        <v>19548</v>
      </c>
      <c r="D65" s="23">
        <f t="shared" si="0"/>
        <v>1777.090909090909</v>
      </c>
      <c r="E65" s="28">
        <f>VLOOKUP(A65,[2]進出口值表查詢結果!$A$10:$C$86,3,0)</f>
        <v>418</v>
      </c>
      <c r="F65" s="29">
        <f t="shared" si="5"/>
        <v>1.4678770214036135E-3</v>
      </c>
      <c r="G65" s="27">
        <f>VLOOKUP(A65,[2]進出口值表查詢結果!$A$10:$C$86,2,0)</f>
        <v>445439</v>
      </c>
      <c r="H65" s="29">
        <f t="shared" si="6"/>
        <v>1.5462826371065344E-3</v>
      </c>
      <c r="I65" s="25">
        <f t="shared" si="1"/>
        <v>1065.6435406698565</v>
      </c>
    </row>
    <row r="66" spans="1:256">
      <c r="A66" s="30" t="s">
        <v>29</v>
      </c>
      <c r="B66" s="27">
        <f>B67-B7-B12-B41-B47</f>
        <v>676</v>
      </c>
      <c r="C66" s="27">
        <f>C67-C7-C12-C41-C47</f>
        <v>1181293</v>
      </c>
      <c r="D66" s="23">
        <f t="shared" si="0"/>
        <v>1747.4748520710059</v>
      </c>
      <c r="E66" s="27">
        <f>E67-E7-E12-E41-E47</f>
        <v>4954</v>
      </c>
      <c r="F66" s="29">
        <f>E66/$E$67</f>
        <v>1.7396800870893545E-2</v>
      </c>
      <c r="G66" s="27">
        <f>G67-G7-G12-G41-G47</f>
        <v>6878729</v>
      </c>
      <c r="H66" s="29">
        <f t="shared" si="6"/>
        <v>2.3878598905935928E-2</v>
      </c>
      <c r="I66" s="25">
        <f t="shared" si="1"/>
        <v>1388.5201857085183</v>
      </c>
    </row>
    <row r="67" spans="1:256">
      <c r="A67" s="287" t="s">
        <v>399</v>
      </c>
      <c r="B67" s="27">
        <f>VLOOKUP(A67,[1]進出口值表查詢結果!$A$10:$C$60,3,0)</f>
        <v>49575</v>
      </c>
      <c r="C67" s="28">
        <f>VLOOKUP(A67,[1]進出口值表查詢結果!$A$10:$C$60,2,0)</f>
        <v>61771181</v>
      </c>
      <c r="D67" s="23">
        <f t="shared" ref="D67" si="9">C67/B67</f>
        <v>1246.0147453353504</v>
      </c>
      <c r="E67" s="28">
        <f>VLOOKUP(A67,[2]進出口值表查詢結果!$A$10:$C$86,3,0)</f>
        <v>284765</v>
      </c>
      <c r="F67" s="24">
        <f>E67/$E$67</f>
        <v>1</v>
      </c>
      <c r="G67" s="27">
        <f>VLOOKUP(A67,[2]進出口值表查詢結果!$A$10:$C$86,2,0)</f>
        <v>288070880</v>
      </c>
      <c r="H67" s="24">
        <f>G67/$G$67</f>
        <v>1</v>
      </c>
      <c r="I67" s="25">
        <f>G67/E67</f>
        <v>1011.6091514055449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73" t="s">
        <v>148</v>
      </c>
      <c r="B69" s="574"/>
      <c r="C69" s="574"/>
      <c r="D69" s="574"/>
      <c r="E69" s="574"/>
      <c r="F69" s="574"/>
      <c r="G69" s="574"/>
      <c r="H69" s="574"/>
      <c r="I69" s="575"/>
    </row>
    <row r="70" spans="1:256">
      <c r="A70" s="513" t="s">
        <v>487</v>
      </c>
      <c r="B70" s="8" t="s">
        <v>488</v>
      </c>
      <c r="C70" s="8" t="s">
        <v>489</v>
      </c>
      <c r="D70" s="9" t="s">
        <v>0</v>
      </c>
      <c r="E70" s="10" t="s">
        <v>490</v>
      </c>
      <c r="F70" s="11" t="s">
        <v>1</v>
      </c>
      <c r="G70" s="70" t="s">
        <v>491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3021</v>
      </c>
      <c r="C72" s="27">
        <v>647724</v>
      </c>
      <c r="D72" s="492">
        <f>C72/B72</f>
        <v>214.40714995034756</v>
      </c>
      <c r="E72" s="27">
        <v>11420</v>
      </c>
      <c r="F72" s="493">
        <v>1</v>
      </c>
      <c r="G72" s="27">
        <v>3714411</v>
      </c>
      <c r="H72" s="53">
        <v>1</v>
      </c>
      <c r="I72" s="52">
        <f>G72/E72</f>
        <v>325.25490367775831</v>
      </c>
    </row>
    <row r="73" spans="1:256" ht="9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15" t="s">
        <v>459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75" style="56" customWidth="1"/>
    <col min="4" max="4" width="13.75" style="57" customWidth="1"/>
    <col min="5" max="5" width="14" style="500" customWidth="1"/>
    <col min="6" max="6" width="15.125" style="56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78" t="s">
        <v>501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ht="9.75" customHeight="1"/>
    <row r="3" spans="1:10">
      <c r="A3" s="107" t="s">
        <v>149</v>
      </c>
      <c r="B3" s="60"/>
      <c r="C3" s="63"/>
      <c r="D3" s="62"/>
      <c r="E3" s="501"/>
      <c r="F3" s="63"/>
      <c r="G3" s="196"/>
      <c r="H3" s="197"/>
      <c r="I3" s="65"/>
      <c r="J3" s="66"/>
    </row>
    <row r="4" spans="1:10">
      <c r="A4" s="67" t="s">
        <v>499</v>
      </c>
      <c r="B4" s="8" t="s">
        <v>455</v>
      </c>
      <c r="C4" s="68" t="s">
        <v>464</v>
      </c>
      <c r="D4" s="69" t="s">
        <v>153</v>
      </c>
      <c r="E4" s="502" t="s">
        <v>460</v>
      </c>
      <c r="F4" s="68" t="s">
        <v>464</v>
      </c>
      <c r="G4" s="71" t="s">
        <v>154</v>
      </c>
      <c r="H4" s="8" t="s">
        <v>455</v>
      </c>
      <c r="I4" s="68" t="s">
        <v>456</v>
      </c>
      <c r="J4" s="198" t="s">
        <v>113</v>
      </c>
    </row>
    <row r="5" spans="1:10">
      <c r="A5" s="46"/>
      <c r="B5" s="74" t="s">
        <v>31</v>
      </c>
      <c r="C5" s="73" t="s">
        <v>31</v>
      </c>
      <c r="D5" s="199" t="s">
        <v>1</v>
      </c>
      <c r="E5" s="503" t="s">
        <v>32</v>
      </c>
      <c r="F5" s="73" t="s">
        <v>32</v>
      </c>
      <c r="G5" s="199" t="s">
        <v>1</v>
      </c>
      <c r="H5" s="75" t="s">
        <v>33</v>
      </c>
      <c r="I5" s="76" t="s">
        <v>114</v>
      </c>
      <c r="J5" s="199" t="s">
        <v>1</v>
      </c>
    </row>
    <row r="6" spans="1:10">
      <c r="A6" s="20" t="s">
        <v>4</v>
      </c>
      <c r="B6" s="200"/>
      <c r="C6" s="78"/>
      <c r="D6" s="201"/>
      <c r="E6" s="504"/>
      <c r="F6" s="78"/>
      <c r="G6" s="202"/>
      <c r="H6" s="203"/>
      <c r="I6" s="81"/>
      <c r="J6" s="202"/>
    </row>
    <row r="7" spans="1:10">
      <c r="A7" s="118" t="s">
        <v>5</v>
      </c>
      <c r="B7" s="204">
        <f>SUM(B8:B10)</f>
        <v>23</v>
      </c>
      <c r="C7" s="205">
        <v>18</v>
      </c>
      <c r="D7" s="488">
        <f>IF(C7,(B7-C7)/C7,0)</f>
        <v>0.27777777777777779</v>
      </c>
      <c r="E7" s="505">
        <f>SUM(E8:E10)</f>
        <v>20266</v>
      </c>
      <c r="F7" s="205">
        <v>41899</v>
      </c>
      <c r="G7" s="488">
        <f>IF(F7,(E7-F7)/F7,0)</f>
        <v>-0.51631303849733878</v>
      </c>
      <c r="H7" s="84">
        <f>IF(B7,E7/B7,0)</f>
        <v>881.13043478260875</v>
      </c>
      <c r="I7" s="85">
        <f>IF(C7,F7/C7,0)</f>
        <v>2327.7222222222222</v>
      </c>
      <c r="J7" s="485">
        <f>IF(I7,(H7-I7)/I7,0)</f>
        <v>-0.62146237795443904</v>
      </c>
    </row>
    <row r="8" spans="1:10">
      <c r="A8" s="74" t="s">
        <v>377</v>
      </c>
      <c r="B8" s="206">
        <f>折疊車!E8</f>
        <v>22</v>
      </c>
      <c r="C8" s="207">
        <v>18</v>
      </c>
      <c r="D8" s="488">
        <f t="shared" ref="D8:D68" si="0">IF(C8,(B8-C8)/C8,0)</f>
        <v>0.22222222222222221</v>
      </c>
      <c r="E8" s="506">
        <f>折疊車!G8</f>
        <v>18138</v>
      </c>
      <c r="F8" s="207">
        <v>41899</v>
      </c>
      <c r="G8" s="488">
        <f t="shared" ref="G8:G68" si="1">IF(F8,(E8-F8)/F8,0)</f>
        <v>-0.56710184013938281</v>
      </c>
      <c r="H8" s="84">
        <f t="shared" ref="H8:H10" si="2">IF(B8,E8/B8,0)</f>
        <v>824.4545454545455</v>
      </c>
      <c r="I8" s="85">
        <f t="shared" ref="I8:I10" si="3">IF(C8,F8/C8,0)</f>
        <v>2327.7222222222222</v>
      </c>
      <c r="J8" s="485">
        <f t="shared" ref="J8:J68" si="4">IF(I8,(H8-I8)/I8,0)</f>
        <v>-0.6458105964776768</v>
      </c>
    </row>
    <row r="9" spans="1:10">
      <c r="A9" s="30" t="s">
        <v>6</v>
      </c>
      <c r="B9" s="206">
        <f>折疊車!E9</f>
        <v>0</v>
      </c>
      <c r="C9" s="207">
        <v>0</v>
      </c>
      <c r="D9" s="488">
        <f t="shared" si="0"/>
        <v>0</v>
      </c>
      <c r="E9" s="506">
        <f>折疊車!G9</f>
        <v>0</v>
      </c>
      <c r="F9" s="207">
        <v>0</v>
      </c>
      <c r="G9" s="488">
        <f t="shared" si="1"/>
        <v>0</v>
      </c>
      <c r="H9" s="84">
        <f t="shared" si="2"/>
        <v>0</v>
      </c>
      <c r="I9" s="85">
        <f t="shared" si="3"/>
        <v>0</v>
      </c>
      <c r="J9" s="485">
        <f t="shared" si="4"/>
        <v>0</v>
      </c>
    </row>
    <row r="10" spans="1:10">
      <c r="A10" s="30" t="s">
        <v>7</v>
      </c>
      <c r="B10" s="206">
        <f>折疊車!E10</f>
        <v>1</v>
      </c>
      <c r="C10" s="207">
        <v>0</v>
      </c>
      <c r="D10" s="488">
        <f t="shared" si="0"/>
        <v>0</v>
      </c>
      <c r="E10" s="506">
        <f>折疊車!G10</f>
        <v>2128</v>
      </c>
      <c r="F10" s="207">
        <v>0</v>
      </c>
      <c r="G10" s="488">
        <f t="shared" si="1"/>
        <v>0</v>
      </c>
      <c r="H10" s="84">
        <f t="shared" si="2"/>
        <v>2128</v>
      </c>
      <c r="I10" s="85">
        <f t="shared" si="3"/>
        <v>0</v>
      </c>
      <c r="J10" s="485">
        <f t="shared" si="4"/>
        <v>0</v>
      </c>
    </row>
    <row r="11" spans="1:10">
      <c r="A11" s="30"/>
      <c r="B11" s="27"/>
      <c r="C11" s="87"/>
      <c r="D11" s="488"/>
      <c r="E11" s="507"/>
      <c r="F11" s="87"/>
      <c r="G11" s="488"/>
      <c r="H11" s="84"/>
      <c r="I11" s="85"/>
      <c r="J11" s="485"/>
    </row>
    <row r="12" spans="1:10">
      <c r="A12" s="32" t="s">
        <v>8</v>
      </c>
      <c r="B12" s="33">
        <f>SUM(B13:B39)</f>
        <v>238</v>
      </c>
      <c r="C12" s="88">
        <v>672</v>
      </c>
      <c r="D12" s="488">
        <f t="shared" si="0"/>
        <v>-0.64583333333333337</v>
      </c>
      <c r="E12" s="508">
        <f>SUM(E13:E39)</f>
        <v>147458</v>
      </c>
      <c r="F12" s="88">
        <v>291206</v>
      </c>
      <c r="G12" s="488">
        <f t="shared" si="1"/>
        <v>-0.49362993894356572</v>
      </c>
      <c r="H12" s="84">
        <f t="shared" ref="H12:H67" si="5">IF(B12,E12/B12,0)</f>
        <v>619.57142857142856</v>
      </c>
      <c r="I12" s="85">
        <f t="shared" ref="I12:I67" si="6">IF(C12,F12/C12,0)</f>
        <v>433.34226190476193</v>
      </c>
      <c r="J12" s="485">
        <f t="shared" si="4"/>
        <v>0.42975076062993195</v>
      </c>
    </row>
    <row r="13" spans="1:10">
      <c r="A13" s="430" t="s">
        <v>196</v>
      </c>
      <c r="B13" s="206">
        <f>折疊車!E13</f>
        <v>227</v>
      </c>
      <c r="C13" s="87">
        <v>572</v>
      </c>
      <c r="D13" s="488">
        <f t="shared" si="0"/>
        <v>-0.60314685314685312</v>
      </c>
      <c r="E13" s="507">
        <f>折疊車!G13</f>
        <v>108571</v>
      </c>
      <c r="F13" s="207">
        <v>272670</v>
      </c>
      <c r="G13" s="488">
        <f t="shared" si="1"/>
        <v>-0.60182271610371507</v>
      </c>
      <c r="H13" s="84">
        <f t="shared" si="5"/>
        <v>478.2863436123348</v>
      </c>
      <c r="I13" s="85">
        <f t="shared" si="6"/>
        <v>476.69580419580421</v>
      </c>
      <c r="J13" s="485">
        <f t="shared" si="4"/>
        <v>3.3365920205944808E-3</v>
      </c>
    </row>
    <row r="14" spans="1:10">
      <c r="A14" s="430" t="s">
        <v>197</v>
      </c>
      <c r="B14" s="206">
        <f>折疊車!E14</f>
        <v>11</v>
      </c>
      <c r="C14" s="87">
        <v>0</v>
      </c>
      <c r="D14" s="488">
        <f t="shared" si="0"/>
        <v>0</v>
      </c>
      <c r="E14" s="507">
        <f>折疊車!G14</f>
        <v>38887</v>
      </c>
      <c r="F14" s="207">
        <v>0</v>
      </c>
      <c r="G14" s="488">
        <f t="shared" si="1"/>
        <v>0</v>
      </c>
      <c r="H14" s="84">
        <f t="shared" si="5"/>
        <v>3535.181818181818</v>
      </c>
      <c r="I14" s="85">
        <f t="shared" si="6"/>
        <v>0</v>
      </c>
      <c r="J14" s="485">
        <f t="shared" si="4"/>
        <v>0</v>
      </c>
    </row>
    <row r="15" spans="1:10">
      <c r="A15" s="431" t="s">
        <v>9</v>
      </c>
      <c r="B15" s="206">
        <f>折疊車!E15</f>
        <v>0</v>
      </c>
      <c r="C15" s="87">
        <v>0</v>
      </c>
      <c r="D15" s="488">
        <f t="shared" si="0"/>
        <v>0</v>
      </c>
      <c r="E15" s="507">
        <f>折疊車!G15</f>
        <v>0</v>
      </c>
      <c r="F15" s="207">
        <v>0</v>
      </c>
      <c r="G15" s="488">
        <f t="shared" si="1"/>
        <v>0</v>
      </c>
      <c r="H15" s="84">
        <f t="shared" si="5"/>
        <v>0</v>
      </c>
      <c r="I15" s="85">
        <f t="shared" si="6"/>
        <v>0</v>
      </c>
      <c r="J15" s="485">
        <f t="shared" si="4"/>
        <v>0</v>
      </c>
    </row>
    <row r="16" spans="1:10">
      <c r="A16" s="430" t="s">
        <v>198</v>
      </c>
      <c r="B16" s="206">
        <f>折疊車!E16</f>
        <v>0</v>
      </c>
      <c r="C16" s="87">
        <v>0</v>
      </c>
      <c r="D16" s="488">
        <f t="shared" si="0"/>
        <v>0</v>
      </c>
      <c r="E16" s="507">
        <f>折疊車!G16</f>
        <v>0</v>
      </c>
      <c r="F16" s="207">
        <v>0</v>
      </c>
      <c r="G16" s="488">
        <f t="shared" si="1"/>
        <v>0</v>
      </c>
      <c r="H16" s="84">
        <f t="shared" si="5"/>
        <v>0</v>
      </c>
      <c r="I16" s="85">
        <f t="shared" si="6"/>
        <v>0</v>
      </c>
      <c r="J16" s="485">
        <f t="shared" si="4"/>
        <v>0</v>
      </c>
    </row>
    <row r="17" spans="1:10">
      <c r="A17" s="431" t="s">
        <v>10</v>
      </c>
      <c r="B17" s="206">
        <f>折疊車!E17</f>
        <v>0</v>
      </c>
      <c r="C17" s="87">
        <v>0</v>
      </c>
      <c r="D17" s="488">
        <f t="shared" si="0"/>
        <v>0</v>
      </c>
      <c r="E17" s="507">
        <f>折疊車!G17</f>
        <v>0</v>
      </c>
      <c r="F17" s="207">
        <v>0</v>
      </c>
      <c r="G17" s="488">
        <f t="shared" si="1"/>
        <v>0</v>
      </c>
      <c r="H17" s="84">
        <f t="shared" si="5"/>
        <v>0</v>
      </c>
      <c r="I17" s="85">
        <f t="shared" si="6"/>
        <v>0</v>
      </c>
      <c r="J17" s="485">
        <f t="shared" si="4"/>
        <v>0</v>
      </c>
    </row>
    <row r="18" spans="1:10">
      <c r="A18" s="431" t="s">
        <v>11</v>
      </c>
      <c r="B18" s="206">
        <f>折疊車!E18</f>
        <v>0</v>
      </c>
      <c r="C18" s="87">
        <v>0</v>
      </c>
      <c r="D18" s="488">
        <f t="shared" si="0"/>
        <v>0</v>
      </c>
      <c r="E18" s="507">
        <f>折疊車!G18</f>
        <v>0</v>
      </c>
      <c r="F18" s="207">
        <v>0</v>
      </c>
      <c r="G18" s="488">
        <f t="shared" si="1"/>
        <v>0</v>
      </c>
      <c r="H18" s="84">
        <f t="shared" si="5"/>
        <v>0</v>
      </c>
      <c r="I18" s="85">
        <f t="shared" si="6"/>
        <v>0</v>
      </c>
      <c r="J18" s="485">
        <f t="shared" si="4"/>
        <v>0</v>
      </c>
    </row>
    <row r="19" spans="1:10">
      <c r="A19" s="430" t="s">
        <v>199</v>
      </c>
      <c r="B19" s="206">
        <f>折疊車!E19</f>
        <v>0</v>
      </c>
      <c r="C19" s="87">
        <v>0</v>
      </c>
      <c r="D19" s="488">
        <f t="shared" si="0"/>
        <v>0</v>
      </c>
      <c r="E19" s="507">
        <f>折疊車!G19</f>
        <v>0</v>
      </c>
      <c r="F19" s="207">
        <v>0</v>
      </c>
      <c r="G19" s="488">
        <f t="shared" si="1"/>
        <v>0</v>
      </c>
      <c r="H19" s="84">
        <f t="shared" si="5"/>
        <v>0</v>
      </c>
      <c r="I19" s="85">
        <f t="shared" si="6"/>
        <v>0</v>
      </c>
      <c r="J19" s="485">
        <f t="shared" si="4"/>
        <v>0</v>
      </c>
    </row>
    <row r="20" spans="1:10">
      <c r="A20" s="431" t="s">
        <v>12</v>
      </c>
      <c r="B20" s="206">
        <f>折疊車!E20</f>
        <v>0</v>
      </c>
      <c r="C20" s="87">
        <v>0</v>
      </c>
      <c r="D20" s="488">
        <f t="shared" si="0"/>
        <v>0</v>
      </c>
      <c r="E20" s="507">
        <f>折疊車!G20</f>
        <v>0</v>
      </c>
      <c r="F20" s="207">
        <v>0</v>
      </c>
      <c r="G20" s="488">
        <f t="shared" si="1"/>
        <v>0</v>
      </c>
      <c r="H20" s="84">
        <f t="shared" si="5"/>
        <v>0</v>
      </c>
      <c r="I20" s="85">
        <f t="shared" si="6"/>
        <v>0</v>
      </c>
      <c r="J20" s="485">
        <f t="shared" si="4"/>
        <v>0</v>
      </c>
    </row>
    <row r="21" spans="1:10">
      <c r="A21" s="430" t="s">
        <v>201</v>
      </c>
      <c r="B21" s="206">
        <f>折疊車!E21</f>
        <v>0</v>
      </c>
      <c r="C21" s="87">
        <v>0</v>
      </c>
      <c r="D21" s="488">
        <f t="shared" si="0"/>
        <v>0</v>
      </c>
      <c r="E21" s="507">
        <f>折疊車!G21</f>
        <v>0</v>
      </c>
      <c r="F21" s="207">
        <v>0</v>
      </c>
      <c r="G21" s="488">
        <f t="shared" si="1"/>
        <v>0</v>
      </c>
      <c r="H21" s="84">
        <f t="shared" si="5"/>
        <v>0</v>
      </c>
      <c r="I21" s="85">
        <f t="shared" si="6"/>
        <v>0</v>
      </c>
      <c r="J21" s="485">
        <f t="shared" si="4"/>
        <v>0</v>
      </c>
    </row>
    <row r="22" spans="1:10">
      <c r="A22" s="431" t="s">
        <v>13</v>
      </c>
      <c r="B22" s="206">
        <f>折疊車!E22</f>
        <v>0</v>
      </c>
      <c r="C22" s="87">
        <v>0</v>
      </c>
      <c r="D22" s="488">
        <f t="shared" si="0"/>
        <v>0</v>
      </c>
      <c r="E22" s="507">
        <f>折疊車!G22</f>
        <v>0</v>
      </c>
      <c r="F22" s="207">
        <v>0</v>
      </c>
      <c r="G22" s="488">
        <f t="shared" si="1"/>
        <v>0</v>
      </c>
      <c r="H22" s="84">
        <f t="shared" si="5"/>
        <v>0</v>
      </c>
      <c r="I22" s="85">
        <f t="shared" si="6"/>
        <v>0</v>
      </c>
      <c r="J22" s="485">
        <f t="shared" si="4"/>
        <v>0</v>
      </c>
    </row>
    <row r="23" spans="1:10">
      <c r="A23" s="431" t="s">
        <v>14</v>
      </c>
      <c r="B23" s="206">
        <f>折疊車!E23</f>
        <v>0</v>
      </c>
      <c r="C23" s="87">
        <v>0</v>
      </c>
      <c r="D23" s="488">
        <f t="shared" si="0"/>
        <v>0</v>
      </c>
      <c r="E23" s="507">
        <f>折疊車!G23</f>
        <v>0</v>
      </c>
      <c r="F23" s="207">
        <v>0</v>
      </c>
      <c r="G23" s="488">
        <f t="shared" si="1"/>
        <v>0</v>
      </c>
      <c r="H23" s="84">
        <f t="shared" si="5"/>
        <v>0</v>
      </c>
      <c r="I23" s="85">
        <f t="shared" si="6"/>
        <v>0</v>
      </c>
      <c r="J23" s="485">
        <f t="shared" si="4"/>
        <v>0</v>
      </c>
    </row>
    <row r="24" spans="1:10">
      <c r="A24" s="431" t="s">
        <v>15</v>
      </c>
      <c r="B24" s="206">
        <f>折疊車!E24</f>
        <v>0</v>
      </c>
      <c r="C24" s="87">
        <v>0</v>
      </c>
      <c r="D24" s="488">
        <f t="shared" si="0"/>
        <v>0</v>
      </c>
      <c r="E24" s="507">
        <f>折疊車!G24</f>
        <v>0</v>
      </c>
      <c r="F24" s="207">
        <v>0</v>
      </c>
      <c r="G24" s="488">
        <f t="shared" si="1"/>
        <v>0</v>
      </c>
      <c r="H24" s="84">
        <f t="shared" si="5"/>
        <v>0</v>
      </c>
      <c r="I24" s="85">
        <f t="shared" si="6"/>
        <v>0</v>
      </c>
      <c r="J24" s="485">
        <f t="shared" si="4"/>
        <v>0</v>
      </c>
    </row>
    <row r="25" spans="1:10">
      <c r="A25" s="430" t="s">
        <v>202</v>
      </c>
      <c r="B25" s="206">
        <f>折疊車!E25</f>
        <v>0</v>
      </c>
      <c r="C25" s="87">
        <v>0</v>
      </c>
      <c r="D25" s="488">
        <f t="shared" si="0"/>
        <v>0</v>
      </c>
      <c r="E25" s="507">
        <f>折疊車!G25</f>
        <v>0</v>
      </c>
      <c r="F25" s="207">
        <v>0</v>
      </c>
      <c r="G25" s="488">
        <f t="shared" si="1"/>
        <v>0</v>
      </c>
      <c r="H25" s="84">
        <f t="shared" si="5"/>
        <v>0</v>
      </c>
      <c r="I25" s="85">
        <f t="shared" si="6"/>
        <v>0</v>
      </c>
      <c r="J25" s="485">
        <f t="shared" si="4"/>
        <v>0</v>
      </c>
    </row>
    <row r="26" spans="1:10">
      <c r="A26" s="430" t="s">
        <v>203</v>
      </c>
      <c r="B26" s="206">
        <f>折疊車!E26</f>
        <v>0</v>
      </c>
      <c r="C26" s="87">
        <v>0</v>
      </c>
      <c r="D26" s="488">
        <f t="shared" si="0"/>
        <v>0</v>
      </c>
      <c r="E26" s="507">
        <f>折疊車!G26</f>
        <v>0</v>
      </c>
      <c r="F26" s="207">
        <v>0</v>
      </c>
      <c r="G26" s="488">
        <f t="shared" si="1"/>
        <v>0</v>
      </c>
      <c r="H26" s="84">
        <f t="shared" si="5"/>
        <v>0</v>
      </c>
      <c r="I26" s="85">
        <f t="shared" si="6"/>
        <v>0</v>
      </c>
      <c r="J26" s="485">
        <f t="shared" si="4"/>
        <v>0</v>
      </c>
    </row>
    <row r="27" spans="1:10">
      <c r="A27" s="286" t="s">
        <v>204</v>
      </c>
      <c r="B27" s="206">
        <f>折疊車!E27</f>
        <v>0</v>
      </c>
      <c r="C27" s="87">
        <v>0</v>
      </c>
      <c r="D27" s="488">
        <f t="shared" si="0"/>
        <v>0</v>
      </c>
      <c r="E27" s="507">
        <f>折疊車!G27</f>
        <v>0</v>
      </c>
      <c r="F27" s="207">
        <v>0</v>
      </c>
      <c r="G27" s="488">
        <f t="shared" si="1"/>
        <v>0</v>
      </c>
      <c r="H27" s="84">
        <f t="shared" si="5"/>
        <v>0</v>
      </c>
      <c r="I27" s="85">
        <f t="shared" si="6"/>
        <v>0</v>
      </c>
      <c r="J27" s="485">
        <f t="shared" si="4"/>
        <v>0</v>
      </c>
    </row>
    <row r="28" spans="1:10">
      <c r="A28" s="286" t="s">
        <v>205</v>
      </c>
      <c r="B28" s="206">
        <f>折疊車!E28</f>
        <v>0</v>
      </c>
      <c r="C28" s="87">
        <v>0</v>
      </c>
      <c r="D28" s="488">
        <f t="shared" si="0"/>
        <v>0</v>
      </c>
      <c r="E28" s="507">
        <f>折疊車!G28</f>
        <v>0</v>
      </c>
      <c r="F28" s="207">
        <v>0</v>
      </c>
      <c r="G28" s="488">
        <f t="shared" si="1"/>
        <v>0</v>
      </c>
      <c r="H28" s="84">
        <f t="shared" si="5"/>
        <v>0</v>
      </c>
      <c r="I28" s="85">
        <f t="shared" si="6"/>
        <v>0</v>
      </c>
      <c r="J28" s="485">
        <f t="shared" si="4"/>
        <v>0</v>
      </c>
    </row>
    <row r="29" spans="1:10">
      <c r="A29" s="431" t="s">
        <v>206</v>
      </c>
      <c r="B29" s="206">
        <f>折疊車!E29</f>
        <v>0</v>
      </c>
      <c r="C29" s="87">
        <v>0</v>
      </c>
      <c r="D29" s="488">
        <f t="shared" si="0"/>
        <v>0</v>
      </c>
      <c r="E29" s="507">
        <f>折疊車!G29</f>
        <v>0</v>
      </c>
      <c r="F29" s="207">
        <v>0</v>
      </c>
      <c r="G29" s="488">
        <f t="shared" si="1"/>
        <v>0</v>
      </c>
      <c r="H29" s="84">
        <f t="shared" si="5"/>
        <v>0</v>
      </c>
      <c r="I29" s="85">
        <f t="shared" si="6"/>
        <v>0</v>
      </c>
      <c r="J29" s="485">
        <f t="shared" si="4"/>
        <v>0</v>
      </c>
    </row>
    <row r="30" spans="1:10">
      <c r="A30" s="431" t="s">
        <v>207</v>
      </c>
      <c r="B30" s="206">
        <f>折疊車!E30</f>
        <v>0</v>
      </c>
      <c r="C30" s="87">
        <v>0</v>
      </c>
      <c r="D30" s="488">
        <f t="shared" si="0"/>
        <v>0</v>
      </c>
      <c r="E30" s="507">
        <f>折疊車!G30</f>
        <v>0</v>
      </c>
      <c r="F30" s="207">
        <v>0</v>
      </c>
      <c r="G30" s="488">
        <f t="shared" si="1"/>
        <v>0</v>
      </c>
      <c r="H30" s="84">
        <f t="shared" si="5"/>
        <v>0</v>
      </c>
      <c r="I30" s="85">
        <f t="shared" si="6"/>
        <v>0</v>
      </c>
      <c r="J30" s="485">
        <f t="shared" si="4"/>
        <v>0</v>
      </c>
    </row>
    <row r="31" spans="1:10">
      <c r="A31" s="431" t="s">
        <v>16</v>
      </c>
      <c r="B31" s="206">
        <f>折疊車!E31</f>
        <v>0</v>
      </c>
      <c r="C31" s="87">
        <v>0</v>
      </c>
      <c r="D31" s="488">
        <f t="shared" si="0"/>
        <v>0</v>
      </c>
      <c r="E31" s="507">
        <f>折疊車!G31</f>
        <v>0</v>
      </c>
      <c r="F31" s="207">
        <v>0</v>
      </c>
      <c r="G31" s="488">
        <f t="shared" si="1"/>
        <v>0</v>
      </c>
      <c r="H31" s="84">
        <f t="shared" si="5"/>
        <v>0</v>
      </c>
      <c r="I31" s="85">
        <f t="shared" si="6"/>
        <v>0</v>
      </c>
      <c r="J31" s="485">
        <f t="shared" si="4"/>
        <v>0</v>
      </c>
    </row>
    <row r="32" spans="1:10">
      <c r="A32" s="431" t="s">
        <v>17</v>
      </c>
      <c r="B32" s="206">
        <f>折疊車!E32</f>
        <v>0</v>
      </c>
      <c r="C32" s="87">
        <v>0</v>
      </c>
      <c r="D32" s="488">
        <f t="shared" si="0"/>
        <v>0</v>
      </c>
      <c r="E32" s="507">
        <f>折疊車!G32</f>
        <v>0</v>
      </c>
      <c r="F32" s="207">
        <v>0</v>
      </c>
      <c r="G32" s="488">
        <f t="shared" si="1"/>
        <v>0</v>
      </c>
      <c r="H32" s="84">
        <f t="shared" si="5"/>
        <v>0</v>
      </c>
      <c r="I32" s="85">
        <f t="shared" si="6"/>
        <v>0</v>
      </c>
      <c r="J32" s="485">
        <f t="shared" si="4"/>
        <v>0</v>
      </c>
    </row>
    <row r="33" spans="1:10">
      <c r="A33" s="431" t="s">
        <v>208</v>
      </c>
      <c r="B33" s="206">
        <f>折疊車!E33</f>
        <v>0</v>
      </c>
      <c r="C33" s="87">
        <v>0</v>
      </c>
      <c r="D33" s="488">
        <f t="shared" si="0"/>
        <v>0</v>
      </c>
      <c r="E33" s="507">
        <f>折疊車!G33</f>
        <v>0</v>
      </c>
      <c r="F33" s="207">
        <v>0</v>
      </c>
      <c r="G33" s="488">
        <f t="shared" si="1"/>
        <v>0</v>
      </c>
      <c r="H33" s="84">
        <f t="shared" si="5"/>
        <v>0</v>
      </c>
      <c r="I33" s="85">
        <f t="shared" si="6"/>
        <v>0</v>
      </c>
      <c r="J33" s="485">
        <f t="shared" si="4"/>
        <v>0</v>
      </c>
    </row>
    <row r="34" spans="1:10">
      <c r="A34" s="431" t="s">
        <v>209</v>
      </c>
      <c r="B34" s="206">
        <f>折疊車!E34</f>
        <v>0</v>
      </c>
      <c r="C34" s="87">
        <v>0</v>
      </c>
      <c r="D34" s="488">
        <f t="shared" si="0"/>
        <v>0</v>
      </c>
      <c r="E34" s="507">
        <f>折疊車!G34</f>
        <v>0</v>
      </c>
      <c r="F34" s="207">
        <v>0</v>
      </c>
      <c r="G34" s="488">
        <f t="shared" si="1"/>
        <v>0</v>
      </c>
      <c r="H34" s="84">
        <f t="shared" si="5"/>
        <v>0</v>
      </c>
      <c r="I34" s="85">
        <f t="shared" si="6"/>
        <v>0</v>
      </c>
      <c r="J34" s="485">
        <f t="shared" si="4"/>
        <v>0</v>
      </c>
    </row>
    <row r="35" spans="1:10">
      <c r="A35" s="431" t="s">
        <v>210</v>
      </c>
      <c r="B35" s="206">
        <f>折疊車!E35</f>
        <v>0</v>
      </c>
      <c r="C35" s="87">
        <v>0</v>
      </c>
      <c r="D35" s="488">
        <f t="shared" si="0"/>
        <v>0</v>
      </c>
      <c r="E35" s="507">
        <f>折疊車!G35</f>
        <v>0</v>
      </c>
      <c r="F35" s="207">
        <v>0</v>
      </c>
      <c r="G35" s="488">
        <f t="shared" si="1"/>
        <v>0</v>
      </c>
      <c r="H35" s="84">
        <f t="shared" si="5"/>
        <v>0</v>
      </c>
      <c r="I35" s="85">
        <f t="shared" si="6"/>
        <v>0</v>
      </c>
      <c r="J35" s="485">
        <f t="shared" si="4"/>
        <v>0</v>
      </c>
    </row>
    <row r="36" spans="1:10">
      <c r="A36" s="431" t="s">
        <v>378</v>
      </c>
      <c r="B36" s="206">
        <f>折疊車!E36</f>
        <v>0</v>
      </c>
      <c r="C36" s="87">
        <v>0</v>
      </c>
      <c r="D36" s="488">
        <f t="shared" si="0"/>
        <v>0</v>
      </c>
      <c r="E36" s="507">
        <f>折疊車!G36</f>
        <v>0</v>
      </c>
      <c r="F36" s="207">
        <v>0</v>
      </c>
      <c r="G36" s="488">
        <f t="shared" si="1"/>
        <v>0</v>
      </c>
      <c r="H36" s="84">
        <f t="shared" si="5"/>
        <v>0</v>
      </c>
      <c r="I36" s="85">
        <f t="shared" si="6"/>
        <v>0</v>
      </c>
      <c r="J36" s="485">
        <f t="shared" si="4"/>
        <v>0</v>
      </c>
    </row>
    <row r="37" spans="1:10">
      <c r="A37" s="431" t="s">
        <v>212</v>
      </c>
      <c r="B37" s="206">
        <f>折疊車!E37</f>
        <v>0</v>
      </c>
      <c r="C37" s="87">
        <v>0</v>
      </c>
      <c r="D37" s="488">
        <f t="shared" si="0"/>
        <v>0</v>
      </c>
      <c r="E37" s="507">
        <f>折疊車!G37</f>
        <v>0</v>
      </c>
      <c r="F37" s="207">
        <v>0</v>
      </c>
      <c r="G37" s="488">
        <f t="shared" si="1"/>
        <v>0</v>
      </c>
      <c r="H37" s="84">
        <f t="shared" si="5"/>
        <v>0</v>
      </c>
      <c r="I37" s="85">
        <f t="shared" si="6"/>
        <v>0</v>
      </c>
      <c r="J37" s="485">
        <f t="shared" si="4"/>
        <v>0</v>
      </c>
    </row>
    <row r="38" spans="1:10">
      <c r="A38" s="431" t="s">
        <v>213</v>
      </c>
      <c r="B38" s="206">
        <f>折疊車!E38</f>
        <v>0</v>
      </c>
      <c r="C38" s="87">
        <v>100</v>
      </c>
      <c r="D38" s="488">
        <f t="shared" si="0"/>
        <v>-1</v>
      </c>
      <c r="E38" s="507">
        <f>折疊車!G38</f>
        <v>0</v>
      </c>
      <c r="F38" s="207">
        <v>18536</v>
      </c>
      <c r="G38" s="488">
        <f t="shared" si="1"/>
        <v>-1</v>
      </c>
      <c r="H38" s="84">
        <f t="shared" si="5"/>
        <v>0</v>
      </c>
      <c r="I38" s="85">
        <f t="shared" si="6"/>
        <v>185.36</v>
      </c>
      <c r="J38" s="485">
        <f t="shared" si="4"/>
        <v>-1</v>
      </c>
    </row>
    <row r="39" spans="1:10">
      <c r="A39" s="431" t="s">
        <v>18</v>
      </c>
      <c r="B39" s="206">
        <f>折疊車!E39</f>
        <v>0</v>
      </c>
      <c r="C39" s="87">
        <v>0</v>
      </c>
      <c r="D39" s="488">
        <f t="shared" si="0"/>
        <v>0</v>
      </c>
      <c r="E39" s="507">
        <f>折疊車!G39</f>
        <v>0</v>
      </c>
      <c r="F39" s="207">
        <v>0</v>
      </c>
      <c r="G39" s="488">
        <f t="shared" si="1"/>
        <v>0</v>
      </c>
      <c r="H39" s="84">
        <f t="shared" si="5"/>
        <v>0</v>
      </c>
      <c r="I39" s="85">
        <f t="shared" si="6"/>
        <v>0</v>
      </c>
      <c r="J39" s="485">
        <f t="shared" si="4"/>
        <v>0</v>
      </c>
    </row>
    <row r="40" spans="1:10">
      <c r="A40" s="30"/>
      <c r="B40" s="27"/>
      <c r="C40" s="87"/>
      <c r="D40" s="488"/>
      <c r="E40" s="507"/>
      <c r="F40" s="87"/>
      <c r="G40" s="488"/>
      <c r="H40" s="84"/>
      <c r="I40" s="85"/>
      <c r="J40" s="485"/>
    </row>
    <row r="41" spans="1:10" ht="16.149999999999999" customHeight="1">
      <c r="A41" s="36" t="s">
        <v>19</v>
      </c>
      <c r="B41" s="33">
        <f>SUM(B42:B45)</f>
        <v>0</v>
      </c>
      <c r="C41" s="88">
        <v>0</v>
      </c>
      <c r="D41" s="488">
        <f t="shared" si="0"/>
        <v>0</v>
      </c>
      <c r="E41" s="508">
        <f>SUM(E42:E45)</f>
        <v>0</v>
      </c>
      <c r="F41" s="88">
        <v>0</v>
      </c>
      <c r="G41" s="488">
        <f t="shared" si="1"/>
        <v>0</v>
      </c>
      <c r="H41" s="84">
        <f t="shared" si="5"/>
        <v>0</v>
      </c>
      <c r="I41" s="85">
        <f t="shared" si="6"/>
        <v>0</v>
      </c>
      <c r="J41" s="485">
        <f t="shared" si="4"/>
        <v>0</v>
      </c>
    </row>
    <row r="42" spans="1:10">
      <c r="A42" s="26" t="s">
        <v>214</v>
      </c>
      <c r="B42" s="27">
        <f>折疊車!E42</f>
        <v>0</v>
      </c>
      <c r="C42" s="87">
        <v>0</v>
      </c>
      <c r="D42" s="488">
        <f t="shared" si="0"/>
        <v>0</v>
      </c>
      <c r="E42" s="507">
        <f>折疊車!G42</f>
        <v>0</v>
      </c>
      <c r="F42" s="207">
        <v>0</v>
      </c>
      <c r="G42" s="488">
        <f t="shared" si="1"/>
        <v>0</v>
      </c>
      <c r="H42" s="84">
        <f t="shared" si="5"/>
        <v>0</v>
      </c>
      <c r="I42" s="85">
        <f t="shared" si="6"/>
        <v>0</v>
      </c>
      <c r="J42" s="485">
        <f t="shared" si="4"/>
        <v>0</v>
      </c>
    </row>
    <row r="43" spans="1:10">
      <c r="A43" s="26" t="s">
        <v>215</v>
      </c>
      <c r="B43" s="27">
        <f>折疊車!E43</f>
        <v>0</v>
      </c>
      <c r="C43" s="87">
        <v>0</v>
      </c>
      <c r="D43" s="488">
        <f t="shared" si="0"/>
        <v>0</v>
      </c>
      <c r="E43" s="507">
        <f>折疊車!G43</f>
        <v>0</v>
      </c>
      <c r="F43" s="207">
        <v>0</v>
      </c>
      <c r="G43" s="488">
        <f t="shared" si="1"/>
        <v>0</v>
      </c>
      <c r="H43" s="84">
        <f t="shared" si="5"/>
        <v>0</v>
      </c>
      <c r="I43" s="85">
        <f t="shared" si="6"/>
        <v>0</v>
      </c>
      <c r="J43" s="485">
        <f t="shared" si="4"/>
        <v>0</v>
      </c>
    </row>
    <row r="44" spans="1:10">
      <c r="A44" s="26" t="s">
        <v>216</v>
      </c>
      <c r="B44" s="27">
        <f>折疊車!E44</f>
        <v>0</v>
      </c>
      <c r="C44" s="87">
        <v>0</v>
      </c>
      <c r="D44" s="488">
        <f t="shared" si="0"/>
        <v>0</v>
      </c>
      <c r="E44" s="507">
        <f>折疊車!G44</f>
        <v>0</v>
      </c>
      <c r="F44" s="207">
        <v>0</v>
      </c>
      <c r="G44" s="488">
        <f t="shared" si="1"/>
        <v>0</v>
      </c>
      <c r="H44" s="84">
        <f t="shared" si="5"/>
        <v>0</v>
      </c>
      <c r="I44" s="85">
        <f t="shared" si="6"/>
        <v>0</v>
      </c>
      <c r="J44" s="485">
        <f t="shared" si="4"/>
        <v>0</v>
      </c>
    </row>
    <row r="45" spans="1:10">
      <c r="A45" s="30" t="s">
        <v>20</v>
      </c>
      <c r="B45" s="27">
        <f>折疊車!E45</f>
        <v>0</v>
      </c>
      <c r="C45" s="87">
        <v>0</v>
      </c>
      <c r="D45" s="488">
        <f t="shared" si="0"/>
        <v>0</v>
      </c>
      <c r="E45" s="507">
        <f>折疊車!G45</f>
        <v>0</v>
      </c>
      <c r="F45" s="207">
        <v>0</v>
      </c>
      <c r="G45" s="488">
        <f t="shared" si="1"/>
        <v>0</v>
      </c>
      <c r="H45" s="84">
        <f t="shared" si="5"/>
        <v>0</v>
      </c>
      <c r="I45" s="85">
        <f t="shared" si="6"/>
        <v>0</v>
      </c>
      <c r="J45" s="485">
        <f t="shared" si="4"/>
        <v>0</v>
      </c>
    </row>
    <row r="46" spans="1:10">
      <c r="A46" s="30"/>
      <c r="B46" s="27"/>
      <c r="C46" s="87"/>
      <c r="D46" s="488"/>
      <c r="E46" s="507"/>
      <c r="F46" s="87"/>
      <c r="G46" s="488"/>
      <c r="H46" s="84"/>
      <c r="I46" s="85"/>
      <c r="J46" s="485"/>
    </row>
    <row r="47" spans="1:10">
      <c r="A47" s="36" t="s">
        <v>21</v>
      </c>
      <c r="B47" s="33">
        <f>SUM(B48:B66)</f>
        <v>1539</v>
      </c>
      <c r="C47" s="88">
        <v>686</v>
      </c>
      <c r="D47" s="488">
        <f t="shared" si="0"/>
        <v>1.2434402332361516</v>
      </c>
      <c r="E47" s="508">
        <f>SUM(E48:E66)</f>
        <v>1121293</v>
      </c>
      <c r="F47" s="88">
        <v>542309</v>
      </c>
      <c r="G47" s="488">
        <f t="shared" si="1"/>
        <v>1.0676274965010724</v>
      </c>
      <c r="H47" s="84">
        <f t="shared" si="5"/>
        <v>728.58544509421699</v>
      </c>
      <c r="I47" s="85">
        <f t="shared" si="6"/>
        <v>790.53790087463562</v>
      </c>
      <c r="J47" s="485">
        <f t="shared" si="4"/>
        <v>-7.8367470695428584E-2</v>
      </c>
    </row>
    <row r="48" spans="1:10">
      <c r="A48" s="460" t="s">
        <v>157</v>
      </c>
      <c r="B48" s="27">
        <f>折疊車!E48</f>
        <v>0</v>
      </c>
      <c r="C48" s="87">
        <v>0</v>
      </c>
      <c r="D48" s="488">
        <f t="shared" si="0"/>
        <v>0</v>
      </c>
      <c r="E48" s="507">
        <f>折疊車!G48</f>
        <v>0</v>
      </c>
      <c r="F48" s="207">
        <v>0</v>
      </c>
      <c r="G48" s="488">
        <f t="shared" si="1"/>
        <v>0</v>
      </c>
      <c r="H48" s="84">
        <f t="shared" si="5"/>
        <v>0</v>
      </c>
      <c r="I48" s="85">
        <f t="shared" si="6"/>
        <v>0</v>
      </c>
      <c r="J48" s="485">
        <f t="shared" si="4"/>
        <v>0</v>
      </c>
    </row>
    <row r="49" spans="1:10">
      <c r="A49" s="430" t="s">
        <v>217</v>
      </c>
      <c r="B49" s="27">
        <f>折疊車!E49</f>
        <v>317</v>
      </c>
      <c r="C49" s="87">
        <v>162</v>
      </c>
      <c r="D49" s="488">
        <f t="shared" si="0"/>
        <v>0.95679012345679015</v>
      </c>
      <c r="E49" s="507">
        <f>折疊車!G49</f>
        <v>150756</v>
      </c>
      <c r="F49" s="207">
        <v>129813</v>
      </c>
      <c r="G49" s="488">
        <f t="shared" si="1"/>
        <v>0.16133206997758315</v>
      </c>
      <c r="H49" s="84">
        <f t="shared" si="5"/>
        <v>475.57097791798105</v>
      </c>
      <c r="I49" s="85">
        <f t="shared" si="6"/>
        <v>801.31481481481478</v>
      </c>
      <c r="J49" s="485">
        <f t="shared" si="4"/>
        <v>-0.40651168663606163</v>
      </c>
    </row>
    <row r="50" spans="1:10">
      <c r="A50" s="283" t="s">
        <v>218</v>
      </c>
      <c r="B50" s="27">
        <f>折疊車!E50</f>
        <v>0</v>
      </c>
      <c r="C50" s="87">
        <v>0</v>
      </c>
      <c r="D50" s="488">
        <f t="shared" si="0"/>
        <v>0</v>
      </c>
      <c r="E50" s="507">
        <f>折疊車!G50</f>
        <v>0</v>
      </c>
      <c r="F50" s="207">
        <v>0</v>
      </c>
      <c r="G50" s="488">
        <f t="shared" si="1"/>
        <v>0</v>
      </c>
      <c r="H50" s="84">
        <f t="shared" si="5"/>
        <v>0</v>
      </c>
      <c r="I50" s="85">
        <f t="shared" si="6"/>
        <v>0</v>
      </c>
      <c r="J50" s="485">
        <f t="shared" si="4"/>
        <v>0</v>
      </c>
    </row>
    <row r="51" spans="1:10">
      <c r="A51" s="430" t="s">
        <v>219</v>
      </c>
      <c r="B51" s="27">
        <f>折疊車!E51</f>
        <v>0</v>
      </c>
      <c r="C51" s="87">
        <v>0</v>
      </c>
      <c r="D51" s="488">
        <f t="shared" si="0"/>
        <v>0</v>
      </c>
      <c r="E51" s="507">
        <f>折疊車!G51</f>
        <v>0</v>
      </c>
      <c r="F51" s="207">
        <v>0</v>
      </c>
      <c r="G51" s="488">
        <f t="shared" si="1"/>
        <v>0</v>
      </c>
      <c r="H51" s="84">
        <f t="shared" si="5"/>
        <v>0</v>
      </c>
      <c r="I51" s="85">
        <f t="shared" si="6"/>
        <v>0</v>
      </c>
      <c r="J51" s="485">
        <f t="shared" si="4"/>
        <v>0</v>
      </c>
    </row>
    <row r="52" spans="1:10">
      <c r="A52" s="431" t="s">
        <v>22</v>
      </c>
      <c r="B52" s="27">
        <f>折疊車!E52</f>
        <v>0</v>
      </c>
      <c r="C52" s="87">
        <v>0</v>
      </c>
      <c r="D52" s="488">
        <f t="shared" si="0"/>
        <v>0</v>
      </c>
      <c r="E52" s="507">
        <f>折疊車!G52</f>
        <v>0</v>
      </c>
      <c r="F52" s="207">
        <v>0</v>
      </c>
      <c r="G52" s="488">
        <f t="shared" si="1"/>
        <v>0</v>
      </c>
      <c r="H52" s="84">
        <f t="shared" si="5"/>
        <v>0</v>
      </c>
      <c r="I52" s="85">
        <f t="shared" si="6"/>
        <v>0</v>
      </c>
      <c r="J52" s="485">
        <f t="shared" si="4"/>
        <v>0</v>
      </c>
    </row>
    <row r="53" spans="1:10">
      <c r="A53" s="430" t="s">
        <v>220</v>
      </c>
      <c r="B53" s="27">
        <f>折疊車!E53</f>
        <v>0</v>
      </c>
      <c r="C53" s="87">
        <v>0</v>
      </c>
      <c r="D53" s="488">
        <f t="shared" si="0"/>
        <v>0</v>
      </c>
      <c r="E53" s="507">
        <f>折疊車!G53</f>
        <v>0</v>
      </c>
      <c r="F53" s="207">
        <v>0</v>
      </c>
      <c r="G53" s="488">
        <f t="shared" si="1"/>
        <v>0</v>
      </c>
      <c r="H53" s="84">
        <f t="shared" si="5"/>
        <v>0</v>
      </c>
      <c r="I53" s="85">
        <f t="shared" si="6"/>
        <v>0</v>
      </c>
      <c r="J53" s="485">
        <f t="shared" si="4"/>
        <v>0</v>
      </c>
    </row>
    <row r="54" spans="1:10">
      <c r="A54" s="431" t="s">
        <v>221</v>
      </c>
      <c r="B54" s="27">
        <f>折疊車!E54</f>
        <v>0</v>
      </c>
      <c r="C54" s="87">
        <v>0</v>
      </c>
      <c r="D54" s="488">
        <f t="shared" si="0"/>
        <v>0</v>
      </c>
      <c r="E54" s="507">
        <f>折疊車!G54</f>
        <v>0</v>
      </c>
      <c r="F54" s="207">
        <v>0</v>
      </c>
      <c r="G54" s="488">
        <f t="shared" si="1"/>
        <v>0</v>
      </c>
      <c r="H54" s="84">
        <f t="shared" si="5"/>
        <v>0</v>
      </c>
      <c r="I54" s="85">
        <f t="shared" si="6"/>
        <v>0</v>
      </c>
      <c r="J54" s="485">
        <f t="shared" si="4"/>
        <v>0</v>
      </c>
    </row>
    <row r="55" spans="1:10">
      <c r="A55" s="431" t="s">
        <v>23</v>
      </c>
      <c r="B55" s="27">
        <f>折疊車!E55</f>
        <v>0</v>
      </c>
      <c r="C55" s="87">
        <v>0</v>
      </c>
      <c r="D55" s="488">
        <f t="shared" si="0"/>
        <v>0</v>
      </c>
      <c r="E55" s="507">
        <f>折疊車!G55</f>
        <v>0</v>
      </c>
      <c r="F55" s="207">
        <v>0</v>
      </c>
      <c r="G55" s="488">
        <f t="shared" si="1"/>
        <v>0</v>
      </c>
      <c r="H55" s="84">
        <f t="shared" si="5"/>
        <v>0</v>
      </c>
      <c r="I55" s="85">
        <f t="shared" si="6"/>
        <v>0</v>
      </c>
      <c r="J55" s="485">
        <f t="shared" si="4"/>
        <v>0</v>
      </c>
    </row>
    <row r="56" spans="1:10">
      <c r="A56" s="431" t="s">
        <v>222</v>
      </c>
      <c r="B56" s="27">
        <f>折疊車!E56</f>
        <v>215</v>
      </c>
      <c r="C56" s="87">
        <v>308</v>
      </c>
      <c r="D56" s="488">
        <f t="shared" si="0"/>
        <v>-0.30194805194805197</v>
      </c>
      <c r="E56" s="507">
        <f>折疊車!G56</f>
        <v>258004</v>
      </c>
      <c r="F56" s="207">
        <v>160374</v>
      </c>
      <c r="G56" s="488">
        <f t="shared" si="1"/>
        <v>0.60876451295097711</v>
      </c>
      <c r="H56" s="84">
        <f t="shared" si="5"/>
        <v>1200.0186046511628</v>
      </c>
      <c r="I56" s="85">
        <f t="shared" si="6"/>
        <v>520.69480519480521</v>
      </c>
      <c r="J56" s="485">
        <f t="shared" si="4"/>
        <v>1.3046486976227951</v>
      </c>
    </row>
    <row r="57" spans="1:10">
      <c r="A57" s="433" t="s">
        <v>223</v>
      </c>
      <c r="B57" s="27">
        <f>折疊車!E57</f>
        <v>524</v>
      </c>
      <c r="C57" s="87">
        <v>128</v>
      </c>
      <c r="D57" s="488">
        <f t="shared" si="0"/>
        <v>3.09375</v>
      </c>
      <c r="E57" s="507">
        <f>折疊車!G57</f>
        <v>438887</v>
      </c>
      <c r="F57" s="207">
        <v>163017</v>
      </c>
      <c r="G57" s="488">
        <f t="shared" si="1"/>
        <v>1.6922774925314539</v>
      </c>
      <c r="H57" s="84">
        <f t="shared" si="5"/>
        <v>837.57061068702285</v>
      </c>
      <c r="I57" s="85">
        <f t="shared" si="6"/>
        <v>1273.5703125</v>
      </c>
      <c r="J57" s="485">
        <f t="shared" si="4"/>
        <v>-0.3423444293052938</v>
      </c>
    </row>
    <row r="58" spans="1:10">
      <c r="A58" s="286" t="s">
        <v>379</v>
      </c>
      <c r="B58" s="27">
        <f>折疊車!E58</f>
        <v>82</v>
      </c>
      <c r="C58" s="87">
        <v>80</v>
      </c>
      <c r="D58" s="488">
        <f t="shared" si="0"/>
        <v>2.5000000000000001E-2</v>
      </c>
      <c r="E58" s="507">
        <f>折疊車!G58</f>
        <v>118840</v>
      </c>
      <c r="F58" s="207">
        <v>85527</v>
      </c>
      <c r="G58" s="488">
        <f t="shared" si="1"/>
        <v>0.38950273013200509</v>
      </c>
      <c r="H58" s="84">
        <f t="shared" si="5"/>
        <v>1449.2682926829268</v>
      </c>
      <c r="I58" s="85">
        <f t="shared" si="6"/>
        <v>1069.0875000000001</v>
      </c>
      <c r="J58" s="485">
        <f t="shared" si="4"/>
        <v>0.35561241964098045</v>
      </c>
    </row>
    <row r="59" spans="1:10">
      <c r="A59" s="431" t="s">
        <v>24</v>
      </c>
      <c r="B59" s="27">
        <f>折疊車!E59</f>
        <v>400</v>
      </c>
      <c r="C59" s="87">
        <v>0</v>
      </c>
      <c r="D59" s="488">
        <f t="shared" si="0"/>
        <v>0</v>
      </c>
      <c r="E59" s="507">
        <f>折疊車!G59</f>
        <v>154715</v>
      </c>
      <c r="F59" s="207">
        <v>0</v>
      </c>
      <c r="G59" s="488">
        <f t="shared" si="1"/>
        <v>0</v>
      </c>
      <c r="H59" s="84">
        <f t="shared" si="5"/>
        <v>386.78750000000002</v>
      </c>
      <c r="I59" s="85">
        <f t="shared" si="6"/>
        <v>0</v>
      </c>
      <c r="J59" s="485">
        <f t="shared" si="4"/>
        <v>0</v>
      </c>
    </row>
    <row r="60" spans="1:10">
      <c r="A60" s="431" t="s">
        <v>25</v>
      </c>
      <c r="B60" s="27">
        <f>折疊車!E60</f>
        <v>0</v>
      </c>
      <c r="C60" s="87">
        <v>0</v>
      </c>
      <c r="D60" s="488">
        <f t="shared" si="0"/>
        <v>0</v>
      </c>
      <c r="E60" s="507">
        <f>折疊車!G60</f>
        <v>0</v>
      </c>
      <c r="F60" s="207">
        <v>0</v>
      </c>
      <c r="G60" s="488">
        <f t="shared" si="1"/>
        <v>0</v>
      </c>
      <c r="H60" s="84">
        <f t="shared" si="5"/>
        <v>0</v>
      </c>
      <c r="I60" s="85">
        <f t="shared" si="6"/>
        <v>0</v>
      </c>
      <c r="J60" s="485">
        <f t="shared" si="4"/>
        <v>0</v>
      </c>
    </row>
    <row r="61" spans="1:10">
      <c r="A61" s="431" t="s">
        <v>26</v>
      </c>
      <c r="B61" s="27">
        <f>折疊車!E61</f>
        <v>0</v>
      </c>
      <c r="C61" s="87">
        <v>0</v>
      </c>
      <c r="D61" s="488">
        <f t="shared" si="0"/>
        <v>0</v>
      </c>
      <c r="E61" s="507">
        <f>折疊車!G61</f>
        <v>0</v>
      </c>
      <c r="F61" s="207">
        <v>0</v>
      </c>
      <c r="G61" s="488">
        <f t="shared" si="1"/>
        <v>0</v>
      </c>
      <c r="H61" s="84">
        <f t="shared" si="5"/>
        <v>0</v>
      </c>
      <c r="I61" s="85">
        <f t="shared" si="6"/>
        <v>0</v>
      </c>
      <c r="J61" s="485">
        <f t="shared" si="4"/>
        <v>0</v>
      </c>
    </row>
    <row r="62" spans="1:10">
      <c r="A62" s="286" t="s">
        <v>224</v>
      </c>
      <c r="B62" s="27">
        <f>折疊車!E62</f>
        <v>0</v>
      </c>
      <c r="C62" s="87">
        <v>0</v>
      </c>
      <c r="D62" s="488">
        <f t="shared" si="0"/>
        <v>0</v>
      </c>
      <c r="E62" s="507">
        <f>折疊車!G62</f>
        <v>0</v>
      </c>
      <c r="F62" s="207">
        <v>0</v>
      </c>
      <c r="G62" s="488">
        <f t="shared" si="1"/>
        <v>0</v>
      </c>
      <c r="H62" s="84">
        <f t="shared" si="5"/>
        <v>0</v>
      </c>
      <c r="I62" s="85">
        <f t="shared" si="6"/>
        <v>0</v>
      </c>
      <c r="J62" s="485">
        <f t="shared" si="4"/>
        <v>0</v>
      </c>
    </row>
    <row r="63" spans="1:10">
      <c r="A63" s="431" t="s">
        <v>27</v>
      </c>
      <c r="B63" s="27">
        <f>折疊車!E63</f>
        <v>0</v>
      </c>
      <c r="C63" s="87">
        <v>0</v>
      </c>
      <c r="D63" s="488">
        <f t="shared" si="0"/>
        <v>0</v>
      </c>
      <c r="E63" s="507">
        <f>折疊車!G63</f>
        <v>0</v>
      </c>
      <c r="F63" s="207">
        <v>0</v>
      </c>
      <c r="G63" s="488">
        <f t="shared" si="1"/>
        <v>0</v>
      </c>
      <c r="H63" s="84">
        <f t="shared" si="5"/>
        <v>0</v>
      </c>
      <c r="I63" s="85">
        <f t="shared" si="6"/>
        <v>0</v>
      </c>
      <c r="J63" s="485">
        <f t="shared" si="4"/>
        <v>0</v>
      </c>
    </row>
    <row r="64" spans="1:10">
      <c r="A64" s="286" t="s">
        <v>225</v>
      </c>
      <c r="B64" s="27">
        <f>折疊車!E64</f>
        <v>0</v>
      </c>
      <c r="C64" s="87">
        <v>0</v>
      </c>
      <c r="D64" s="488">
        <f t="shared" si="0"/>
        <v>0</v>
      </c>
      <c r="E64" s="507">
        <f>折疊車!G64</f>
        <v>0</v>
      </c>
      <c r="F64" s="207">
        <v>0</v>
      </c>
      <c r="G64" s="488">
        <f t="shared" si="1"/>
        <v>0</v>
      </c>
      <c r="H64" s="84">
        <f t="shared" si="5"/>
        <v>0</v>
      </c>
      <c r="I64" s="85">
        <f t="shared" si="6"/>
        <v>0</v>
      </c>
      <c r="J64" s="485">
        <f t="shared" si="4"/>
        <v>0</v>
      </c>
    </row>
    <row r="65" spans="1:10">
      <c r="A65" s="431" t="s">
        <v>28</v>
      </c>
      <c r="B65" s="27">
        <f>折疊車!E65</f>
        <v>0</v>
      </c>
      <c r="C65" s="87">
        <v>0</v>
      </c>
      <c r="D65" s="488">
        <f t="shared" si="0"/>
        <v>0</v>
      </c>
      <c r="E65" s="507">
        <f>折疊車!G65</f>
        <v>0</v>
      </c>
      <c r="F65" s="207">
        <v>0</v>
      </c>
      <c r="G65" s="488">
        <f t="shared" si="1"/>
        <v>0</v>
      </c>
      <c r="H65" s="84">
        <f t="shared" si="5"/>
        <v>0</v>
      </c>
      <c r="I65" s="85">
        <f t="shared" si="6"/>
        <v>0</v>
      </c>
      <c r="J65" s="485">
        <f t="shared" si="4"/>
        <v>0</v>
      </c>
    </row>
    <row r="66" spans="1:10">
      <c r="A66" s="286" t="s">
        <v>226</v>
      </c>
      <c r="B66" s="27">
        <f>折疊車!E66</f>
        <v>1</v>
      </c>
      <c r="C66" s="87">
        <v>8</v>
      </c>
      <c r="D66" s="488">
        <f t="shared" si="0"/>
        <v>-0.875</v>
      </c>
      <c r="E66" s="507">
        <f>折疊車!G66</f>
        <v>91</v>
      </c>
      <c r="F66" s="207">
        <v>3578</v>
      </c>
      <c r="G66" s="488">
        <f t="shared" si="1"/>
        <v>-0.97456679709334826</v>
      </c>
      <c r="H66" s="84">
        <f t="shared" si="5"/>
        <v>91</v>
      </c>
      <c r="I66" s="85">
        <f t="shared" si="6"/>
        <v>447.25</v>
      </c>
      <c r="J66" s="485">
        <f t="shared" si="4"/>
        <v>-0.79653437674678595</v>
      </c>
    </row>
    <row r="67" spans="1:10">
      <c r="A67" s="30" t="s">
        <v>29</v>
      </c>
      <c r="B67" s="27">
        <f>B68-B47-B41-B12-B7</f>
        <v>13</v>
      </c>
      <c r="C67" s="87">
        <v>7</v>
      </c>
      <c r="D67" s="488">
        <f t="shared" si="0"/>
        <v>0.8571428571428571</v>
      </c>
      <c r="E67" s="507">
        <f>E68-E47-E41-E12-E7</f>
        <v>15902</v>
      </c>
      <c r="F67" s="87">
        <v>917</v>
      </c>
      <c r="G67" s="488">
        <f t="shared" si="1"/>
        <v>16.341330425299891</v>
      </c>
      <c r="H67" s="84">
        <f t="shared" si="5"/>
        <v>1223.2307692307693</v>
      </c>
      <c r="I67" s="85">
        <f t="shared" si="6"/>
        <v>131</v>
      </c>
      <c r="J67" s="485">
        <f t="shared" si="4"/>
        <v>8.3376394597768648</v>
      </c>
    </row>
    <row r="68" spans="1:10">
      <c r="A68" s="32" t="s">
        <v>398</v>
      </c>
      <c r="B68" s="33">
        <f>折疊車!E68</f>
        <v>1813</v>
      </c>
      <c r="C68" s="87">
        <v>1383</v>
      </c>
      <c r="D68" s="488">
        <f t="shared" si="0"/>
        <v>0.3109182935647144</v>
      </c>
      <c r="E68" s="507">
        <f>折疊車!G68</f>
        <v>1304919</v>
      </c>
      <c r="F68" s="207">
        <v>876331</v>
      </c>
      <c r="G68" s="488">
        <f t="shared" si="1"/>
        <v>0.48907091042083412</v>
      </c>
      <c r="H68" s="84">
        <f t="shared" ref="H68" si="7">E68/B68</f>
        <v>719.75675675675677</v>
      </c>
      <c r="I68" s="85">
        <f>F68/C68</f>
        <v>633.64497469269702</v>
      </c>
      <c r="J68" s="485">
        <f t="shared" si="4"/>
        <v>0.135899100447884</v>
      </c>
    </row>
    <row r="69" spans="1:10" ht="9.75" customHeight="1">
      <c r="A69" s="38"/>
      <c r="B69" s="39"/>
      <c r="C69" s="145"/>
      <c r="D69" s="208"/>
      <c r="E69" s="509"/>
      <c r="F69" s="145"/>
      <c r="G69" s="208"/>
    </row>
    <row r="70" spans="1:10" ht="12.75" customHeight="1">
      <c r="A70" s="54" t="s">
        <v>458</v>
      </c>
      <c r="B70" s="13"/>
      <c r="E70" s="510"/>
      <c r="G70" s="57" t="s">
        <v>115</v>
      </c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8" customWidth="1"/>
    <col min="4" max="4" width="10.75" style="299" customWidth="1"/>
    <col min="5" max="5" width="13.625" style="5" customWidth="1"/>
    <col min="6" max="6" width="14.25" style="298" customWidth="1"/>
    <col min="7" max="7" width="11" style="299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502</v>
      </c>
      <c r="B1" s="124"/>
      <c r="C1" s="296"/>
      <c r="D1" s="297"/>
      <c r="E1" s="124"/>
      <c r="F1" s="296"/>
      <c r="G1" s="297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7" customFormat="1" ht="18" customHeight="1">
      <c r="A3" s="127" t="s">
        <v>413</v>
      </c>
      <c r="B3" s="128"/>
      <c r="C3" s="129"/>
      <c r="D3" s="130"/>
      <c r="E3" s="128"/>
      <c r="F3" s="131"/>
      <c r="G3" s="132"/>
      <c r="I3"/>
      <c r="J3"/>
      <c r="K3"/>
      <c r="L3"/>
      <c r="M3"/>
      <c r="N3"/>
      <c r="O3"/>
      <c r="P3"/>
    </row>
    <row r="4" spans="1:16" ht="18" customHeight="1">
      <c r="A4" s="133" t="s">
        <v>454</v>
      </c>
      <c r="B4" s="65"/>
      <c r="C4" s="300"/>
      <c r="D4" s="301"/>
      <c r="E4" s="65"/>
      <c r="F4" s="302"/>
      <c r="G4" s="137"/>
      <c r="I4"/>
      <c r="J4"/>
      <c r="K4"/>
      <c r="L4"/>
      <c r="M4"/>
      <c r="N4"/>
      <c r="O4"/>
      <c r="P4"/>
    </row>
    <row r="5" spans="1:16" ht="18" customHeight="1">
      <c r="A5" s="74" t="s">
        <v>49</v>
      </c>
      <c r="B5" s="138" t="s">
        <v>50</v>
      </c>
      <c r="C5" s="139"/>
      <c r="D5" s="140"/>
      <c r="E5" s="141" t="s">
        <v>51</v>
      </c>
      <c r="F5" s="139"/>
      <c r="G5" s="140"/>
      <c r="I5"/>
      <c r="J5"/>
      <c r="K5"/>
      <c r="L5"/>
      <c r="M5"/>
      <c r="N5"/>
      <c r="O5"/>
      <c r="P5"/>
    </row>
    <row r="6" spans="1:16" ht="18" customHeight="1">
      <c r="A6" s="91"/>
      <c r="B6" s="30" t="s">
        <v>452</v>
      </c>
      <c r="C6" s="142" t="s">
        <v>453</v>
      </c>
      <c r="D6" s="303" t="s">
        <v>57</v>
      </c>
      <c r="E6" s="30" t="s">
        <v>452</v>
      </c>
      <c r="F6" s="142" t="s">
        <v>453</v>
      </c>
      <c r="G6" s="303" t="s">
        <v>57</v>
      </c>
      <c r="I6" s="462"/>
      <c r="J6" s="462"/>
      <c r="K6" s="462"/>
      <c r="L6" s="462"/>
    </row>
    <row r="7" spans="1:16" ht="18" customHeight="1">
      <c r="A7" s="31">
        <v>1</v>
      </c>
      <c r="B7" s="363">
        <v>22972</v>
      </c>
      <c r="C7" s="88">
        <v>31988</v>
      </c>
      <c r="D7" s="485">
        <f t="shared" ref="D7:D19" si="0">(B7-C7)/C7</f>
        <v>-0.28185569588595721</v>
      </c>
      <c r="E7" s="33">
        <v>50191119</v>
      </c>
      <c r="F7" s="88">
        <v>61322914</v>
      </c>
      <c r="G7" s="485">
        <f t="shared" ref="G7:G19" si="1">(E7-F7)/F7</f>
        <v>-0.18152749557856954</v>
      </c>
      <c r="I7" s="462"/>
      <c r="J7" s="462"/>
    </row>
    <row r="8" spans="1:16" ht="18" customHeight="1">
      <c r="A8" s="31">
        <v>2</v>
      </c>
      <c r="B8" s="363">
        <v>30485</v>
      </c>
      <c r="C8" s="88">
        <v>35076</v>
      </c>
      <c r="D8" s="485">
        <f t="shared" si="0"/>
        <v>-0.1308872163302543</v>
      </c>
      <c r="E8" s="363">
        <v>62527249</v>
      </c>
      <c r="F8" s="88">
        <v>62026650</v>
      </c>
      <c r="G8" s="485">
        <f t="shared" si="1"/>
        <v>8.0707083165058886E-3</v>
      </c>
      <c r="I8" s="462"/>
      <c r="J8" s="462"/>
      <c r="K8" s="462"/>
      <c r="L8" s="462"/>
    </row>
    <row r="9" spans="1:16" ht="18" customHeight="1">
      <c r="A9" s="31">
        <v>3</v>
      </c>
      <c r="B9" s="363">
        <v>37101</v>
      </c>
      <c r="C9" s="88">
        <v>32952</v>
      </c>
      <c r="D9" s="485">
        <f t="shared" si="0"/>
        <v>0.12591041514930809</v>
      </c>
      <c r="E9" s="356">
        <v>73946776</v>
      </c>
      <c r="F9" s="88">
        <v>59290687</v>
      </c>
      <c r="G9" s="485">
        <f t="shared" si="1"/>
        <v>0.24719040614253635</v>
      </c>
      <c r="J9" s="462"/>
      <c r="K9" s="462"/>
    </row>
    <row r="10" spans="1:16" ht="18" customHeight="1">
      <c r="A10" s="31">
        <v>4</v>
      </c>
      <c r="B10" s="364">
        <v>26525</v>
      </c>
      <c r="C10" s="88">
        <v>30803</v>
      </c>
      <c r="D10" s="485">
        <f t="shared" si="0"/>
        <v>-0.13888257637243126</v>
      </c>
      <c r="E10" s="364">
        <v>50240865</v>
      </c>
      <c r="F10" s="88">
        <v>53645109</v>
      </c>
      <c r="G10" s="485">
        <f t="shared" si="1"/>
        <v>-6.345860905977467E-2</v>
      </c>
    </row>
    <row r="11" spans="1:16" ht="18" customHeight="1">
      <c r="A11" s="31">
        <v>5</v>
      </c>
      <c r="B11" s="363">
        <v>25793</v>
      </c>
      <c r="C11" s="88">
        <v>32671</v>
      </c>
      <c r="D11" s="485">
        <f t="shared" si="0"/>
        <v>-0.21052309387530227</v>
      </c>
      <c r="E11" s="363">
        <v>49517602</v>
      </c>
      <c r="F11" s="88">
        <v>61360549</v>
      </c>
      <c r="G11" s="485">
        <f t="shared" si="1"/>
        <v>-0.19300588395974097</v>
      </c>
    </row>
    <row r="12" spans="1:16" ht="18" customHeight="1">
      <c r="A12" s="31">
        <v>6</v>
      </c>
      <c r="B12" s="363"/>
      <c r="C12" s="88"/>
      <c r="D12" s="485"/>
      <c r="E12" s="363"/>
      <c r="F12" s="88"/>
      <c r="G12" s="485"/>
      <c r="J12" s="462"/>
      <c r="K12" s="462"/>
    </row>
    <row r="13" spans="1:16" ht="18" customHeight="1">
      <c r="A13" s="31">
        <v>7</v>
      </c>
      <c r="B13" s="365"/>
      <c r="C13" s="88"/>
      <c r="D13" s="485"/>
      <c r="E13" s="365"/>
      <c r="F13" s="88"/>
      <c r="G13" s="485"/>
    </row>
    <row r="14" spans="1:16" ht="18" customHeight="1">
      <c r="A14" s="31">
        <v>8</v>
      </c>
      <c r="B14" s="363"/>
      <c r="C14" s="88"/>
      <c r="D14" s="485"/>
      <c r="E14" s="363"/>
      <c r="F14" s="88"/>
      <c r="G14" s="485"/>
      <c r="J14" s="462"/>
      <c r="K14" s="462"/>
    </row>
    <row r="15" spans="1:16" ht="18" customHeight="1">
      <c r="A15" s="31">
        <v>9</v>
      </c>
      <c r="B15" s="27"/>
      <c r="C15" s="88"/>
      <c r="D15" s="485"/>
      <c r="E15" s="27"/>
      <c r="F15" s="88"/>
      <c r="G15" s="485"/>
    </row>
    <row r="16" spans="1:16" ht="18" customHeight="1">
      <c r="A16" s="31">
        <v>10</v>
      </c>
      <c r="B16" s="27"/>
      <c r="C16" s="88"/>
      <c r="D16" s="485"/>
      <c r="E16" s="27"/>
      <c r="F16" s="88"/>
      <c r="G16" s="485"/>
    </row>
    <row r="17" spans="1:18" ht="18" customHeight="1">
      <c r="A17" s="31">
        <v>11</v>
      </c>
      <c r="B17" s="27"/>
      <c r="C17" s="88"/>
      <c r="D17" s="485"/>
      <c r="E17" s="27"/>
      <c r="F17" s="88"/>
      <c r="G17" s="485"/>
    </row>
    <row r="18" spans="1:18" ht="18" customHeight="1">
      <c r="A18" s="31">
        <v>12</v>
      </c>
      <c r="B18" s="27"/>
      <c r="C18" s="88"/>
      <c r="D18" s="485"/>
      <c r="E18" s="27"/>
      <c r="F18" s="88"/>
      <c r="G18" s="485"/>
      <c r="I18" s="463"/>
      <c r="J18" s="463"/>
      <c r="K18" s="463"/>
      <c r="L18" s="463"/>
      <c r="M18"/>
      <c r="N18"/>
      <c r="O18"/>
      <c r="P18"/>
      <c r="Q18"/>
      <c r="R18"/>
    </row>
    <row r="19" spans="1:18" s="110" customFormat="1" ht="18" customHeight="1">
      <c r="A19" s="32" t="s">
        <v>48</v>
      </c>
      <c r="B19" s="33">
        <f>SUM(B7:B18)</f>
        <v>142876</v>
      </c>
      <c r="C19" s="88">
        <f>SUM(C7:C18)</f>
        <v>163490</v>
      </c>
      <c r="D19" s="485">
        <f t="shared" si="0"/>
        <v>-0.1260872224600893</v>
      </c>
      <c r="E19" s="33">
        <f>SUM(E7:E18)</f>
        <v>286423611</v>
      </c>
      <c r="F19" s="88">
        <f>SUM(F7:F18)</f>
        <v>297645909</v>
      </c>
      <c r="G19" s="485">
        <f t="shared" si="1"/>
        <v>-3.7703518377603502E-2</v>
      </c>
      <c r="H19" s="5"/>
      <c r="I19" s="463"/>
      <c r="J19" s="463"/>
      <c r="K19" s="463"/>
      <c r="L19" s="463"/>
      <c r="M19"/>
      <c r="N19"/>
      <c r="O19"/>
      <c r="P19"/>
      <c r="Q19"/>
      <c r="R19"/>
    </row>
    <row r="20" spans="1:18" s="110" customFormat="1" ht="12" customHeight="1">
      <c r="A20" s="38"/>
      <c r="B20" s="39"/>
      <c r="C20" s="464"/>
      <c r="D20" s="304"/>
      <c r="E20" s="39"/>
      <c r="F20" s="464"/>
      <c r="G20" s="304"/>
      <c r="H20" s="5"/>
      <c r="I20" s="463"/>
      <c r="J20" s="463"/>
      <c r="K20"/>
      <c r="L20"/>
      <c r="M20"/>
      <c r="N20"/>
      <c r="O20"/>
      <c r="P20"/>
      <c r="Q20"/>
      <c r="R20"/>
    </row>
    <row r="21" spans="1:18" s="110" customFormat="1" ht="10.5" customHeight="1">
      <c r="A21" s="38"/>
      <c r="B21" s="39"/>
      <c r="C21" s="464"/>
      <c r="D21" s="304"/>
      <c r="E21" s="39"/>
      <c r="F21" s="464"/>
      <c r="G21" s="304"/>
      <c r="H21" s="5"/>
      <c r="I21" s="463"/>
      <c r="J21" s="463"/>
      <c r="K21" s="463"/>
      <c r="L21" s="463"/>
      <c r="M21"/>
      <c r="N21"/>
      <c r="O21"/>
      <c r="P21"/>
      <c r="Q21"/>
      <c r="R21"/>
    </row>
    <row r="22" spans="1:18" ht="19.5" customHeight="1">
      <c r="A22" s="1" t="s">
        <v>503</v>
      </c>
      <c r="B22" s="124"/>
      <c r="C22" s="296"/>
      <c r="D22" s="297"/>
      <c r="E22" s="124"/>
      <c r="F22" s="296"/>
      <c r="G22" s="297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4"/>
      <c r="C23" s="296"/>
      <c r="D23" s="297"/>
      <c r="E23" s="124"/>
      <c r="F23" s="296"/>
      <c r="G23" s="297"/>
      <c r="I23"/>
      <c r="J23"/>
      <c r="K23"/>
      <c r="L23"/>
      <c r="M23"/>
      <c r="N23"/>
      <c r="O23"/>
      <c r="P23"/>
      <c r="Q23"/>
      <c r="R23"/>
    </row>
    <row r="24" spans="1:18" s="117" customFormat="1" ht="18" customHeight="1">
      <c r="A24" s="147" t="s">
        <v>411</v>
      </c>
      <c r="B24" s="148"/>
      <c r="C24" s="149"/>
      <c r="D24" s="150"/>
      <c r="E24" s="148"/>
      <c r="F24" s="151"/>
      <c r="G24" s="152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3" t="s">
        <v>454</v>
      </c>
      <c r="B25" s="153"/>
      <c r="C25" s="305"/>
      <c r="D25" s="306"/>
      <c r="E25" s="153"/>
      <c r="F25" s="307"/>
      <c r="G25" s="157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4" t="s">
        <v>49</v>
      </c>
      <c r="B26" s="158" t="s">
        <v>50</v>
      </c>
      <c r="C26" s="159"/>
      <c r="D26" s="160"/>
      <c r="E26" s="161" t="s">
        <v>51</v>
      </c>
      <c r="F26" s="159"/>
      <c r="G26" s="160"/>
    </row>
    <row r="27" spans="1:18" ht="18" customHeight="1">
      <c r="A27" s="91"/>
      <c r="B27" s="30" t="s">
        <v>452</v>
      </c>
      <c r="C27" s="142" t="s">
        <v>453</v>
      </c>
      <c r="D27" s="303" t="s">
        <v>408</v>
      </c>
      <c r="E27" s="30" t="s">
        <v>452</v>
      </c>
      <c r="F27" s="142" t="s">
        <v>453</v>
      </c>
      <c r="G27" s="303" t="s">
        <v>409</v>
      </c>
    </row>
    <row r="28" spans="1:18" ht="18" customHeight="1">
      <c r="A28" s="31">
        <v>1</v>
      </c>
      <c r="B28" s="363">
        <v>1</v>
      </c>
      <c r="C28" s="480">
        <v>11</v>
      </c>
      <c r="D28" s="485">
        <f>(B28-C28)/C28</f>
        <v>-0.90909090909090906</v>
      </c>
      <c r="E28" s="363">
        <v>122</v>
      </c>
      <c r="F28" s="480">
        <v>15617</v>
      </c>
      <c r="G28" s="485">
        <f>(E28-F28)/F28</f>
        <v>-0.99218800025613119</v>
      </c>
    </row>
    <row r="29" spans="1:18" ht="18" customHeight="1">
      <c r="A29" s="31">
        <v>2</v>
      </c>
      <c r="B29" s="363">
        <v>497</v>
      </c>
      <c r="C29" s="480">
        <v>106</v>
      </c>
      <c r="D29" s="485">
        <f>(B29-C29)/C29</f>
        <v>3.6886792452830188</v>
      </c>
      <c r="E29" s="363">
        <v>195148</v>
      </c>
      <c r="F29" s="480">
        <v>42589</v>
      </c>
      <c r="G29" s="485">
        <f>(E29-F29)/F29</f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63">
        <v>475</v>
      </c>
      <c r="C30" s="480">
        <v>326</v>
      </c>
      <c r="D30" s="485">
        <f>(B30-C30)/C30</f>
        <v>0.45705521472392641</v>
      </c>
      <c r="E30" s="363">
        <v>254443</v>
      </c>
      <c r="F30" s="480">
        <v>166330</v>
      </c>
      <c r="G30" s="485">
        <f>(E30-F30)/F30</f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63">
        <v>713</v>
      </c>
      <c r="C31" s="481">
        <v>686</v>
      </c>
      <c r="D31" s="485">
        <f>(B31-C31)/C31</f>
        <v>3.9358600583090382E-2</v>
      </c>
      <c r="E31" s="364">
        <v>728518</v>
      </c>
      <c r="F31" s="481">
        <v>422430</v>
      </c>
      <c r="G31" s="485">
        <f>(E31-F31)/F31</f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63">
        <v>127</v>
      </c>
      <c r="C32" s="480">
        <v>254</v>
      </c>
      <c r="D32" s="485">
        <f>(B32-C32)/C32</f>
        <v>-0.5</v>
      </c>
      <c r="E32" s="363">
        <v>126688</v>
      </c>
      <c r="F32" s="480">
        <v>229365</v>
      </c>
      <c r="G32" s="485">
        <f>(E32-F32)/F32</f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63"/>
      <c r="C33" s="480"/>
      <c r="D33" s="485"/>
      <c r="E33" s="363"/>
      <c r="F33" s="480"/>
      <c r="G33" s="485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63"/>
      <c r="C34" s="480"/>
      <c r="D34" s="485"/>
      <c r="E34" s="363"/>
      <c r="F34" s="480"/>
      <c r="G34" s="485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63"/>
      <c r="C35" s="480"/>
      <c r="D35" s="485"/>
      <c r="E35" s="363"/>
      <c r="F35" s="480"/>
      <c r="G35" s="485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80"/>
      <c r="D36" s="485"/>
      <c r="E36" s="27"/>
      <c r="F36" s="480"/>
      <c r="G36" s="48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80"/>
      <c r="D37" s="485"/>
      <c r="E37" s="27"/>
      <c r="F37" s="480"/>
      <c r="G37" s="48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7"/>
      <c r="D38" s="485"/>
      <c r="E38" s="27"/>
      <c r="F38" s="87"/>
      <c r="G38" s="48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7"/>
      <c r="D39" s="485"/>
      <c r="E39" s="27"/>
      <c r="F39" s="87"/>
      <c r="G39" s="485"/>
      <c r="I39" s="463"/>
      <c r="J39" s="463"/>
      <c r="K39"/>
      <c r="L39"/>
      <c r="M39"/>
      <c r="N39"/>
      <c r="O39"/>
      <c r="P39"/>
    </row>
    <row r="40" spans="1:16" s="110" customFormat="1" ht="18" customHeight="1">
      <c r="A40" s="32" t="s">
        <v>48</v>
      </c>
      <c r="B40" s="33">
        <f>SUM(B28:B39)</f>
        <v>1813</v>
      </c>
      <c r="C40" s="88">
        <f>SUM(C28:C39)</f>
        <v>1383</v>
      </c>
      <c r="D40" s="485">
        <f t="shared" ref="D40" si="2">(B40-C40)/C40</f>
        <v>0.3109182935647144</v>
      </c>
      <c r="E40" s="33">
        <f>SUM(E28:E39)</f>
        <v>1304919</v>
      </c>
      <c r="F40" s="88">
        <f>SUM(F28:F39)</f>
        <v>876331</v>
      </c>
      <c r="G40" s="485">
        <f t="shared" ref="G40" si="3">(E40-F40)/F40</f>
        <v>0.48907091042083412</v>
      </c>
      <c r="H40" s="5"/>
      <c r="I40"/>
      <c r="J40"/>
      <c r="K40"/>
      <c r="L40"/>
      <c r="M40"/>
      <c r="N40"/>
      <c r="O40"/>
      <c r="P40"/>
    </row>
    <row r="41" spans="1:16" s="110" customFormat="1" ht="10.5" customHeight="1">
      <c r="A41" s="38"/>
      <c r="B41" s="39"/>
      <c r="C41" s="464"/>
      <c r="D41" s="304"/>
      <c r="E41" s="39"/>
      <c r="F41" s="464"/>
      <c r="G41" s="304"/>
      <c r="H41" s="5"/>
      <c r="I41" s="463"/>
      <c r="J41" s="463"/>
      <c r="K41" s="463"/>
      <c r="L41" s="463"/>
      <c r="M41"/>
      <c r="N41"/>
      <c r="O41"/>
      <c r="P41"/>
    </row>
    <row r="42" spans="1:16" s="13" customFormat="1">
      <c r="A42" s="515" t="s">
        <v>479</v>
      </c>
      <c r="C42" s="163"/>
      <c r="D42" s="164"/>
      <c r="F42" s="163"/>
      <c r="G42" s="164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2.375" style="13" customWidth="1"/>
    <col min="2" max="2" width="1.5" style="13" customWidth="1"/>
    <col min="3" max="3" width="15.625" style="312" customWidth="1"/>
    <col min="4" max="4" width="16.625" style="312" customWidth="1"/>
    <col min="5" max="5" width="2.375" style="312" customWidth="1"/>
    <col min="6" max="6" width="17.125" style="312" customWidth="1"/>
    <col min="7" max="7" width="19" style="312" customWidth="1"/>
    <col min="8" max="8" width="2.125" style="312" customWidth="1"/>
    <col min="9" max="9" width="15.625" style="312" customWidth="1"/>
    <col min="10" max="10" width="17.875" style="312" customWidth="1"/>
    <col min="11" max="11" width="2.5" style="312" customWidth="1"/>
    <col min="12" max="12" width="17.125" style="312" customWidth="1"/>
    <col min="13" max="13" width="18.5" style="312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9" customFormat="1" ht="23.25">
      <c r="A1" s="1" t="s">
        <v>504</v>
      </c>
      <c r="B1" s="1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s="309" customFormat="1" ht="19.5">
      <c r="C2" s="310"/>
      <c r="D2" s="310"/>
      <c r="E2" s="310"/>
      <c r="F2" s="310"/>
      <c r="G2" s="310"/>
      <c r="H2" s="310"/>
      <c r="I2" s="310"/>
      <c r="J2" s="310"/>
      <c r="K2" s="310"/>
      <c r="L2" s="5"/>
      <c r="M2" s="310" t="s">
        <v>58</v>
      </c>
    </row>
    <row r="3" spans="1:13" s="309" customFormat="1" ht="19.5">
      <c r="A3" s="311"/>
      <c r="B3" s="311"/>
      <c r="C3" s="310"/>
      <c r="D3" s="310"/>
      <c r="E3" s="310"/>
      <c r="F3" s="310"/>
      <c r="G3" s="310"/>
      <c r="H3" s="310"/>
      <c r="I3" s="310"/>
      <c r="J3" s="310"/>
      <c r="K3" s="310"/>
      <c r="L3" s="5"/>
      <c r="M3" s="310" t="s">
        <v>59</v>
      </c>
    </row>
    <row r="4" spans="1:13">
      <c r="M4" s="5"/>
    </row>
    <row r="5" spans="1:13" s="309" customFormat="1" ht="19.5">
      <c r="A5" s="313" t="s">
        <v>60</v>
      </c>
      <c r="B5" s="314"/>
      <c r="C5" s="529" t="s">
        <v>505</v>
      </c>
      <c r="D5" s="530" t="s">
        <v>506</v>
      </c>
      <c r="E5" s="314"/>
      <c r="F5" s="315" t="s">
        <v>507</v>
      </c>
      <c r="G5" s="316" t="s">
        <v>508</v>
      </c>
      <c r="H5" s="314"/>
      <c r="I5" s="529" t="s">
        <v>509</v>
      </c>
      <c r="J5" s="530" t="s">
        <v>510</v>
      </c>
      <c r="K5" s="314"/>
      <c r="L5" s="315" t="s">
        <v>511</v>
      </c>
      <c r="M5" s="316" t="s">
        <v>512</v>
      </c>
    </row>
    <row r="6" spans="1:13" ht="19.5">
      <c r="A6" s="317">
        <v>85121010001</v>
      </c>
      <c r="B6" s="457"/>
      <c r="C6" s="456"/>
      <c r="D6" s="318"/>
      <c r="E6" s="456"/>
      <c r="F6" s="456"/>
      <c r="G6" s="318"/>
      <c r="H6" s="456"/>
      <c r="I6" s="456"/>
      <c r="J6" s="318"/>
      <c r="K6" s="456"/>
      <c r="L6" s="456"/>
      <c r="M6" s="318"/>
    </row>
    <row r="7" spans="1:13" ht="19.5">
      <c r="A7" s="319" t="s">
        <v>61</v>
      </c>
      <c r="B7" s="309"/>
      <c r="C7" s="445">
        <v>10778</v>
      </c>
      <c r="D7" s="445">
        <v>1379027</v>
      </c>
      <c r="F7" s="445">
        <v>49471</v>
      </c>
      <c r="G7" s="445">
        <v>5791012</v>
      </c>
      <c r="I7" s="445">
        <v>2592</v>
      </c>
      <c r="J7" s="445">
        <v>181867</v>
      </c>
      <c r="L7" s="445">
        <v>16234</v>
      </c>
      <c r="M7" s="445">
        <v>962508</v>
      </c>
    </row>
    <row r="8" spans="1:13" ht="19.5">
      <c r="A8" s="319" t="s">
        <v>62</v>
      </c>
      <c r="B8" s="13" t="s">
        <v>63</v>
      </c>
      <c r="C8" s="445">
        <v>89537</v>
      </c>
      <c r="D8" s="444" t="s">
        <v>391</v>
      </c>
      <c r="E8" s="13" t="s">
        <v>63</v>
      </c>
      <c r="F8" s="445">
        <v>416029</v>
      </c>
      <c r="G8" s="444" t="s">
        <v>390</v>
      </c>
      <c r="H8" s="13" t="s">
        <v>63</v>
      </c>
      <c r="I8" s="445">
        <v>48884</v>
      </c>
      <c r="J8" s="444" t="s">
        <v>391</v>
      </c>
      <c r="K8" s="312" t="s">
        <v>63</v>
      </c>
      <c r="L8" s="445">
        <v>239289</v>
      </c>
      <c r="M8" s="444" t="s">
        <v>390</v>
      </c>
    </row>
    <row r="9" spans="1:13" ht="19.5">
      <c r="A9" s="321">
        <v>85121020009</v>
      </c>
      <c r="B9" s="455"/>
      <c r="C9" s="453"/>
      <c r="D9" s="450"/>
      <c r="E9" s="454"/>
      <c r="F9" s="453"/>
      <c r="G9" s="450"/>
      <c r="H9" s="454"/>
      <c r="I9" s="453"/>
      <c r="J9" s="453"/>
      <c r="K9" s="454"/>
      <c r="L9" s="453"/>
      <c r="M9" s="453"/>
    </row>
    <row r="10" spans="1:13" ht="19.5">
      <c r="A10" s="319" t="s">
        <v>64</v>
      </c>
      <c r="B10" s="309"/>
      <c r="C10" s="445">
        <v>3618</v>
      </c>
      <c r="D10" s="445">
        <v>619260</v>
      </c>
      <c r="F10" s="445">
        <v>14326</v>
      </c>
      <c r="G10" s="445">
        <v>2283935</v>
      </c>
      <c r="I10" s="445">
        <v>1383</v>
      </c>
      <c r="J10" s="445">
        <v>121422</v>
      </c>
      <c r="L10" s="445">
        <v>7504</v>
      </c>
      <c r="M10" s="445">
        <v>584384</v>
      </c>
    </row>
    <row r="11" spans="1:13" ht="19.5">
      <c r="A11" s="319" t="s">
        <v>65</v>
      </c>
      <c r="B11" s="13" t="s">
        <v>63</v>
      </c>
      <c r="C11" s="445">
        <v>41697</v>
      </c>
      <c r="D11" s="444" t="s">
        <v>391</v>
      </c>
      <c r="E11" s="13" t="s">
        <v>63</v>
      </c>
      <c r="F11" s="445">
        <v>170623</v>
      </c>
      <c r="G11" s="444" t="s">
        <v>390</v>
      </c>
      <c r="H11" s="13" t="s">
        <v>63</v>
      </c>
      <c r="I11" s="445">
        <v>34959</v>
      </c>
      <c r="J11" s="444" t="s">
        <v>390</v>
      </c>
      <c r="K11" s="312" t="s">
        <v>63</v>
      </c>
      <c r="L11" s="445">
        <v>156911</v>
      </c>
      <c r="M11" s="444" t="s">
        <v>390</v>
      </c>
    </row>
    <row r="12" spans="1:13" ht="19.5">
      <c r="A12" s="322">
        <v>87149120007</v>
      </c>
      <c r="B12" s="449"/>
      <c r="C12" s="446"/>
      <c r="D12" s="450"/>
      <c r="E12" s="448"/>
      <c r="F12" s="446"/>
      <c r="G12" s="450"/>
      <c r="H12" s="448"/>
      <c r="I12" s="450"/>
      <c r="J12" s="446"/>
      <c r="K12" s="448"/>
      <c r="L12" s="453"/>
      <c r="M12" s="453"/>
    </row>
    <row r="13" spans="1:13" ht="19.5">
      <c r="A13" s="319" t="s">
        <v>67</v>
      </c>
      <c r="B13" s="309"/>
      <c r="C13" s="445">
        <f>VLOOKUP(A12,[12]進出口值表查詢結果!$A$10:$E$26,4,0)</f>
        <v>753856</v>
      </c>
      <c r="D13" s="445">
        <f>VLOOKUP(A12,[12]進出口值表查詢結果!$A$10:$E$26,3,0)</f>
        <v>49383567</v>
      </c>
      <c r="F13" s="445">
        <f>VLOOKUP(A12,[13]進出口值表查詢結果!$A$10:$E$26,4,0)</f>
        <v>3101961</v>
      </c>
      <c r="G13" s="445">
        <f>VLOOKUP(A12,[13]進出口值表查詢結果!$A$10:$E$26,3,0)</f>
        <v>202273843</v>
      </c>
      <c r="I13" s="445">
        <f>VLOOKUP(A12,[14]進出口值表查詢結果!$A$10:$E$26,4,0)</f>
        <v>325931</v>
      </c>
      <c r="J13" s="445">
        <f>VLOOKUP(A12,[14]進出口值表查詢結果!$A$10:$E$26,3,0)</f>
        <v>27749770</v>
      </c>
      <c r="L13" s="445">
        <f>VLOOKUP(A12,[15]進出口值表查詢結果!$A$10:$E$26,4,0)</f>
        <v>1648412</v>
      </c>
      <c r="M13" s="445">
        <f>VLOOKUP(A12,[15]進出口值表查詢結果!$A$10:$E$26,3,0)</f>
        <v>118624555</v>
      </c>
    </row>
    <row r="14" spans="1:13" ht="19.5">
      <c r="A14" s="319" t="s">
        <v>68</v>
      </c>
      <c r="B14" s="13" t="s">
        <v>63</v>
      </c>
      <c r="C14" s="445"/>
      <c r="D14" s="444"/>
      <c r="E14" s="13" t="s">
        <v>63</v>
      </c>
      <c r="F14" s="445"/>
      <c r="G14" s="444"/>
      <c r="I14" s="445"/>
      <c r="J14" s="444"/>
      <c r="L14" s="445"/>
      <c r="M14" s="444"/>
    </row>
    <row r="15" spans="1:13" ht="19.5">
      <c r="A15" s="322">
        <v>87149200108</v>
      </c>
      <c r="B15" s="449"/>
      <c r="C15" s="450"/>
      <c r="D15" s="446"/>
      <c r="E15" s="448"/>
      <c r="F15" s="450"/>
      <c r="G15" s="446"/>
      <c r="H15" s="448"/>
      <c r="I15" s="450"/>
      <c r="J15" s="446"/>
      <c r="K15" s="448"/>
      <c r="L15" s="450"/>
      <c r="M15" s="446"/>
    </row>
    <row r="16" spans="1:13" ht="19.5">
      <c r="A16" s="319" t="s">
        <v>69</v>
      </c>
      <c r="B16" s="309"/>
      <c r="C16" s="445">
        <f>VLOOKUP(A15,[12]進出口值表查詢結果!$A$10:$E$26,4,0)</f>
        <v>99107</v>
      </c>
      <c r="D16" s="445">
        <f>VLOOKUP(A15,[12]進出口值表查詢結果!$A$10:$E$26,3,0)</f>
        <v>3959778</v>
      </c>
      <c r="F16" s="445">
        <f>VLOOKUP(A15,[13]進出口值表查詢結果!$A$10:$E$26,4,0)</f>
        <v>472759</v>
      </c>
      <c r="G16" s="445">
        <f>VLOOKUP(A15,[13]進出口值表查詢結果!$A$10:$E$26,3,0)</f>
        <v>16794495</v>
      </c>
      <c r="I16" s="445">
        <f>VLOOKUP(A15,[14]進出口值表查詢結果!$A$10:$E$26,4,0)</f>
        <v>49364</v>
      </c>
      <c r="J16" s="445">
        <f>VLOOKUP(A15,[14]進出口值表查詢結果!$A$10:$E$26,3,0)</f>
        <v>6387540</v>
      </c>
      <c r="L16" s="445">
        <f>VLOOKUP(A15,[15]進出口值表查詢結果!$A$10:$E$26,4,0)</f>
        <v>260596</v>
      </c>
      <c r="M16" s="445">
        <f>VLOOKUP(A15,[15]進出口值表查詢結果!$A$10:$E$26,3,0)</f>
        <v>30714228</v>
      </c>
    </row>
    <row r="17" spans="1:13" ht="19.5">
      <c r="A17" s="319"/>
      <c r="B17" s="13" t="s">
        <v>63</v>
      </c>
      <c r="C17" s="445">
        <f>VLOOKUP(A15,[12]進出口值表查詢結果!$A$10:$E$26,5,0)</f>
        <v>173176</v>
      </c>
      <c r="D17" s="444" t="s">
        <v>150</v>
      </c>
      <c r="E17" s="13" t="s">
        <v>63</v>
      </c>
      <c r="F17" s="445">
        <f>VLOOKUP(A15,[13]進出口值表查詢結果!$A$10:$E$26,5,0)</f>
        <v>846287</v>
      </c>
      <c r="G17" s="444" t="s">
        <v>66</v>
      </c>
      <c r="H17" s="13" t="s">
        <v>63</v>
      </c>
      <c r="I17" s="445">
        <f>VLOOKUP(A15,[14]進出口值表查詢結果!$A$10:$E$26,5,0)</f>
        <v>103565</v>
      </c>
      <c r="J17" s="444" t="s">
        <v>66</v>
      </c>
      <c r="K17" s="312" t="s">
        <v>63</v>
      </c>
      <c r="L17" s="445">
        <f>VLOOKUP(A15,[15]進出口值表查詢結果!$A$10:$E$26,5,0)</f>
        <v>531108</v>
      </c>
      <c r="M17" s="444" t="s">
        <v>66</v>
      </c>
    </row>
    <row r="18" spans="1:13" ht="19.5">
      <c r="A18" s="322">
        <v>87149200206</v>
      </c>
      <c r="B18" s="449"/>
      <c r="C18" s="450"/>
      <c r="D18" s="446"/>
      <c r="E18" s="448"/>
      <c r="F18" s="450"/>
      <c r="G18" s="446"/>
      <c r="H18" s="448"/>
      <c r="I18" s="447"/>
      <c r="J18" s="446"/>
      <c r="K18" s="448"/>
      <c r="L18" s="447"/>
      <c r="M18" s="446"/>
    </row>
    <row r="19" spans="1:13" ht="19.5">
      <c r="A19" s="319" t="s">
        <v>54</v>
      </c>
      <c r="B19" s="309"/>
      <c r="C19" s="445">
        <f>VLOOKUP(A18,[12]進出口值表查詢結果!$A$10:$E$26,4,0)</f>
        <v>69544</v>
      </c>
      <c r="D19" s="445">
        <f>VLOOKUP(A18,[12]進出口值表查詢結果!$A$10:$E$26,3,0)</f>
        <v>916314</v>
      </c>
      <c r="F19" s="445">
        <f>VLOOKUP(A18,[13]進出口值表查詢結果!$A$10:$E$26,4,0)</f>
        <v>339302</v>
      </c>
      <c r="G19" s="445">
        <f>VLOOKUP(A18,[13]進出口值表查詢結果!$A$10:$E$26,3,0)</f>
        <v>4368532</v>
      </c>
      <c r="I19" s="445">
        <f>VLOOKUP(A18,[14]進出口值表查詢結果!$A$10:$E$26,4,0)</f>
        <v>7303</v>
      </c>
      <c r="J19" s="445">
        <f>VLOOKUP(A18,[14]進出口值表查詢結果!$A$10:$E$26,3,0)</f>
        <v>785170</v>
      </c>
      <c r="L19" s="445">
        <f>VLOOKUP(A18,[15]進出口值表查詢結果!$A$10:$E$26,4,0)</f>
        <v>45325</v>
      </c>
      <c r="M19" s="445">
        <f>VLOOKUP(A18,[15]進出口值表查詢結果!$A$10:$E$26,3,0)</f>
        <v>5325761</v>
      </c>
    </row>
    <row r="20" spans="1:13" ht="19.5">
      <c r="A20" s="319"/>
      <c r="B20" s="13" t="s">
        <v>63</v>
      </c>
      <c r="C20" s="445">
        <f>VLOOKUP(A18,[12]進出口值表查詢結果!$A$10:$E$26,5,0)</f>
        <v>13512943</v>
      </c>
      <c r="D20" s="444" t="s">
        <v>150</v>
      </c>
      <c r="E20" s="13" t="s">
        <v>63</v>
      </c>
      <c r="F20" s="445">
        <f>VLOOKUP(A18,[13]進出口值表查詢結果!$A$10:$E$26,5,0)</f>
        <v>51533966</v>
      </c>
      <c r="G20" s="444" t="s">
        <v>66</v>
      </c>
      <c r="H20" s="13" t="s">
        <v>63</v>
      </c>
      <c r="I20" s="445">
        <f>VLOOKUP(A18,[14]進出口值表查詢結果!$A$10:$E$26,5,0)</f>
        <v>1371747</v>
      </c>
      <c r="J20" s="444" t="s">
        <v>66</v>
      </c>
      <c r="K20" s="312" t="s">
        <v>63</v>
      </c>
      <c r="L20" s="445">
        <f>VLOOKUP(A18,[15]進出口值表查詢結果!$A$10:$E$26,5,0)</f>
        <v>9428220</v>
      </c>
      <c r="M20" s="444" t="s">
        <v>66</v>
      </c>
    </row>
    <row r="21" spans="1:13" ht="19.5">
      <c r="A21" s="322">
        <v>87149200304</v>
      </c>
      <c r="B21" s="449"/>
      <c r="C21" s="450"/>
      <c r="D21" s="446"/>
      <c r="E21" s="448"/>
      <c r="F21" s="450"/>
      <c r="G21" s="446"/>
      <c r="H21" s="448"/>
      <c r="I21" s="447"/>
      <c r="J21" s="446"/>
      <c r="K21" s="448"/>
      <c r="L21" s="447"/>
      <c r="M21" s="446"/>
    </row>
    <row r="22" spans="1:13" ht="19.5">
      <c r="A22" s="319" t="s">
        <v>55</v>
      </c>
      <c r="B22" s="309"/>
      <c r="C22" s="445">
        <f>VLOOKUP(A21,[12]進出口值表查詢結果!$A$10:$E$26,4,0)</f>
        <v>64548</v>
      </c>
      <c r="D22" s="445">
        <f>VLOOKUP(A21,[12]進出口值表查詢結果!$A$10:$E$26,3,0)</f>
        <v>8660515</v>
      </c>
      <c r="E22" s="312">
        <f>[16]二全年出口類別合計驗算!U18</f>
        <v>0</v>
      </c>
      <c r="F22" s="445">
        <f>VLOOKUP(A21,[13]進出口值表查詢結果!$A$10:$E$26,4,0)</f>
        <v>278483</v>
      </c>
      <c r="G22" s="445">
        <f>VLOOKUP(A21,[13]進出口值表查詢結果!$A$10:$E$26,3,0)</f>
        <v>38668595</v>
      </c>
      <c r="I22" s="445">
        <f>VLOOKUP(A21,[14]進出口值表查詢結果!$A$10:$E$26,4,0)</f>
        <v>7476</v>
      </c>
      <c r="J22" s="445">
        <f>VLOOKUP(A21,[14]進出口值表查詢結果!$A$10:$E$26,3,0)</f>
        <v>597701</v>
      </c>
      <c r="L22" s="445">
        <f>VLOOKUP(A21,[15]進出口值表查詢結果!$A$10:$E$26,4,0)</f>
        <v>35830</v>
      </c>
      <c r="M22" s="445">
        <f>VLOOKUP(A21,[15]進出口值表查詢結果!$A$10:$E$26,3,0)</f>
        <v>3415563</v>
      </c>
    </row>
    <row r="23" spans="1:13" ht="19.5">
      <c r="A23" s="322">
        <v>87149310007</v>
      </c>
      <c r="B23" s="449"/>
      <c r="C23" s="450"/>
      <c r="D23" s="446"/>
      <c r="E23" s="448"/>
      <c r="F23" s="450"/>
      <c r="G23" s="446"/>
      <c r="H23" s="448"/>
      <c r="I23" s="447"/>
      <c r="J23" s="446"/>
      <c r="K23" s="448"/>
      <c r="L23" s="447"/>
      <c r="M23" s="446"/>
    </row>
    <row r="24" spans="1:13" ht="19.5">
      <c r="A24" s="319" t="s">
        <v>70</v>
      </c>
      <c r="B24" s="309"/>
      <c r="C24" s="445">
        <f>VLOOKUP(A23,[12]進出口值表查詢結果!$A$10:$E$26,4,0)</f>
        <v>56395</v>
      </c>
      <c r="D24" s="445">
        <f>VLOOKUP(A23,[12]進出口值表查詢結果!$A$10:$E$26,3,0)</f>
        <v>4036682</v>
      </c>
      <c r="F24" s="445">
        <f>VLOOKUP(A23,[13]進出口值表查詢結果!$A$10:$E$26,4,0)</f>
        <v>242366</v>
      </c>
      <c r="G24" s="445">
        <f>VLOOKUP(A23,[13]進出口值表查詢結果!$A$10:$E$26,3,0)</f>
        <v>19304622</v>
      </c>
      <c r="I24" s="445">
        <f>VLOOKUP(A23,[14]進出口值表查詢結果!$A$10:$E$26,4,0)</f>
        <v>28574</v>
      </c>
      <c r="J24" s="445">
        <f>VLOOKUP(A23,[14]進出口值表查詢結果!$A$10:$E$26,3,0)</f>
        <v>1908198</v>
      </c>
      <c r="L24" s="445">
        <f>VLOOKUP(A23,[15]進出口值表查詢結果!$A$10:$E$26,4,0)</f>
        <v>200586</v>
      </c>
      <c r="M24" s="445">
        <f>VLOOKUP(A23,[15]進出口值表查詢結果!$A$10:$E$26,3,0)</f>
        <v>10126926</v>
      </c>
    </row>
    <row r="25" spans="1:13" ht="19.5">
      <c r="A25" s="319" t="s">
        <v>71</v>
      </c>
      <c r="B25" s="309"/>
      <c r="C25" s="445"/>
      <c r="D25" s="444"/>
      <c r="F25" s="445"/>
      <c r="G25" s="444"/>
      <c r="I25" s="445"/>
      <c r="J25" s="444"/>
      <c r="L25" s="445"/>
      <c r="M25" s="444"/>
    </row>
    <row r="26" spans="1:13" ht="19.5">
      <c r="A26" s="319" t="s">
        <v>72</v>
      </c>
      <c r="B26" s="309"/>
      <c r="C26" s="445"/>
      <c r="D26" s="444"/>
      <c r="F26" s="445"/>
      <c r="G26" s="444"/>
      <c r="I26" s="445"/>
      <c r="J26" s="444"/>
      <c r="L26" s="445"/>
      <c r="M26" s="444"/>
    </row>
    <row r="27" spans="1:13" ht="19.5">
      <c r="A27" s="322">
        <v>87149320103</v>
      </c>
      <c r="B27" s="449"/>
      <c r="C27" s="450"/>
      <c r="D27" s="446"/>
      <c r="E27" s="448"/>
      <c r="F27" s="450"/>
      <c r="G27" s="446"/>
      <c r="H27" s="448"/>
      <c r="I27" s="447"/>
      <c r="J27" s="446"/>
      <c r="K27" s="448"/>
      <c r="L27" s="447"/>
      <c r="M27" s="446"/>
    </row>
    <row r="28" spans="1:13" ht="19.5">
      <c r="A28" s="319" t="s">
        <v>404</v>
      </c>
      <c r="B28" s="309"/>
      <c r="C28" s="445">
        <f>VLOOKUP(A27,[12]進出口值表查詢結果!$A$10:$E$26,4,0)</f>
        <v>1947</v>
      </c>
      <c r="D28" s="445">
        <f>VLOOKUP(A27,[12]進出口值表查詢結果!$A$10:$E$26,3,0)</f>
        <v>64781</v>
      </c>
      <c r="F28" s="445">
        <f>VLOOKUP(A27,[13]進出口值表查詢結果!$A$10:$E$26,4,0)</f>
        <v>11971</v>
      </c>
      <c r="G28" s="445">
        <f>VLOOKUP(A27,[13]進出口值表查詢結果!$A$10:$E$26,3,0)</f>
        <v>400030</v>
      </c>
      <c r="I28" s="445">
        <f>VLOOKUP(A27,[14]進出口值表查詢結果!$A$10:$E$26,4,0)</f>
        <v>2226</v>
      </c>
      <c r="J28" s="445">
        <f>VLOOKUP(A27,[14]進出口值表查詢結果!$A$10:$E$26,3,0)</f>
        <v>92265</v>
      </c>
      <c r="L28" s="445">
        <f>VLOOKUP(A27,[15]進出口值表查詢結果!$A$10:$E$26,4,0)</f>
        <v>4131</v>
      </c>
      <c r="M28" s="445">
        <f>VLOOKUP(A27,[15]進出口值表查詢結果!$A$10:$E$26,3,0)</f>
        <v>181590</v>
      </c>
    </row>
    <row r="29" spans="1:13" ht="19.5">
      <c r="A29" s="322">
        <v>87149410006</v>
      </c>
      <c r="B29" s="449"/>
      <c r="C29" s="450"/>
      <c r="D29" s="446"/>
      <c r="E29" s="448"/>
      <c r="F29" s="450"/>
      <c r="G29" s="446"/>
      <c r="H29" s="448"/>
      <c r="I29" s="447"/>
      <c r="J29" s="446"/>
      <c r="K29" s="448"/>
      <c r="L29" s="447"/>
      <c r="M29" s="446"/>
    </row>
    <row r="30" spans="1:13" ht="19.5">
      <c r="A30" s="319" t="s">
        <v>73</v>
      </c>
      <c r="B30" s="309"/>
      <c r="C30" s="445">
        <f>VLOOKUP(A29,[12]進出口值表查詢結果!$A$10:$E$26,4,0)</f>
        <v>12828</v>
      </c>
      <c r="D30" s="445">
        <f>VLOOKUP(A29,[12]進出口值表查詢結果!$A$10:$E$26,3,0)</f>
        <v>311924</v>
      </c>
      <c r="F30" s="445">
        <f>VLOOKUP(A29,[13]進出口值表查詢結果!$A$10:$E$26,4,0)</f>
        <v>42418</v>
      </c>
      <c r="G30" s="445">
        <f>VLOOKUP(A29,[13]進出口值表查詢結果!$A$10:$E$26,3,0)</f>
        <v>974451</v>
      </c>
      <c r="I30" s="445">
        <f>VLOOKUP(A29,[14]進出口值表查詢結果!$A$10:$E$26,4,0)</f>
        <v>4019</v>
      </c>
      <c r="J30" s="445">
        <f>VLOOKUP(A29,[14]進出口值表查詢結果!$A$10:$E$26,3,0)</f>
        <v>147818</v>
      </c>
      <c r="L30" s="445">
        <f>VLOOKUP(A29,[15]進出口值表查詢結果!$A$10:$E$26,4,0)</f>
        <v>13112</v>
      </c>
      <c r="M30" s="445">
        <f>VLOOKUP(A29,[15]進出口值表查詢結果!$A$10:$E$26,3,0)</f>
        <v>690789</v>
      </c>
    </row>
    <row r="31" spans="1:13" ht="19.5">
      <c r="A31" s="319" t="s">
        <v>74</v>
      </c>
      <c r="B31" s="309"/>
      <c r="C31" s="445"/>
      <c r="D31" s="444"/>
      <c r="F31" s="445"/>
      <c r="G31" s="444"/>
      <c r="I31" s="445"/>
      <c r="J31" s="444"/>
      <c r="L31" s="445"/>
      <c r="M31" s="444"/>
    </row>
    <row r="32" spans="1:13" ht="19.5">
      <c r="A32" s="322">
        <v>87149490009</v>
      </c>
      <c r="B32" s="449"/>
      <c r="C32" s="450"/>
      <c r="D32" s="446"/>
      <c r="E32" s="448"/>
      <c r="F32" s="450"/>
      <c r="G32" s="446"/>
      <c r="H32" s="448"/>
      <c r="I32" s="447"/>
      <c r="J32" s="446"/>
      <c r="K32" s="448"/>
      <c r="L32" s="447"/>
      <c r="M32" s="446"/>
    </row>
    <row r="33" spans="1:13" ht="19.5">
      <c r="A33" s="319" t="s">
        <v>75</v>
      </c>
      <c r="B33" s="309"/>
      <c r="C33" s="445">
        <f>VLOOKUP(A32,[12]進出口值表查詢結果!$A$10:$E$26,4,0)</f>
        <v>402543</v>
      </c>
      <c r="D33" s="445">
        <f>VLOOKUP(A32,[12]進出口值表查詢結果!$A$10:$E$26,3,0)</f>
        <v>17927721</v>
      </c>
      <c r="F33" s="445">
        <f>VLOOKUP(A32,[13]進出口值表查詢結果!$A$10:$E$26,4,0)</f>
        <v>1753968</v>
      </c>
      <c r="G33" s="445">
        <f>VLOOKUP(A32,[13]進出口值表查詢結果!$A$10:$E$26,3,0)</f>
        <v>73654128</v>
      </c>
      <c r="I33" s="445">
        <f>VLOOKUP(A32,[14]進出口值表查詢結果!$A$10:$E$26,4,0)</f>
        <v>140424</v>
      </c>
      <c r="J33" s="445">
        <f>VLOOKUP(A32,[14]進出口值表查詢結果!$A$10:$E$26,3,0)</f>
        <v>7458363</v>
      </c>
      <c r="L33" s="445">
        <f>VLOOKUP(A32,[15]進出口值表查詢結果!$A$10:$E$26,4,0)</f>
        <v>637590</v>
      </c>
      <c r="M33" s="445">
        <f>VLOOKUP(A32,[15]進出口值表查詢結果!$A$10:$E$26,3,0)</f>
        <v>30506418</v>
      </c>
    </row>
    <row r="34" spans="1:13" ht="19.5">
      <c r="A34" s="319" t="s">
        <v>76</v>
      </c>
      <c r="B34" s="309"/>
      <c r="C34" s="445"/>
      <c r="D34" s="444"/>
      <c r="F34" s="445"/>
      <c r="G34" s="444"/>
      <c r="I34" s="445"/>
      <c r="J34" s="444"/>
      <c r="L34" s="445"/>
      <c r="M34" s="444"/>
    </row>
    <row r="35" spans="1:13" ht="19.5">
      <c r="A35" s="322">
        <v>87149500007</v>
      </c>
      <c r="B35" s="449"/>
      <c r="C35" s="447"/>
      <c r="D35" s="446"/>
      <c r="E35" s="448"/>
      <c r="F35" s="447"/>
      <c r="G35" s="446"/>
      <c r="H35" s="448"/>
      <c r="I35" s="447"/>
      <c r="J35" s="446"/>
      <c r="K35" s="448"/>
      <c r="L35" s="447"/>
      <c r="M35" s="446"/>
    </row>
    <row r="36" spans="1:13" ht="19.5">
      <c r="A36" s="319" t="s">
        <v>77</v>
      </c>
      <c r="B36" s="309"/>
      <c r="C36" s="445">
        <f>VLOOKUP(A35,[12]進出口值表查詢結果!$A$10:$E$26,4,0)</f>
        <v>159964</v>
      </c>
      <c r="D36" s="445">
        <f>VLOOKUP(A35,[12]進出口值表查詢結果!$A$10:$E$26,3,0)</f>
        <v>3356961</v>
      </c>
      <c r="F36" s="445">
        <f>VLOOKUP(A35,[13]進出口值表查詢結果!$A$10:$E$26,4,0)</f>
        <v>636817</v>
      </c>
      <c r="G36" s="445">
        <f>VLOOKUP(A35,[13]進出口值表查詢結果!$A$10:$E$26,3,0)</f>
        <v>13441087</v>
      </c>
      <c r="I36" s="445">
        <f>VLOOKUP(A35,[14]進出口值表查詢結果!$A$10:$E$26,4,0)</f>
        <v>68103</v>
      </c>
      <c r="J36" s="445">
        <f>VLOOKUP(A35,[14]進出口值表查詢結果!$A$10:$E$26,3,0)</f>
        <v>827902</v>
      </c>
      <c r="L36" s="445">
        <f>VLOOKUP(A35,[15]進出口值表查詢結果!$A$10:$E$26,4,0)</f>
        <v>290602</v>
      </c>
      <c r="M36" s="445">
        <f>VLOOKUP(A35,[15]進出口值表查詢結果!$A$10:$E$26,3,0)</f>
        <v>4124318</v>
      </c>
    </row>
    <row r="37" spans="1:13" ht="19.5">
      <c r="A37" s="322">
        <v>87149610004</v>
      </c>
      <c r="B37" s="449"/>
      <c r="C37" s="447"/>
      <c r="D37" s="446"/>
      <c r="E37" s="448"/>
      <c r="F37" s="447"/>
      <c r="G37" s="446"/>
      <c r="H37" s="448"/>
      <c r="I37" s="447"/>
      <c r="J37" s="446"/>
      <c r="K37" s="448"/>
      <c r="L37" s="447"/>
      <c r="M37" s="446"/>
    </row>
    <row r="38" spans="1:13" ht="19.5">
      <c r="A38" s="319" t="s">
        <v>78</v>
      </c>
      <c r="B38" s="309"/>
      <c r="C38" s="445">
        <f>VLOOKUP(A37,[12]進出口值表查詢結果!$A$10:$E$26,4,0)</f>
        <v>205027</v>
      </c>
      <c r="D38" s="445">
        <f>VLOOKUP(A37,[12]進出口值表查詢結果!$A$10:$E$26,3,0)</f>
        <v>4991207</v>
      </c>
      <c r="F38" s="445">
        <f>VLOOKUP(A37,[13]進出口值表查詢結果!$A$10:$E$26,4,0)</f>
        <v>743712</v>
      </c>
      <c r="G38" s="445">
        <f>VLOOKUP(A37,[13]進出口值表查詢結果!$A$10:$E$26,3,0)</f>
        <v>17666422</v>
      </c>
      <c r="I38" s="445">
        <f>VLOOKUP(A37,[14]進出口值表查詢結果!$A$10:$E$26,4,0)</f>
        <v>19362</v>
      </c>
      <c r="J38" s="445">
        <f>VLOOKUP(A37,[14]進出口值表查詢結果!$A$10:$E$26,3,0)</f>
        <v>218973</v>
      </c>
      <c r="L38" s="445">
        <f>VLOOKUP(A37,[15]進出口值表查詢結果!$A$10:$E$26,4,0)</f>
        <v>97417</v>
      </c>
      <c r="M38" s="445">
        <f>VLOOKUP(A37,[15]進出口值表查詢結果!$A$10:$E$26,3,0)</f>
        <v>1324940</v>
      </c>
    </row>
    <row r="39" spans="1:13" ht="19.5">
      <c r="A39" s="322">
        <v>87149620002</v>
      </c>
      <c r="B39" s="449"/>
      <c r="C39" s="450"/>
      <c r="D39" s="446"/>
      <c r="E39" s="448"/>
      <c r="F39" s="450"/>
      <c r="G39" s="446"/>
      <c r="H39" s="448"/>
      <c r="I39" s="447"/>
      <c r="J39" s="446"/>
      <c r="K39" s="448"/>
      <c r="L39" s="447"/>
      <c r="M39" s="446"/>
    </row>
    <row r="40" spans="1:13" ht="19.5">
      <c r="A40" s="319" t="s">
        <v>79</v>
      </c>
      <c r="B40" s="309"/>
      <c r="C40" s="445">
        <f>VLOOKUP(A39,[12]進出口值表查詢結果!$A$10:$E$26,4,0)</f>
        <v>185649</v>
      </c>
      <c r="D40" s="445">
        <f>VLOOKUP(A39,[12]進出口值表查詢結果!$A$10:$E$26,3,0)</f>
        <v>12453379</v>
      </c>
      <c r="F40" s="445">
        <f>VLOOKUP(A39,[13]進出口值表查詢結果!$A$10:$E$26,4,0)</f>
        <v>706255</v>
      </c>
      <c r="G40" s="445">
        <f>VLOOKUP(A39,[13]進出口值表查詢結果!$A$10:$E$26,3,0)</f>
        <v>38425656</v>
      </c>
      <c r="I40" s="445">
        <f>VLOOKUP(A39,[14]進出口值表查詢結果!$A$10:$E$26,4,0)</f>
        <v>107248</v>
      </c>
      <c r="J40" s="445">
        <f>VLOOKUP(A39,[14]進出口值表查詢結果!$A$10:$E$26,3,0)</f>
        <v>3447425</v>
      </c>
      <c r="L40" s="445">
        <f>VLOOKUP(A39,[15]進出口值表查詢結果!$A$10:$E$26,4,0)</f>
        <v>500722</v>
      </c>
      <c r="M40" s="445">
        <f>VLOOKUP(A39,[15]進出口值表查詢結果!$A$10:$E$26,3,0)</f>
        <v>13676670</v>
      </c>
    </row>
    <row r="41" spans="1:13" ht="19.5">
      <c r="A41" s="319" t="s">
        <v>74</v>
      </c>
      <c r="B41" s="309"/>
      <c r="C41" s="445"/>
      <c r="D41" s="445"/>
      <c r="F41" s="445"/>
      <c r="G41" s="445"/>
      <c r="I41" s="445"/>
      <c r="J41" s="445"/>
      <c r="L41" s="445"/>
      <c r="M41" s="445"/>
    </row>
    <row r="42" spans="1:13" ht="19.5">
      <c r="A42" s="322">
        <v>73151100209</v>
      </c>
      <c r="B42" s="449"/>
      <c r="C42" s="446"/>
      <c r="D42" s="450"/>
      <c r="E42" s="448"/>
      <c r="F42" s="446"/>
      <c r="G42" s="450"/>
      <c r="H42" s="448"/>
      <c r="I42" s="447"/>
      <c r="J42" s="446"/>
      <c r="K42" s="448"/>
      <c r="L42" s="447"/>
      <c r="M42" s="446"/>
    </row>
    <row r="43" spans="1:13" ht="19.5">
      <c r="A43" s="319" t="s">
        <v>80</v>
      </c>
      <c r="B43" s="309"/>
      <c r="C43" s="445">
        <v>96665</v>
      </c>
      <c r="D43" s="445">
        <v>2287915</v>
      </c>
      <c r="F43" s="445">
        <v>505852</v>
      </c>
      <c r="G43" s="445">
        <v>10862789</v>
      </c>
      <c r="I43" s="445">
        <v>77159</v>
      </c>
      <c r="J43" s="445">
        <v>790766</v>
      </c>
      <c r="L43" s="445">
        <v>441073</v>
      </c>
      <c r="M43" s="445">
        <v>4786174</v>
      </c>
    </row>
    <row r="44" spans="1:13" ht="19.5">
      <c r="A44" s="319" t="s">
        <v>81</v>
      </c>
      <c r="B44" s="309"/>
      <c r="C44" s="445"/>
      <c r="D44" s="444"/>
      <c r="F44" s="445"/>
      <c r="G44" s="444"/>
      <c r="I44" s="445"/>
      <c r="J44" s="444"/>
      <c r="L44" s="445"/>
      <c r="M44" s="444"/>
    </row>
    <row r="45" spans="1:13" ht="19.5">
      <c r="A45" s="322">
        <v>87149990111</v>
      </c>
      <c r="B45" s="449"/>
      <c r="C45" s="450"/>
      <c r="D45" s="446"/>
      <c r="E45" s="448"/>
      <c r="F45" s="450"/>
      <c r="G45" s="446"/>
      <c r="H45" s="448"/>
      <c r="I45" s="447"/>
      <c r="J45" s="446"/>
      <c r="K45" s="448"/>
      <c r="L45" s="447"/>
      <c r="M45" s="446"/>
    </row>
    <row r="46" spans="1:13" ht="19.5">
      <c r="A46" s="323" t="s">
        <v>82</v>
      </c>
      <c r="B46" s="311"/>
      <c r="C46" s="445">
        <f>VLOOKUP(A45,[12]進出口值表查詢結果!$A$10:$E$26,4,0)</f>
        <v>101150</v>
      </c>
      <c r="D46" s="445">
        <f>VLOOKUP(A45,[12]進出口值表查詢結果!$A$10:$E$26,3,0)</f>
        <v>10485858</v>
      </c>
      <c r="F46" s="445">
        <f>VLOOKUP(A45,[13]進出口值表查詢結果!$A$10:$E$26,4,0)</f>
        <v>361882</v>
      </c>
      <c r="G46" s="445">
        <f>VLOOKUP(A45,[13]進出口值表查詢結果!$A$10:$E$26,3,0)</f>
        <v>34073613</v>
      </c>
      <c r="I46" s="445">
        <f>VLOOKUP(A45,[14]進出口值表查詢結果!$A$10:$E$26,4,0)</f>
        <v>27850</v>
      </c>
      <c r="J46" s="445">
        <f>VLOOKUP(A45,[14]進出口值表查詢結果!$A$10:$E$26,3,0)</f>
        <v>3092646</v>
      </c>
      <c r="L46" s="445">
        <f>VLOOKUP(A45,[15]進出口值表查詢結果!$A$10:$E$26,4,0)</f>
        <v>119658</v>
      </c>
      <c r="M46" s="445">
        <f>VLOOKUP(A45,[15]進出口值表查詢結果!$A$10:$E$26,3,0)</f>
        <v>11757430</v>
      </c>
    </row>
    <row r="47" spans="1:13" ht="19.5">
      <c r="A47" s="319" t="s">
        <v>83</v>
      </c>
      <c r="B47" s="309"/>
      <c r="C47" s="445"/>
      <c r="D47" s="444"/>
      <c r="F47" s="445"/>
      <c r="G47" s="444"/>
      <c r="I47" s="445"/>
      <c r="J47" s="444"/>
      <c r="L47" s="445"/>
      <c r="M47" s="444"/>
    </row>
    <row r="48" spans="1:13" ht="19.5">
      <c r="A48" s="322">
        <v>87149320906</v>
      </c>
      <c r="B48" s="449"/>
      <c r="C48" s="450"/>
      <c r="D48" s="446"/>
      <c r="E48" s="448"/>
      <c r="F48" s="450"/>
      <c r="G48" s="446"/>
      <c r="H48" s="448"/>
      <c r="I48" s="447"/>
      <c r="J48" s="446"/>
      <c r="K48" s="448"/>
      <c r="L48" s="447"/>
      <c r="M48" s="446"/>
    </row>
    <row r="49" spans="1:13" ht="19.5">
      <c r="A49" s="319" t="s">
        <v>405</v>
      </c>
      <c r="B49" s="309"/>
      <c r="C49" s="445">
        <f>VLOOKUP(A48,[12]進出口值表查詢結果!$A$10:$E$26,4,0)</f>
        <v>197770</v>
      </c>
      <c r="D49" s="445">
        <f>VLOOKUP(A48,[12]進出口值表查詢結果!$A$10:$E$26,3,0)</f>
        <v>9636938</v>
      </c>
      <c r="F49" s="445">
        <f>VLOOKUP(A48,[13]進出口值表查詢結果!$A$10:$E$26,4,0)</f>
        <v>746458</v>
      </c>
      <c r="G49" s="445">
        <f>VLOOKUP(A48,[13]進出口值表查詢結果!$A$10:$E$26,3,0)</f>
        <v>28491000</v>
      </c>
      <c r="I49" s="445">
        <f>VLOOKUP(A48,[14]進出口值表查詢結果!$A$10:$E$26,4,0)</f>
        <v>40202</v>
      </c>
      <c r="J49" s="445">
        <f>VLOOKUP(A48,[14]進出口值表查詢結果!$A$10:$E$26,3,0)</f>
        <v>1861806</v>
      </c>
      <c r="L49" s="445">
        <f>VLOOKUP(A48,[15]進出口值表查詢結果!$A$10:$E$26,4,0)</f>
        <v>155709</v>
      </c>
      <c r="M49" s="445">
        <f>VLOOKUP(A48,[15]進出口值表查詢結果!$A$10:$E$26,3,0)</f>
        <v>6766724</v>
      </c>
    </row>
    <row r="50" spans="1:13" ht="19.5">
      <c r="A50" s="322">
        <v>87149990139</v>
      </c>
      <c r="B50" s="449"/>
      <c r="C50" s="450"/>
      <c r="D50" s="446"/>
      <c r="E50" s="448"/>
      <c r="F50" s="450"/>
      <c r="G50" s="446"/>
      <c r="H50" s="448"/>
      <c r="I50" s="447"/>
      <c r="J50" s="446"/>
      <c r="K50" s="448"/>
      <c r="L50" s="447"/>
      <c r="M50" s="446"/>
    </row>
    <row r="51" spans="1:13" ht="19.5">
      <c r="A51" s="319" t="s">
        <v>84</v>
      </c>
      <c r="B51" s="309"/>
      <c r="C51" s="445">
        <f>VLOOKUP(A50,[12]進出口值表查詢結果!$A$10:$E$26,4,0)</f>
        <v>9227</v>
      </c>
      <c r="D51" s="445">
        <f>VLOOKUP(A50,[12]進出口值表查詢結果!$A$10:$E$26,3,0)</f>
        <v>157156</v>
      </c>
      <c r="F51" s="445">
        <f>VLOOKUP(A50,[13]進出口值表查詢結果!$A$10:$E$26,4,0)</f>
        <v>37449</v>
      </c>
      <c r="G51" s="445">
        <f>VLOOKUP(A50,[13]進出口值表查詢結果!$A$10:$E$26,3,0)</f>
        <v>775486</v>
      </c>
      <c r="I51" s="445">
        <f>VLOOKUP(A50,[14]進出口值表查詢結果!$A$10:$E$26,4,0)</f>
        <v>4191</v>
      </c>
      <c r="J51" s="445">
        <f>VLOOKUP(A50,[14]進出口值表查詢結果!$A$10:$E$26,3,0)</f>
        <v>12794</v>
      </c>
      <c r="L51" s="445">
        <f>VLOOKUP(A50,[15]進出口值表查詢結果!$A$10:$E$26,4,0)</f>
        <v>10529</v>
      </c>
      <c r="M51" s="445">
        <f>VLOOKUP(A50,[15]進出口值表查詢結果!$A$10:$E$26,3,0)</f>
        <v>122919</v>
      </c>
    </row>
    <row r="52" spans="1:13" ht="19.5">
      <c r="A52" s="322">
        <v>87149990148</v>
      </c>
      <c r="B52" s="449"/>
      <c r="C52" s="450"/>
      <c r="D52" s="446"/>
      <c r="E52" s="448"/>
      <c r="F52" s="450"/>
      <c r="G52" s="446"/>
      <c r="H52" s="448"/>
      <c r="I52" s="447"/>
      <c r="J52" s="446"/>
      <c r="K52" s="448"/>
      <c r="L52" s="447"/>
      <c r="M52" s="446"/>
    </row>
    <row r="53" spans="1:13" ht="19.5">
      <c r="A53" s="324" t="s">
        <v>85</v>
      </c>
      <c r="B53" s="452"/>
      <c r="C53" s="445">
        <f>VLOOKUP(A52,[12]進出口值表查詢結果!$A$10:$E$26,4,0)</f>
        <v>51487</v>
      </c>
      <c r="D53" s="445">
        <f>VLOOKUP(A52,[12]進出口值表查詢結果!$A$10:$E$26,3,0)</f>
        <v>1883811</v>
      </c>
      <c r="F53" s="445">
        <f>VLOOKUP(A52,[13]進出口值表查詢結果!$A$10:$E$26,4,0)</f>
        <v>243001</v>
      </c>
      <c r="G53" s="445">
        <f>VLOOKUP(A52,[13]進出口值表查詢結果!$A$10:$E$26,3,0)</f>
        <v>8450086</v>
      </c>
      <c r="I53" s="445">
        <f>VLOOKUP(A52,[14]進出口值表查詢結果!$A$10:$E$26,4,0)</f>
        <v>10229</v>
      </c>
      <c r="J53" s="445">
        <f>VLOOKUP(A52,[14]進出口值表查詢結果!$A$10:$E$26,3,0)</f>
        <v>659191</v>
      </c>
      <c r="L53" s="445">
        <f>VLOOKUP(A52,[15]進出口值表查詢結果!$A$10:$E$26,4,0)</f>
        <v>50251</v>
      </c>
      <c r="M53" s="445">
        <f>VLOOKUP(A52,[15]進出口值表查詢結果!$A$10:$E$26,3,0)</f>
        <v>2443777</v>
      </c>
    </row>
    <row r="54" spans="1:13" ht="19.5">
      <c r="A54" s="319" t="s">
        <v>86</v>
      </c>
      <c r="B54" s="309"/>
      <c r="C54" s="445"/>
      <c r="D54" s="444"/>
      <c r="F54" s="445"/>
      <c r="G54" s="444"/>
      <c r="I54" s="445"/>
      <c r="J54" s="451"/>
      <c r="L54" s="445"/>
      <c r="M54" s="444"/>
    </row>
    <row r="55" spans="1:13" ht="19.5">
      <c r="A55" s="322">
        <v>87149990157</v>
      </c>
      <c r="B55" s="449"/>
      <c r="C55" s="450"/>
      <c r="D55" s="446"/>
      <c r="E55" s="448"/>
      <c r="F55" s="450"/>
      <c r="G55" s="446"/>
      <c r="H55" s="448"/>
      <c r="I55" s="447"/>
      <c r="J55" s="446"/>
      <c r="K55" s="448"/>
      <c r="L55" s="447"/>
      <c r="M55" s="446"/>
    </row>
    <row r="56" spans="1:13" ht="19.5">
      <c r="A56" s="319" t="s">
        <v>87</v>
      </c>
      <c r="B56" s="309"/>
      <c r="C56" s="445">
        <f>VLOOKUP(A55,[12]進出口值表查詢結果!$A$10:$E$26,4,0)</f>
        <v>116333</v>
      </c>
      <c r="D56" s="445">
        <f>VLOOKUP(A55,[12]進出口值表查詢結果!$A$10:$E$26,3,0)</f>
        <v>5593383</v>
      </c>
      <c r="F56" s="445">
        <f>VLOOKUP(A55,[13]進出口值表查詢結果!$A$10:$E$26,4,0)</f>
        <v>464016</v>
      </c>
      <c r="G56" s="445">
        <f>VLOOKUP(A55,[13]進出口值表查詢結果!$A$10:$E$26,3,0)</f>
        <v>21284039</v>
      </c>
      <c r="I56" s="445">
        <f>VLOOKUP(A55,[14]進出口值表查詢結果!$A$10:$E$26,4,0)</f>
        <v>21099</v>
      </c>
      <c r="J56" s="445">
        <f>VLOOKUP(A55,[14]進出口值表查詢結果!$A$10:$E$26,3,0)</f>
        <v>1247092</v>
      </c>
      <c r="L56" s="445">
        <f>VLOOKUP(A55,[15]進出口值表查詢結果!$A$10:$E$26,4,0)</f>
        <v>123818</v>
      </c>
      <c r="M56" s="445">
        <f>VLOOKUP(A55,[15]進出口值表查詢結果!$A$10:$E$26,3,0)</f>
        <v>5562690</v>
      </c>
    </row>
    <row r="57" spans="1:13" ht="19.5">
      <c r="A57" s="319" t="s">
        <v>88</v>
      </c>
      <c r="B57" s="309"/>
      <c r="C57" s="445"/>
      <c r="D57" s="444"/>
      <c r="F57" s="445"/>
      <c r="G57" s="444"/>
      <c r="I57" s="445"/>
      <c r="J57" s="445"/>
      <c r="L57" s="445"/>
      <c r="M57" s="444"/>
    </row>
    <row r="58" spans="1:13" ht="19.5">
      <c r="A58" s="322">
        <v>87149990166</v>
      </c>
      <c r="B58" s="449"/>
      <c r="C58" s="450"/>
      <c r="D58" s="446"/>
      <c r="E58" s="448"/>
      <c r="F58" s="450"/>
      <c r="G58" s="446"/>
      <c r="H58" s="448"/>
      <c r="I58" s="447"/>
      <c r="J58" s="447"/>
      <c r="K58" s="448"/>
      <c r="L58" s="447"/>
      <c r="M58" s="446"/>
    </row>
    <row r="59" spans="1:13" ht="19.5">
      <c r="A59" s="319" t="s">
        <v>85</v>
      </c>
      <c r="B59" s="309"/>
      <c r="C59" s="445">
        <f>VLOOKUP(A58,[12]進出口值表查詢結果!$A$10:$E$26,4,0)</f>
        <v>105748</v>
      </c>
      <c r="D59" s="445">
        <f>VLOOKUP(A58,[12]進出口值表查詢結果!$A$10:$E$26,3,0)</f>
        <v>4228914</v>
      </c>
      <c r="F59" s="445">
        <f>VLOOKUP(A58,[13]進出口值表查詢結果!$A$10:$E$26,4,0)</f>
        <v>464800</v>
      </c>
      <c r="G59" s="445">
        <f>VLOOKUP(A58,[13]進出口值表查詢結果!$A$10:$E$26,3,0)</f>
        <v>17318989</v>
      </c>
      <c r="I59" s="445">
        <f>VLOOKUP(A58,[14]進出口值表查詢結果!$A$10:$E$26,4,0)</f>
        <v>24349</v>
      </c>
      <c r="J59" s="445">
        <f>VLOOKUP(A58,[14]進出口值表查詢結果!$A$10:$E$26,3,0)</f>
        <v>2379963</v>
      </c>
      <c r="L59" s="445">
        <f>VLOOKUP(A58,[15]進出口值表查詢結果!$A$10:$E$26,4,0)</f>
        <v>134694</v>
      </c>
      <c r="M59" s="445">
        <f>VLOOKUP(A58,[15]進出口值表查詢結果!$A$10:$E$26,3,0)</f>
        <v>11312934</v>
      </c>
    </row>
    <row r="60" spans="1:13" ht="19.5">
      <c r="A60" s="322">
        <v>40115000008</v>
      </c>
      <c r="B60" s="449"/>
      <c r="C60" s="447"/>
      <c r="D60" s="447"/>
      <c r="E60" s="448"/>
      <c r="F60" s="447"/>
      <c r="G60" s="447"/>
      <c r="H60" s="448"/>
      <c r="I60" s="447"/>
      <c r="J60" s="447"/>
      <c r="K60" s="448"/>
      <c r="L60" s="447"/>
      <c r="M60" s="446"/>
    </row>
    <row r="61" spans="1:13" ht="19.5">
      <c r="A61" s="319" t="s">
        <v>89</v>
      </c>
      <c r="B61" s="309"/>
      <c r="C61" s="445">
        <v>453845</v>
      </c>
      <c r="D61" s="445">
        <v>7647113</v>
      </c>
      <c r="F61" s="445">
        <v>1851689</v>
      </c>
      <c r="G61" s="445">
        <v>29419952</v>
      </c>
      <c r="I61" s="445">
        <v>119678</v>
      </c>
      <c r="J61" s="445">
        <v>1795504</v>
      </c>
      <c r="L61" s="445">
        <v>638174</v>
      </c>
      <c r="M61" s="445">
        <v>7878272</v>
      </c>
    </row>
    <row r="62" spans="1:13" ht="19.5">
      <c r="A62" s="319" t="s">
        <v>90</v>
      </c>
      <c r="B62" s="309" t="s">
        <v>63</v>
      </c>
      <c r="C62" s="445">
        <v>637255</v>
      </c>
      <c r="D62" s="444" t="s">
        <v>66</v>
      </c>
      <c r="E62" s="13" t="s">
        <v>63</v>
      </c>
      <c r="F62" s="445">
        <v>2572969</v>
      </c>
      <c r="G62" s="444" t="s">
        <v>66</v>
      </c>
      <c r="H62" s="13" t="s">
        <v>63</v>
      </c>
      <c r="I62" s="445">
        <v>185494</v>
      </c>
      <c r="J62" s="519" t="s">
        <v>66</v>
      </c>
      <c r="K62" s="312" t="s">
        <v>63</v>
      </c>
      <c r="L62" s="445">
        <v>950012</v>
      </c>
      <c r="M62" s="519" t="s">
        <v>66</v>
      </c>
    </row>
    <row r="63" spans="1:13" ht="19.5">
      <c r="A63" s="322">
        <v>40132000003</v>
      </c>
      <c r="B63" s="449"/>
      <c r="C63" s="447"/>
      <c r="D63" s="447"/>
      <c r="E63" s="448"/>
      <c r="F63" s="447"/>
      <c r="G63" s="447"/>
      <c r="H63" s="448"/>
      <c r="I63" s="447"/>
      <c r="J63" s="447"/>
      <c r="K63" s="448"/>
      <c r="L63" s="447"/>
      <c r="M63" s="446"/>
    </row>
    <row r="64" spans="1:13" ht="19.5">
      <c r="A64" s="319" t="s">
        <v>91</v>
      </c>
      <c r="B64" s="309"/>
      <c r="C64" s="445">
        <v>72961</v>
      </c>
      <c r="D64" s="445">
        <v>780649</v>
      </c>
      <c r="F64" s="445">
        <v>302925</v>
      </c>
      <c r="G64" s="445">
        <v>3019082</v>
      </c>
      <c r="I64" s="445">
        <v>28088</v>
      </c>
      <c r="J64" s="445">
        <v>238252</v>
      </c>
      <c r="L64" s="445">
        <v>137526</v>
      </c>
      <c r="M64" s="445">
        <v>1036145</v>
      </c>
    </row>
    <row r="65" spans="1:13" ht="19.5">
      <c r="A65" s="319" t="s">
        <v>92</v>
      </c>
      <c r="B65" s="309" t="s">
        <v>63</v>
      </c>
      <c r="C65" s="445">
        <v>444890</v>
      </c>
      <c r="D65" s="444" t="s">
        <v>66</v>
      </c>
      <c r="E65" s="13" t="s">
        <v>63</v>
      </c>
      <c r="F65" s="445">
        <v>1720216</v>
      </c>
      <c r="G65" s="444" t="s">
        <v>66</v>
      </c>
      <c r="H65" s="13" t="s">
        <v>63</v>
      </c>
      <c r="I65" s="445">
        <v>169077</v>
      </c>
      <c r="J65" s="519" t="s">
        <v>66</v>
      </c>
      <c r="K65" s="312" t="s">
        <v>63</v>
      </c>
      <c r="L65" s="445">
        <v>829260</v>
      </c>
      <c r="M65" s="519" t="s">
        <v>66</v>
      </c>
    </row>
    <row r="66" spans="1:13" ht="19.5">
      <c r="A66" s="319"/>
      <c r="B66" s="309"/>
      <c r="D66" s="320"/>
      <c r="G66" s="320"/>
      <c r="J66" s="520"/>
      <c r="M66" s="520"/>
    </row>
    <row r="67" spans="1:13" ht="19.5">
      <c r="A67" s="313" t="s">
        <v>93</v>
      </c>
      <c r="B67" s="325"/>
      <c r="C67" s="326">
        <f>SUM(C6:C66)-C65-C62-C20-C17-C11-C8-C14</f>
        <v>3230990</v>
      </c>
      <c r="D67" s="327">
        <f>SUM(D6:D66)</f>
        <v>150762853</v>
      </c>
      <c r="E67" s="326"/>
      <c r="F67" s="326">
        <f>SUM(F6:F66)-F65-F62-F20-F17-F11-F8-F14</f>
        <v>13371881</v>
      </c>
      <c r="G67" s="327">
        <f>SUM(G6:G66)</f>
        <v>587741844</v>
      </c>
      <c r="H67" s="326"/>
      <c r="I67" s="326">
        <f>SUM(I6:I66)-I65-I62-I20-I17-I11-I8</f>
        <v>1116850</v>
      </c>
      <c r="J67" s="521">
        <f>SUM(J6:J66)</f>
        <v>62002428</v>
      </c>
      <c r="K67" s="326"/>
      <c r="L67" s="326">
        <f>SUM(L6:L66)-L65-L62-L20-L17-L11-L8</f>
        <v>5569493</v>
      </c>
      <c r="M67" s="521">
        <f>SUM(M6:M66)</f>
        <v>271925715</v>
      </c>
    </row>
    <row r="68" spans="1:13" ht="4.5" customHeight="1">
      <c r="G68" s="5"/>
    </row>
    <row r="69" spans="1:13">
      <c r="A69" s="54" t="s">
        <v>462</v>
      </c>
      <c r="B69" s="54"/>
      <c r="F69" s="540"/>
      <c r="G69" s="54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2" customWidth="1"/>
    <col min="3" max="3" width="15.875" customWidth="1"/>
    <col min="4" max="4" width="15.75" style="355" customWidth="1"/>
    <col min="5" max="5" width="16.75" style="312" customWidth="1"/>
    <col min="6" max="6" width="17.625" customWidth="1"/>
    <col min="7" max="7" width="14.875" style="35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5.5">
      <c r="A1" s="328" t="s">
        <v>513</v>
      </c>
      <c r="B1" s="329"/>
      <c r="C1" s="330"/>
      <c r="D1" s="331"/>
      <c r="E1" s="329"/>
      <c r="F1" s="330"/>
      <c r="G1" s="331"/>
    </row>
    <row r="2" spans="1:7" s="309" customFormat="1" ht="13.5" customHeight="1">
      <c r="B2" s="310"/>
      <c r="C2" s="332"/>
      <c r="D2" s="333"/>
      <c r="E2" s="310"/>
      <c r="F2" s="332"/>
      <c r="G2" s="333"/>
    </row>
    <row r="3" spans="1:7" s="309" customFormat="1" ht="13.5" customHeight="1">
      <c r="A3" s="311"/>
      <c r="B3" s="310"/>
      <c r="C3" s="332"/>
      <c r="D3" s="333"/>
      <c r="E3" s="310"/>
      <c r="F3" s="332"/>
      <c r="G3" s="333"/>
    </row>
    <row r="4" spans="1:7">
      <c r="A4" s="42" t="s">
        <v>94</v>
      </c>
      <c r="B4" s="497" t="s">
        <v>455</v>
      </c>
      <c r="C4" s="536" t="s">
        <v>464</v>
      </c>
      <c r="D4" s="334" t="s">
        <v>35</v>
      </c>
      <c r="E4" s="70" t="s">
        <v>455</v>
      </c>
      <c r="F4" s="536" t="s">
        <v>464</v>
      </c>
      <c r="G4" s="198" t="s">
        <v>35</v>
      </c>
    </row>
    <row r="5" spans="1:7" s="309" customFormat="1" ht="18" customHeight="1">
      <c r="A5" s="46"/>
      <c r="B5" s="74" t="s">
        <v>95</v>
      </c>
      <c r="C5" s="532" t="s">
        <v>481</v>
      </c>
      <c r="D5" s="199" t="s">
        <v>1</v>
      </c>
      <c r="E5" s="74" t="s">
        <v>32</v>
      </c>
      <c r="F5" s="532" t="s">
        <v>32</v>
      </c>
      <c r="G5" s="199" t="s">
        <v>1</v>
      </c>
    </row>
    <row r="6" spans="1:7" ht="19.5">
      <c r="A6" s="335">
        <v>85121010001</v>
      </c>
      <c r="B6" s="336"/>
      <c r="C6" s="337"/>
      <c r="D6" s="338"/>
      <c r="E6" s="336"/>
      <c r="F6" s="337"/>
      <c r="G6" s="339"/>
    </row>
    <row r="7" spans="1:7" ht="19.5">
      <c r="A7" s="319" t="s">
        <v>61</v>
      </c>
      <c r="B7" s="340">
        <f>零件!F7</f>
        <v>49471</v>
      </c>
      <c r="C7" s="341">
        <v>38458</v>
      </c>
      <c r="D7" s="486">
        <f>(B7-C7)/C7</f>
        <v>0.28636434551978784</v>
      </c>
      <c r="E7" s="340">
        <f>零件!G7</f>
        <v>5791012</v>
      </c>
      <c r="F7" s="341">
        <v>4497502</v>
      </c>
      <c r="G7" s="486">
        <f>(E7-F7)/F7</f>
        <v>0.28760632013059695</v>
      </c>
    </row>
    <row r="8" spans="1:7" ht="19.5">
      <c r="A8" s="319" t="s">
        <v>62</v>
      </c>
      <c r="B8" s="340"/>
      <c r="C8" s="342"/>
      <c r="D8" s="343"/>
      <c r="E8" s="344"/>
      <c r="F8" s="341"/>
      <c r="G8" s="344"/>
    </row>
    <row r="9" spans="1:7" ht="19.5">
      <c r="A9" s="321">
        <v>85121020009</v>
      </c>
      <c r="B9" s="345"/>
      <c r="C9" s="537"/>
      <c r="D9" s="346"/>
      <c r="E9" s="345"/>
      <c r="F9" s="538"/>
      <c r="G9" s="345"/>
    </row>
    <row r="10" spans="1:7" ht="19.5">
      <c r="A10" s="319" t="s">
        <v>64</v>
      </c>
      <c r="B10" s="340">
        <f>零件!F10</f>
        <v>14326</v>
      </c>
      <c r="C10" s="341">
        <v>14178</v>
      </c>
      <c r="D10" s="487">
        <f>(B10-C10)/C10</f>
        <v>1.0438707857243617E-2</v>
      </c>
      <c r="E10" s="340">
        <f>零件!G10</f>
        <v>2283935</v>
      </c>
      <c r="F10" s="341">
        <v>2323554</v>
      </c>
      <c r="G10" s="487">
        <f>(E10-F10)/F10</f>
        <v>-1.7051034751075292E-2</v>
      </c>
    </row>
    <row r="11" spans="1:7" ht="19.5">
      <c r="A11" s="319" t="s">
        <v>65</v>
      </c>
      <c r="B11" s="340"/>
      <c r="C11" s="342"/>
      <c r="D11" s="347"/>
      <c r="E11" s="344"/>
      <c r="F11" s="341"/>
      <c r="G11" s="344"/>
    </row>
    <row r="12" spans="1:7" ht="19.5">
      <c r="A12" s="322">
        <v>87149120007</v>
      </c>
      <c r="B12" s="345"/>
      <c r="C12" s="348"/>
      <c r="D12" s="349"/>
      <c r="E12" s="350"/>
      <c r="F12" s="351"/>
      <c r="G12" s="350"/>
    </row>
    <row r="13" spans="1:7" ht="19.5">
      <c r="A13" s="319" t="s">
        <v>67</v>
      </c>
      <c r="B13" s="340">
        <f>零件!F13</f>
        <v>3101961</v>
      </c>
      <c r="C13" s="341">
        <v>3140454</v>
      </c>
      <c r="D13" s="486">
        <f>(B13-C13)/C13</f>
        <v>-1.225714498604342E-2</v>
      </c>
      <c r="E13" s="340">
        <f>零件!G13</f>
        <v>202273843</v>
      </c>
      <c r="F13" s="341">
        <v>207631234</v>
      </c>
      <c r="G13" s="487">
        <f>(E13-F13)/F13</f>
        <v>-2.5802432980772054E-2</v>
      </c>
    </row>
    <row r="14" spans="1:7" ht="19.5">
      <c r="A14" s="319" t="s">
        <v>68</v>
      </c>
      <c r="B14" s="347"/>
      <c r="C14" s="342"/>
      <c r="D14" s="340"/>
      <c r="E14" s="344"/>
      <c r="F14" s="341"/>
      <c r="G14" s="344"/>
    </row>
    <row r="15" spans="1:7" ht="19.5">
      <c r="A15" s="322">
        <v>87149200108</v>
      </c>
      <c r="B15" s="345"/>
      <c r="C15" s="348"/>
      <c r="D15" s="349"/>
      <c r="E15" s="350"/>
      <c r="F15" s="351"/>
      <c r="G15" s="350"/>
    </row>
    <row r="16" spans="1:7" ht="19.5">
      <c r="A16" s="319" t="s">
        <v>69</v>
      </c>
      <c r="B16" s="340">
        <f>零件!F16</f>
        <v>472759</v>
      </c>
      <c r="C16" s="341">
        <v>477876</v>
      </c>
      <c r="D16" s="487">
        <f>(B16-C16)/C16</f>
        <v>-1.0707798675807113E-2</v>
      </c>
      <c r="E16" s="340">
        <f>零件!G16</f>
        <v>16794495</v>
      </c>
      <c r="F16" s="341">
        <v>15671982</v>
      </c>
      <c r="G16" s="486">
        <f>(E16-F16)/F16</f>
        <v>7.1625465113474479E-2</v>
      </c>
    </row>
    <row r="17" spans="1:7" ht="19.5">
      <c r="A17" s="319"/>
      <c r="B17" s="340"/>
      <c r="C17" s="342"/>
      <c r="D17" s="340"/>
      <c r="E17" s="344"/>
      <c r="F17" s="341"/>
      <c r="G17" s="344"/>
    </row>
    <row r="18" spans="1:7" ht="19.5">
      <c r="A18" s="322">
        <v>87149200206</v>
      </c>
      <c r="B18" s="345"/>
      <c r="C18" s="348"/>
      <c r="D18" s="349"/>
      <c r="E18" s="350"/>
      <c r="F18" s="351"/>
      <c r="G18" s="350"/>
    </row>
    <row r="19" spans="1:7" ht="19.5">
      <c r="A19" s="319" t="s">
        <v>54</v>
      </c>
      <c r="B19" s="340">
        <f>零件!F19</f>
        <v>339302</v>
      </c>
      <c r="C19" s="341">
        <v>333464</v>
      </c>
      <c r="D19" s="487">
        <f>(B19-C19)/C19</f>
        <v>1.7507137202216732E-2</v>
      </c>
      <c r="E19" s="340">
        <f>零件!G19</f>
        <v>4368532</v>
      </c>
      <c r="F19" s="341">
        <v>4783935</v>
      </c>
      <c r="G19" s="487">
        <f>(E19-F19)/F19</f>
        <v>-8.683291056421126E-2</v>
      </c>
    </row>
    <row r="20" spans="1:7" ht="19.5">
      <c r="A20" s="319"/>
      <c r="B20" s="340"/>
      <c r="C20" s="342"/>
      <c r="D20" s="340"/>
      <c r="E20" s="344"/>
      <c r="F20" s="341"/>
      <c r="G20" s="344"/>
    </row>
    <row r="21" spans="1:7" ht="19.5">
      <c r="A21" s="322">
        <v>87149200304</v>
      </c>
      <c r="B21" s="345"/>
      <c r="C21" s="348"/>
      <c r="D21" s="349"/>
      <c r="E21" s="350"/>
      <c r="F21" s="351"/>
      <c r="G21" s="350"/>
    </row>
    <row r="22" spans="1:7" ht="19.5">
      <c r="A22" s="319" t="s">
        <v>55</v>
      </c>
      <c r="B22" s="340">
        <f>零件!F22</f>
        <v>278483</v>
      </c>
      <c r="C22" s="341">
        <v>229403</v>
      </c>
      <c r="D22" s="486">
        <f>(B22-C22)/C22</f>
        <v>0.21394663539709594</v>
      </c>
      <c r="E22" s="340">
        <f>零件!G22</f>
        <v>38668595</v>
      </c>
      <c r="F22" s="341">
        <v>27280459</v>
      </c>
      <c r="G22" s="487">
        <f>(E22-F22)/F22</f>
        <v>0.41744664193516684</v>
      </c>
    </row>
    <row r="23" spans="1:7" ht="19.5">
      <c r="A23" s="322">
        <v>87149310007</v>
      </c>
      <c r="B23" s="345"/>
      <c r="C23" s="348"/>
      <c r="D23" s="349"/>
      <c r="E23" s="350"/>
      <c r="F23" s="351"/>
      <c r="G23" s="350"/>
    </row>
    <row r="24" spans="1:7" ht="19.5">
      <c r="A24" s="319" t="s">
        <v>70</v>
      </c>
      <c r="B24" s="340">
        <f>零件!F24</f>
        <v>242366</v>
      </c>
      <c r="C24" s="341">
        <v>275951</v>
      </c>
      <c r="D24" s="487">
        <f>(B24-C24)/C24</f>
        <v>-0.12170638990255517</v>
      </c>
      <c r="E24" s="340">
        <f>零件!G24</f>
        <v>19304622</v>
      </c>
      <c r="F24" s="341">
        <v>17782301</v>
      </c>
      <c r="G24" s="487">
        <f>(E24-F24)/F24</f>
        <v>8.5608774702441492E-2</v>
      </c>
    </row>
    <row r="25" spans="1:7" ht="19.5">
      <c r="A25" s="319" t="s">
        <v>96</v>
      </c>
      <c r="B25" s="340"/>
      <c r="C25" s="342"/>
      <c r="D25" s="340"/>
      <c r="E25" s="344"/>
      <c r="F25" s="341"/>
      <c r="G25" s="344"/>
    </row>
    <row r="26" spans="1:7" ht="19.5">
      <c r="A26" s="322">
        <v>87149320103</v>
      </c>
      <c r="B26" s="345"/>
      <c r="C26" s="348"/>
      <c r="D26" s="349"/>
      <c r="E26" s="350"/>
      <c r="F26" s="351"/>
      <c r="G26" s="350"/>
    </row>
    <row r="27" spans="1:7" ht="19.5">
      <c r="A27" s="319" t="s">
        <v>404</v>
      </c>
      <c r="B27" s="340">
        <f>零件!F28</f>
        <v>11971</v>
      </c>
      <c r="C27" s="341">
        <v>8591</v>
      </c>
      <c r="D27" s="487">
        <f>(B27-C27)/C27</f>
        <v>0.39343499010592481</v>
      </c>
      <c r="E27" s="340">
        <f>零件!G28</f>
        <v>400030</v>
      </c>
      <c r="F27" s="341">
        <v>316835</v>
      </c>
      <c r="G27" s="487">
        <f>(E27-F27)/F27</f>
        <v>0.2625814698502375</v>
      </c>
    </row>
    <row r="28" spans="1:7" ht="19.5">
      <c r="A28" s="322">
        <v>87149410006</v>
      </c>
      <c r="B28" s="345"/>
      <c r="C28" s="348"/>
      <c r="D28" s="349"/>
      <c r="E28" s="350"/>
      <c r="F28" s="351"/>
      <c r="G28" s="350"/>
    </row>
    <row r="29" spans="1:7" ht="19.5">
      <c r="A29" s="319" t="s">
        <v>73</v>
      </c>
      <c r="B29" s="340">
        <f>零件!F30</f>
        <v>42418</v>
      </c>
      <c r="C29" s="341">
        <v>35675</v>
      </c>
      <c r="D29" s="487">
        <f>(B29-C29)/C29</f>
        <v>0.18901191310441487</v>
      </c>
      <c r="E29" s="340">
        <f>零件!G30</f>
        <v>974451</v>
      </c>
      <c r="F29" s="341">
        <v>838190</v>
      </c>
      <c r="G29" s="486">
        <f>(E29-F29)/F29</f>
        <v>0.16256576671160478</v>
      </c>
    </row>
    <row r="30" spans="1:7" ht="19.5">
      <c r="A30" s="319" t="s">
        <v>74</v>
      </c>
      <c r="B30" s="340"/>
      <c r="C30" s="342"/>
      <c r="D30" s="340"/>
      <c r="E30" s="344"/>
      <c r="F30" s="341"/>
      <c r="G30" s="344"/>
    </row>
    <row r="31" spans="1:7" ht="19.5">
      <c r="A31" s="322">
        <v>87149490009</v>
      </c>
      <c r="B31" s="345"/>
      <c r="C31" s="348"/>
      <c r="D31" s="349"/>
      <c r="E31" s="350"/>
      <c r="F31" s="351"/>
      <c r="G31" s="350"/>
    </row>
    <row r="32" spans="1:7" ht="19.5">
      <c r="A32" s="319" t="s">
        <v>75</v>
      </c>
      <c r="B32" s="340">
        <f>零件!F33</f>
        <v>1753968</v>
      </c>
      <c r="C32" s="341">
        <v>1415356</v>
      </c>
      <c r="D32" s="486">
        <f>(B32-C32)/C32</f>
        <v>0.23924157597099246</v>
      </c>
      <c r="E32" s="340">
        <f>零件!G33</f>
        <v>73654128</v>
      </c>
      <c r="F32" s="341">
        <v>62503939</v>
      </c>
      <c r="G32" s="487">
        <f>(E32-F32)/F32</f>
        <v>0.17839178103639197</v>
      </c>
    </row>
    <row r="33" spans="1:7" ht="19.5">
      <c r="A33" s="319" t="s">
        <v>76</v>
      </c>
      <c r="B33" s="340"/>
      <c r="C33" s="342"/>
      <c r="D33" s="340"/>
      <c r="E33" s="344"/>
      <c r="F33" s="341"/>
      <c r="G33" s="344"/>
    </row>
    <row r="34" spans="1:7" ht="19.5">
      <c r="A34" s="322">
        <v>87149500007</v>
      </c>
      <c r="B34" s="349"/>
      <c r="C34" s="348"/>
      <c r="D34" s="349"/>
      <c r="E34" s="350"/>
      <c r="F34" s="351"/>
      <c r="G34" s="350"/>
    </row>
    <row r="35" spans="1:7" ht="19.5">
      <c r="A35" s="319" t="s">
        <v>77</v>
      </c>
      <c r="B35" s="340">
        <f>零件!F36</f>
        <v>636817</v>
      </c>
      <c r="C35" s="341">
        <v>474369</v>
      </c>
      <c r="D35" s="487">
        <f>(B35-C35)/C35</f>
        <v>0.34245070820395096</v>
      </c>
      <c r="E35" s="340">
        <f>零件!G36</f>
        <v>13441087</v>
      </c>
      <c r="F35" s="341">
        <v>10114128</v>
      </c>
      <c r="G35" s="487">
        <f>(E35-F35)/F35</f>
        <v>0.32894175355502719</v>
      </c>
    </row>
    <row r="36" spans="1:7" ht="19.5">
      <c r="A36" s="322">
        <v>87149610004</v>
      </c>
      <c r="B36" s="349"/>
      <c r="C36" s="348"/>
      <c r="D36" s="349"/>
      <c r="E36" s="350"/>
      <c r="F36" s="351"/>
      <c r="G36" s="350"/>
    </row>
    <row r="37" spans="1:7" ht="19.5">
      <c r="A37" s="319" t="s">
        <v>78</v>
      </c>
      <c r="B37" s="340">
        <f>零件!F38</f>
        <v>743712</v>
      </c>
      <c r="C37" s="341">
        <v>569318</v>
      </c>
      <c r="D37" s="487">
        <f>(B37-C37)/C37</f>
        <v>0.30632089623022635</v>
      </c>
      <c r="E37" s="340">
        <f>零件!G38</f>
        <v>17666422</v>
      </c>
      <c r="F37" s="341">
        <v>14376036</v>
      </c>
      <c r="G37" s="487">
        <f>(E37-F37)/F37</f>
        <v>0.22887992211483055</v>
      </c>
    </row>
    <row r="38" spans="1:7" ht="19.5">
      <c r="A38" s="322">
        <v>87149620002</v>
      </c>
      <c r="B38" s="345"/>
      <c r="C38" s="348"/>
      <c r="D38" s="349"/>
      <c r="E38" s="350"/>
      <c r="F38" s="351"/>
      <c r="G38" s="350"/>
    </row>
    <row r="39" spans="1:7" ht="19.5">
      <c r="A39" s="319" t="s">
        <v>79</v>
      </c>
      <c r="B39" s="340">
        <f>零件!F40</f>
        <v>706255</v>
      </c>
      <c r="C39" s="341">
        <v>657214</v>
      </c>
      <c r="D39" s="486">
        <f>(B39-C39)/C39</f>
        <v>7.4619530320413144E-2</v>
      </c>
      <c r="E39" s="340">
        <f>零件!G40</f>
        <v>38425656</v>
      </c>
      <c r="F39" s="341">
        <v>33357716</v>
      </c>
      <c r="G39" s="486">
        <f>(E39-F39)/F39</f>
        <v>0.15192706838801553</v>
      </c>
    </row>
    <row r="40" spans="1:7" ht="19.5">
      <c r="A40" s="319" t="s">
        <v>74</v>
      </c>
      <c r="B40" s="340"/>
      <c r="C40" s="341"/>
      <c r="D40" s="340"/>
      <c r="E40" s="344"/>
      <c r="F40" s="341"/>
      <c r="G40" s="344"/>
    </row>
    <row r="41" spans="1:7" ht="19.5">
      <c r="A41" s="322">
        <v>73151100209</v>
      </c>
      <c r="B41" s="345"/>
      <c r="C41" s="345"/>
      <c r="D41" s="349"/>
      <c r="E41" s="350"/>
      <c r="F41" s="350"/>
      <c r="G41" s="350"/>
    </row>
    <row r="42" spans="1:7" ht="19.5">
      <c r="A42" s="319" t="s">
        <v>80</v>
      </c>
      <c r="B42" s="340">
        <f>零件!F43</f>
        <v>505852</v>
      </c>
      <c r="C42" s="341">
        <v>301233</v>
      </c>
      <c r="D42" s="487">
        <f>(B42-C42)/C42</f>
        <v>0.67927152735590057</v>
      </c>
      <c r="E42" s="340">
        <f>零件!G43</f>
        <v>10862789</v>
      </c>
      <c r="F42" s="341">
        <v>6934728</v>
      </c>
      <c r="G42" s="487">
        <f>(E42-F42)/F42</f>
        <v>0.56643331937460273</v>
      </c>
    </row>
    <row r="43" spans="1:7" ht="19.5">
      <c r="A43" s="319" t="s">
        <v>81</v>
      </c>
      <c r="B43" s="340"/>
      <c r="C43" s="342"/>
      <c r="D43" s="340"/>
      <c r="E43" s="344"/>
      <c r="F43" s="341"/>
      <c r="G43" s="344"/>
    </row>
    <row r="44" spans="1:7" ht="19.5">
      <c r="A44" s="322">
        <v>87149990111</v>
      </c>
      <c r="B44" s="345"/>
      <c r="C44" s="348"/>
      <c r="D44" s="349"/>
      <c r="E44" s="350"/>
      <c r="F44" s="351"/>
      <c r="G44" s="350"/>
    </row>
    <row r="45" spans="1:7" ht="19.5">
      <c r="A45" s="323" t="s">
        <v>82</v>
      </c>
      <c r="B45" s="340">
        <f>零件!F46</f>
        <v>361882</v>
      </c>
      <c r="C45" s="341">
        <v>249096</v>
      </c>
      <c r="D45" s="486">
        <f>(B45-C45)/C45</f>
        <v>0.45278125702540384</v>
      </c>
      <c r="E45" s="340">
        <f>零件!G46</f>
        <v>34073613</v>
      </c>
      <c r="F45" s="341">
        <v>29450376</v>
      </c>
      <c r="G45" s="486">
        <f>(E45-F45)/F45</f>
        <v>0.15698397195336317</v>
      </c>
    </row>
    <row r="46" spans="1:7" ht="19.5">
      <c r="A46" s="319" t="s">
        <v>83</v>
      </c>
      <c r="B46" s="340"/>
      <c r="C46" s="342"/>
      <c r="D46" s="340"/>
      <c r="E46" s="344"/>
      <c r="F46" s="341"/>
      <c r="G46" s="344"/>
    </row>
    <row r="47" spans="1:7" ht="19.5">
      <c r="A47" s="322">
        <v>87149320906</v>
      </c>
      <c r="B47" s="345"/>
      <c r="C47" s="348"/>
      <c r="D47" s="349"/>
      <c r="E47" s="350"/>
      <c r="F47" s="351"/>
      <c r="G47" s="350"/>
    </row>
    <row r="48" spans="1:7" ht="19.5">
      <c r="A48" s="319" t="s">
        <v>407</v>
      </c>
      <c r="B48" s="340">
        <f>零件!F49</f>
        <v>746458</v>
      </c>
      <c r="C48" s="341">
        <v>535205</v>
      </c>
      <c r="D48" s="487">
        <f>(B48-C48)/C48</f>
        <v>0.39471417494231181</v>
      </c>
      <c r="E48" s="340">
        <f>零件!G49</f>
        <v>28491000</v>
      </c>
      <c r="F48" s="341">
        <v>23715743</v>
      </c>
      <c r="G48" s="487">
        <f>(E48-F48)/F48</f>
        <v>0.20135388547598951</v>
      </c>
    </row>
    <row r="49" spans="1:7" ht="19.5">
      <c r="A49" s="322">
        <v>87149990139</v>
      </c>
      <c r="B49" s="345"/>
      <c r="C49" s="348"/>
      <c r="D49" s="349"/>
      <c r="E49" s="350"/>
      <c r="F49" s="351"/>
      <c r="G49" s="350"/>
    </row>
    <row r="50" spans="1:7" ht="19.5">
      <c r="A50" s="319" t="s">
        <v>84</v>
      </c>
      <c r="B50" s="340">
        <f>零件!F51</f>
        <v>37449</v>
      </c>
      <c r="C50" s="341">
        <v>71728</v>
      </c>
      <c r="D50" s="487">
        <f>(B50-C50)/C50</f>
        <v>-0.47790263216596029</v>
      </c>
      <c r="E50" s="340">
        <f>零件!G51</f>
        <v>775486</v>
      </c>
      <c r="F50" s="341">
        <v>1306782</v>
      </c>
      <c r="G50" s="487">
        <f>(E50-F50)/F50</f>
        <v>-0.40656819576639408</v>
      </c>
    </row>
    <row r="51" spans="1:7" ht="19.5">
      <c r="A51" s="322">
        <v>87149990148</v>
      </c>
      <c r="B51" s="345"/>
      <c r="C51" s="348"/>
      <c r="D51" s="349"/>
      <c r="E51" s="350"/>
      <c r="F51" s="351"/>
      <c r="G51" s="350"/>
    </row>
    <row r="52" spans="1:7" ht="19.5">
      <c r="A52" s="324" t="s">
        <v>85</v>
      </c>
      <c r="B52" s="340">
        <f>零件!F53</f>
        <v>243001</v>
      </c>
      <c r="C52" s="341">
        <v>227558</v>
      </c>
      <c r="D52" s="487">
        <f>(B52-C52)/C52</f>
        <v>6.7864017085753958E-2</v>
      </c>
      <c r="E52" s="340">
        <f>零件!G53</f>
        <v>8450086</v>
      </c>
      <c r="F52" s="341">
        <v>8619403</v>
      </c>
      <c r="G52" s="487">
        <f>(E52-F52)/F52</f>
        <v>-1.9643703862088826E-2</v>
      </c>
    </row>
    <row r="53" spans="1:7" ht="19.5">
      <c r="A53" s="319" t="s">
        <v>86</v>
      </c>
      <c r="B53" s="340"/>
      <c r="C53" s="342"/>
      <c r="D53" s="340"/>
      <c r="E53" s="344"/>
      <c r="F53" s="341"/>
      <c r="G53" s="344"/>
    </row>
    <row r="54" spans="1:7" ht="19.5">
      <c r="A54" s="322">
        <v>87149990157</v>
      </c>
      <c r="B54" s="345"/>
      <c r="C54" s="348"/>
      <c r="D54" s="349"/>
      <c r="E54" s="350"/>
      <c r="F54" s="351"/>
      <c r="G54" s="350"/>
    </row>
    <row r="55" spans="1:7" ht="19.5">
      <c r="A55" s="319" t="s">
        <v>87</v>
      </c>
      <c r="B55" s="340">
        <f>零件!F56</f>
        <v>464016</v>
      </c>
      <c r="C55" s="341">
        <v>381310</v>
      </c>
      <c r="D55" s="487">
        <f>(B55-C55)/C55</f>
        <v>0.21689963546720517</v>
      </c>
      <c r="E55" s="340">
        <f>零件!G56</f>
        <v>21284039</v>
      </c>
      <c r="F55" s="341">
        <v>17122535</v>
      </c>
      <c r="G55" s="487">
        <f>(E55-F55)/F55</f>
        <v>0.24304251677686745</v>
      </c>
    </row>
    <row r="56" spans="1:7" ht="19.5">
      <c r="A56" s="319" t="s">
        <v>88</v>
      </c>
      <c r="B56" s="340"/>
      <c r="C56" s="342"/>
      <c r="D56" s="340"/>
      <c r="E56" s="344"/>
      <c r="F56" s="341"/>
      <c r="G56" s="344"/>
    </row>
    <row r="57" spans="1:7" ht="19.5">
      <c r="A57" s="322">
        <v>87149990166</v>
      </c>
      <c r="B57" s="345"/>
      <c r="C57" s="348"/>
      <c r="D57" s="349"/>
      <c r="E57" s="350"/>
      <c r="F57" s="351"/>
      <c r="G57" s="350"/>
    </row>
    <row r="58" spans="1:7" ht="19.5">
      <c r="A58" s="319" t="s">
        <v>85</v>
      </c>
      <c r="B58" s="340">
        <f>零件!F59</f>
        <v>464800</v>
      </c>
      <c r="C58" s="341">
        <v>451098</v>
      </c>
      <c r="D58" s="487">
        <f>(B58-C58)/C58</f>
        <v>3.0374774439257103E-2</v>
      </c>
      <c r="E58" s="340">
        <f>零件!G59</f>
        <v>17318989</v>
      </c>
      <c r="F58" s="341">
        <v>16907513</v>
      </c>
      <c r="G58" s="487">
        <f>(E58-F58)/F58</f>
        <v>2.4336873199506042E-2</v>
      </c>
    </row>
    <row r="59" spans="1:7" ht="19.5">
      <c r="A59" s="322">
        <v>40115000008</v>
      </c>
      <c r="B59" s="349"/>
      <c r="C59" s="352"/>
      <c r="D59" s="349"/>
      <c r="E59" s="350"/>
      <c r="F59" s="352"/>
      <c r="G59" s="350"/>
    </row>
    <row r="60" spans="1:7" ht="19.5">
      <c r="A60" s="319" t="s">
        <v>89</v>
      </c>
      <c r="B60" s="340">
        <f>零件!F61</f>
        <v>1851689</v>
      </c>
      <c r="C60" s="341">
        <v>1448792</v>
      </c>
      <c r="D60" s="487">
        <f>(B60-C60)/C60</f>
        <v>0.2780916791368257</v>
      </c>
      <c r="E60" s="340">
        <f>零件!G61</f>
        <v>29419952</v>
      </c>
      <c r="F60" s="341">
        <v>25098852</v>
      </c>
      <c r="G60" s="487">
        <f>(E60-F60)/F60</f>
        <v>0.17216325272566252</v>
      </c>
    </row>
    <row r="61" spans="1:7" ht="19.5">
      <c r="A61" s="319" t="s">
        <v>90</v>
      </c>
      <c r="B61" s="340"/>
      <c r="C61" s="341"/>
      <c r="D61" s="343"/>
      <c r="E61" s="344"/>
      <c r="F61" s="341"/>
      <c r="G61" s="344"/>
    </row>
    <row r="62" spans="1:7" ht="19.5">
      <c r="A62" s="322">
        <v>40132000003</v>
      </c>
      <c r="B62" s="349"/>
      <c r="C62" s="352"/>
      <c r="D62" s="349"/>
      <c r="E62" s="350"/>
      <c r="F62" s="352"/>
      <c r="G62" s="350"/>
    </row>
    <row r="63" spans="1:7" ht="19.5">
      <c r="A63" s="319" t="s">
        <v>91</v>
      </c>
      <c r="B63" s="340">
        <f>零件!F64</f>
        <v>302925</v>
      </c>
      <c r="C63" s="341">
        <v>191171</v>
      </c>
      <c r="D63" s="487">
        <f>(B63-C63)/C63</f>
        <v>0.58457611248568031</v>
      </c>
      <c r="E63" s="340">
        <f>零件!G64</f>
        <v>3019082</v>
      </c>
      <c r="F63" s="341">
        <v>2167707</v>
      </c>
      <c r="G63" s="487">
        <f>(E63-F63)/F63</f>
        <v>0.39275372548042703</v>
      </c>
    </row>
    <row r="64" spans="1:7" ht="19.5">
      <c r="A64" s="319" t="s">
        <v>92</v>
      </c>
      <c r="B64" s="340"/>
      <c r="C64" s="342"/>
      <c r="D64" s="343"/>
      <c r="E64" s="344"/>
      <c r="F64" s="341"/>
      <c r="G64" s="344"/>
    </row>
    <row r="65" spans="1:7" ht="19.5">
      <c r="A65" s="353" t="s">
        <v>93</v>
      </c>
      <c r="B65" s="354">
        <f>SUM(B6:B64)-B64-B61-B20-B17-B11-B8</f>
        <v>13371881</v>
      </c>
      <c r="C65" s="535">
        <v>11527498</v>
      </c>
      <c r="D65" s="485">
        <f>(B65-C65)/C65</f>
        <v>0.15999855302512306</v>
      </c>
      <c r="E65" s="429">
        <f>SUM(E7:E64)</f>
        <v>587741844</v>
      </c>
      <c r="F65" s="539">
        <v>532801450</v>
      </c>
      <c r="G65" s="488">
        <f>(E65-F65)/F65</f>
        <v>0.10311607447765016</v>
      </c>
    </row>
    <row r="66" spans="1:7" ht="9" customHeight="1">
      <c r="C66" s="39"/>
      <c r="E66" s="5"/>
      <c r="F66" s="459"/>
    </row>
    <row r="67" spans="1:7">
      <c r="A67" s="54" t="s">
        <v>459</v>
      </c>
      <c r="C67" s="534"/>
      <c r="F67" s="53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="90" zoomScaleNormal="9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12" customWidth="1"/>
    <col min="3" max="3" width="16.125" customWidth="1"/>
    <col min="4" max="4" width="15.75" style="355" customWidth="1"/>
    <col min="5" max="5" width="16.75" style="312" customWidth="1"/>
    <col min="6" max="6" width="18.125" customWidth="1"/>
    <col min="7" max="7" width="14.875" style="35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5.5">
      <c r="A1" s="328" t="s">
        <v>514</v>
      </c>
      <c r="B1" s="329"/>
      <c r="C1" s="330"/>
      <c r="D1" s="331"/>
      <c r="E1" s="329"/>
      <c r="F1" s="330"/>
      <c r="G1" s="331"/>
    </row>
    <row r="2" spans="1:7" s="309" customFormat="1" ht="13.5" customHeight="1">
      <c r="B2" s="310"/>
      <c r="C2" s="332"/>
      <c r="D2" s="333"/>
      <c r="E2" s="310"/>
      <c r="F2" s="332"/>
      <c r="G2" s="333"/>
    </row>
    <row r="3" spans="1:7" s="309" customFormat="1" ht="13.5" customHeight="1">
      <c r="A3" s="311"/>
      <c r="B3" s="310"/>
      <c r="C3" s="332"/>
      <c r="D3" s="333"/>
      <c r="E3" s="310"/>
      <c r="F3" s="332"/>
      <c r="G3" s="333"/>
    </row>
    <row r="4" spans="1:7">
      <c r="A4" s="496" t="s">
        <v>94</v>
      </c>
      <c r="B4" s="497" t="s">
        <v>463</v>
      </c>
      <c r="C4" s="536" t="s">
        <v>464</v>
      </c>
      <c r="D4" s="499" t="s">
        <v>465</v>
      </c>
      <c r="E4" s="498" t="s">
        <v>463</v>
      </c>
      <c r="F4" s="536" t="s">
        <v>464</v>
      </c>
      <c r="G4" s="198" t="s">
        <v>465</v>
      </c>
    </row>
    <row r="5" spans="1:7" s="309" customFormat="1" ht="18" customHeight="1">
      <c r="A5" s="46"/>
      <c r="B5" s="74" t="s">
        <v>95</v>
      </c>
      <c r="C5" s="532" t="s">
        <v>481</v>
      </c>
      <c r="D5" s="199" t="s">
        <v>1</v>
      </c>
      <c r="E5" s="74" t="s">
        <v>32</v>
      </c>
      <c r="F5" s="532" t="s">
        <v>32</v>
      </c>
      <c r="G5" s="199" t="s">
        <v>1</v>
      </c>
    </row>
    <row r="6" spans="1:7" ht="19.5">
      <c r="A6" s="335">
        <v>85121010001</v>
      </c>
      <c r="B6" s="336"/>
      <c r="C6" s="337"/>
      <c r="D6" s="338"/>
      <c r="E6" s="336"/>
      <c r="F6" s="337"/>
      <c r="G6" s="339"/>
    </row>
    <row r="7" spans="1:7" ht="19.5">
      <c r="A7" s="319" t="s">
        <v>61</v>
      </c>
      <c r="B7" s="340">
        <f>零件!L7</f>
        <v>16234</v>
      </c>
      <c r="C7" s="341">
        <v>18433</v>
      </c>
      <c r="D7" s="486">
        <f>(B7-C7)/C7</f>
        <v>-0.11929691314490316</v>
      </c>
      <c r="E7" s="340">
        <f>零件!M7</f>
        <v>962508</v>
      </c>
      <c r="F7" s="341">
        <v>1051768</v>
      </c>
      <c r="G7" s="486">
        <f>(E7-F7)/F7</f>
        <v>-8.486662457880445E-2</v>
      </c>
    </row>
    <row r="8" spans="1:7" ht="19.5">
      <c r="A8" s="319" t="s">
        <v>62</v>
      </c>
      <c r="B8" s="340"/>
      <c r="C8" s="341"/>
      <c r="D8" s="343"/>
      <c r="E8" s="344"/>
      <c r="F8" s="341"/>
      <c r="G8" s="344"/>
    </row>
    <row r="9" spans="1:7" ht="19.5">
      <c r="A9" s="321">
        <v>85121020009</v>
      </c>
      <c r="B9" s="345"/>
      <c r="C9" s="345"/>
      <c r="D9" s="346"/>
      <c r="E9" s="345"/>
      <c r="F9" s="345"/>
      <c r="G9" s="345"/>
    </row>
    <row r="10" spans="1:7" ht="19.5">
      <c r="A10" s="319" t="s">
        <v>64</v>
      </c>
      <c r="B10" s="340">
        <f>零件!L10</f>
        <v>7504</v>
      </c>
      <c r="C10" s="341">
        <v>11962</v>
      </c>
      <c r="D10" s="486">
        <f>(B10-C10)/C10</f>
        <v>-0.37268015382043135</v>
      </c>
      <c r="E10" s="340">
        <f>零件!M10</f>
        <v>584384</v>
      </c>
      <c r="F10" s="341">
        <v>658783</v>
      </c>
      <c r="G10" s="487">
        <f>(E10-F10)/F10</f>
        <v>-0.11293400102917045</v>
      </c>
    </row>
    <row r="11" spans="1:7" ht="19.5">
      <c r="A11" s="319" t="s">
        <v>65</v>
      </c>
      <c r="B11" s="340"/>
      <c r="C11" s="342"/>
      <c r="D11" s="347"/>
      <c r="E11" s="344"/>
      <c r="F11" s="341"/>
      <c r="G11" s="344"/>
    </row>
    <row r="12" spans="1:7" ht="19.5">
      <c r="A12" s="322">
        <v>87149120007</v>
      </c>
      <c r="B12" s="345"/>
      <c r="C12" s="348"/>
      <c r="D12" s="349"/>
      <c r="E12" s="350"/>
      <c r="F12" s="351"/>
      <c r="G12" s="350"/>
    </row>
    <row r="13" spans="1:7" ht="19.5">
      <c r="A13" s="319" t="s">
        <v>67</v>
      </c>
      <c r="B13" s="340">
        <f>零件!L13</f>
        <v>1648412</v>
      </c>
      <c r="C13" s="341">
        <v>1690479</v>
      </c>
      <c r="D13" s="486">
        <f>(B13-C13)/C13</f>
        <v>-2.4884662867743403E-2</v>
      </c>
      <c r="E13" s="340">
        <f>零件!M13</f>
        <v>118624555</v>
      </c>
      <c r="F13" s="341">
        <v>123731469</v>
      </c>
      <c r="G13" s="486">
        <f>(E13-F13)/F13</f>
        <v>-4.1274172538919747E-2</v>
      </c>
    </row>
    <row r="14" spans="1:7" ht="19.5">
      <c r="A14" s="319" t="s">
        <v>68</v>
      </c>
      <c r="B14" s="347"/>
      <c r="C14" s="458"/>
      <c r="D14" s="340"/>
      <c r="E14" s="344"/>
      <c r="F14" s="341"/>
      <c r="G14" s="344"/>
    </row>
    <row r="15" spans="1:7" ht="19.5">
      <c r="A15" s="322">
        <v>87149200108</v>
      </c>
      <c r="B15" s="345"/>
      <c r="C15" s="348"/>
      <c r="D15" s="349"/>
      <c r="E15" s="350"/>
      <c r="F15" s="351"/>
      <c r="G15" s="350"/>
    </row>
    <row r="16" spans="1:7" ht="19.5">
      <c r="A16" s="319" t="s">
        <v>69</v>
      </c>
      <c r="B16" s="340">
        <f>零件!L16</f>
        <v>260596</v>
      </c>
      <c r="C16" s="341">
        <v>261216</v>
      </c>
      <c r="D16" s="486">
        <f>(B16-C16)/C16</f>
        <v>-2.3735146392257749E-3</v>
      </c>
      <c r="E16" s="340">
        <f>零件!M16</f>
        <v>30714228</v>
      </c>
      <c r="F16" s="341">
        <v>26490560</v>
      </c>
      <c r="G16" s="486">
        <f>(E16-F16)/F16</f>
        <v>0.15944049502917265</v>
      </c>
    </row>
    <row r="17" spans="1:7" ht="19.5">
      <c r="A17" s="319"/>
      <c r="B17" s="340"/>
      <c r="C17" s="342"/>
      <c r="D17" s="340"/>
      <c r="E17" s="344"/>
      <c r="F17" s="341"/>
      <c r="G17" s="344"/>
    </row>
    <row r="18" spans="1:7" ht="19.5">
      <c r="A18" s="322">
        <v>87149200206</v>
      </c>
      <c r="B18" s="345"/>
      <c r="C18" s="348"/>
      <c r="D18" s="349"/>
      <c r="E18" s="350"/>
      <c r="F18" s="351"/>
      <c r="G18" s="350"/>
    </row>
    <row r="19" spans="1:7" ht="19.5">
      <c r="A19" s="319" t="s">
        <v>54</v>
      </c>
      <c r="B19" s="340">
        <f>零件!L19</f>
        <v>45325</v>
      </c>
      <c r="C19" s="341">
        <v>55923</v>
      </c>
      <c r="D19" s="486">
        <f>(B19-C19)/C19</f>
        <v>-0.18951057704343471</v>
      </c>
      <c r="E19" s="340">
        <f>零件!M19</f>
        <v>5325761</v>
      </c>
      <c r="F19" s="341">
        <v>4695886</v>
      </c>
      <c r="G19" s="487">
        <f>(E19-F19)/F19</f>
        <v>0.13413336695141237</v>
      </c>
    </row>
    <row r="20" spans="1:7" ht="19.5">
      <c r="A20" s="319"/>
      <c r="B20" s="340"/>
      <c r="C20" s="342"/>
      <c r="D20" s="340"/>
      <c r="E20" s="344"/>
      <c r="F20" s="341"/>
      <c r="G20" s="344"/>
    </row>
    <row r="21" spans="1:7" ht="19.5">
      <c r="A21" s="322">
        <v>87149200304</v>
      </c>
      <c r="B21" s="345"/>
      <c r="C21" s="348"/>
      <c r="D21" s="349"/>
      <c r="E21" s="350"/>
      <c r="F21" s="351"/>
      <c r="G21" s="350"/>
    </row>
    <row r="22" spans="1:7" ht="19.5">
      <c r="A22" s="319" t="s">
        <v>55</v>
      </c>
      <c r="B22" s="340">
        <f>零件!L22</f>
        <v>35830</v>
      </c>
      <c r="C22" s="341">
        <v>75894</v>
      </c>
      <c r="D22" s="487">
        <f>(B22-C22)/C22</f>
        <v>-0.52789416818193802</v>
      </c>
      <c r="E22" s="340">
        <f>零件!M22</f>
        <v>3415563</v>
      </c>
      <c r="F22" s="341">
        <v>2277928</v>
      </c>
      <c r="G22" s="486">
        <f>(E22-F22)/F22</f>
        <v>0.49941657506295195</v>
      </c>
    </row>
    <row r="23" spans="1:7" ht="19.5">
      <c r="A23" s="322">
        <v>87149310007</v>
      </c>
      <c r="B23" s="345"/>
      <c r="C23" s="348"/>
      <c r="D23" s="349"/>
      <c r="E23" s="350"/>
      <c r="F23" s="351"/>
      <c r="G23" s="350"/>
    </row>
    <row r="24" spans="1:7" ht="19.5">
      <c r="A24" s="319" t="s">
        <v>70</v>
      </c>
      <c r="B24" s="340">
        <f>零件!L24</f>
        <v>200586</v>
      </c>
      <c r="C24" s="341">
        <v>317505</v>
      </c>
      <c r="D24" s="487">
        <f>(B24-C24)/C24</f>
        <v>-0.36824301979496388</v>
      </c>
      <c r="E24" s="340">
        <f>零件!M24</f>
        <v>10126926</v>
      </c>
      <c r="F24" s="341">
        <v>12991032</v>
      </c>
      <c r="G24" s="487">
        <f>(E24-F24)/F24</f>
        <v>-0.22046793511092883</v>
      </c>
    </row>
    <row r="25" spans="1:7" ht="19.5">
      <c r="A25" s="319" t="s">
        <v>96</v>
      </c>
      <c r="B25" s="340"/>
      <c r="C25" s="342"/>
      <c r="D25" s="340"/>
      <c r="E25" s="344"/>
      <c r="F25" s="341"/>
      <c r="G25" s="344"/>
    </row>
    <row r="26" spans="1:7" ht="19.5">
      <c r="A26" s="322">
        <v>87149320103</v>
      </c>
      <c r="B26" s="345"/>
      <c r="C26" s="348"/>
      <c r="D26" s="349"/>
      <c r="E26" s="350"/>
      <c r="F26" s="351"/>
      <c r="G26" s="350"/>
    </row>
    <row r="27" spans="1:7" ht="19.5">
      <c r="A27" s="319" t="s">
        <v>404</v>
      </c>
      <c r="B27" s="340">
        <f>零件!L28</f>
        <v>4131</v>
      </c>
      <c r="C27" s="341">
        <v>6492</v>
      </c>
      <c r="D27" s="487">
        <f>(B27-C27)/C27</f>
        <v>-0.36367837338262476</v>
      </c>
      <c r="E27" s="340">
        <f>零件!M28</f>
        <v>181590</v>
      </c>
      <c r="F27" s="341">
        <v>241624</v>
      </c>
      <c r="G27" s="487">
        <f>(E27-F27)/F27</f>
        <v>-0.24846041783928749</v>
      </c>
    </row>
    <row r="28" spans="1:7" ht="19.5">
      <c r="A28" s="322">
        <v>87149410006</v>
      </c>
      <c r="B28" s="345"/>
      <c r="C28" s="348"/>
      <c r="D28" s="349"/>
      <c r="E28" s="350"/>
      <c r="F28" s="351"/>
      <c r="G28" s="350"/>
    </row>
    <row r="29" spans="1:7" ht="19.5">
      <c r="A29" s="319" t="s">
        <v>73</v>
      </c>
      <c r="B29" s="340">
        <f>零件!L30</f>
        <v>13112</v>
      </c>
      <c r="C29" s="341">
        <v>11855</v>
      </c>
      <c r="D29" s="486">
        <f>(B29-C29)/C29</f>
        <v>0.10603121045972164</v>
      </c>
      <c r="E29" s="340">
        <f>零件!M30</f>
        <v>690789</v>
      </c>
      <c r="F29" s="341">
        <v>211149</v>
      </c>
      <c r="G29" s="486">
        <f>(E29-F29)/F29</f>
        <v>2.2715712601054232</v>
      </c>
    </row>
    <row r="30" spans="1:7" ht="19.5">
      <c r="A30" s="319" t="s">
        <v>74</v>
      </c>
      <c r="B30" s="340"/>
      <c r="C30" s="342"/>
      <c r="D30" s="340"/>
      <c r="E30" s="344"/>
      <c r="F30" s="341"/>
      <c r="G30" s="344"/>
    </row>
    <row r="31" spans="1:7" ht="19.5">
      <c r="A31" s="322">
        <v>87149490009</v>
      </c>
      <c r="B31" s="345"/>
      <c r="C31" s="348"/>
      <c r="D31" s="349"/>
      <c r="E31" s="350"/>
      <c r="F31" s="351"/>
      <c r="G31" s="350"/>
    </row>
    <row r="32" spans="1:7" ht="19.5">
      <c r="A32" s="319" t="s">
        <v>75</v>
      </c>
      <c r="B32" s="340">
        <f>零件!L33</f>
        <v>637590</v>
      </c>
      <c r="C32" s="341">
        <v>574420</v>
      </c>
      <c r="D32" s="486">
        <f>(B32-C32)/C32</f>
        <v>0.10997179763935797</v>
      </c>
      <c r="E32" s="340">
        <f>零件!M33</f>
        <v>30506418</v>
      </c>
      <c r="F32" s="341">
        <v>37107150</v>
      </c>
      <c r="G32" s="486">
        <f>(E32-F32)/F32</f>
        <v>-0.17788302254417276</v>
      </c>
    </row>
    <row r="33" spans="1:7" ht="19.5">
      <c r="A33" s="319" t="s">
        <v>76</v>
      </c>
      <c r="B33" s="340"/>
      <c r="C33" s="342"/>
      <c r="D33" s="340"/>
      <c r="E33" s="344"/>
      <c r="F33" s="341"/>
      <c r="G33" s="344"/>
    </row>
    <row r="34" spans="1:7" ht="19.5">
      <c r="A34" s="322">
        <v>87149500007</v>
      </c>
      <c r="B34" s="349"/>
      <c r="C34" s="348"/>
      <c r="D34" s="349"/>
      <c r="E34" s="350"/>
      <c r="F34" s="351"/>
      <c r="G34" s="350"/>
    </row>
    <row r="35" spans="1:7" ht="19.5">
      <c r="A35" s="319" t="s">
        <v>77</v>
      </c>
      <c r="B35" s="340">
        <f>零件!L36</f>
        <v>290602</v>
      </c>
      <c r="C35" s="341">
        <v>232070</v>
      </c>
      <c r="D35" s="486">
        <f>(B35-C35)/C35</f>
        <v>0.25221700349032622</v>
      </c>
      <c r="E35" s="340">
        <f>零件!M36</f>
        <v>4124318</v>
      </c>
      <c r="F35" s="341">
        <v>4142022</v>
      </c>
      <c r="G35" s="486">
        <f>(E35-F35)/F35</f>
        <v>-4.2742409383629545E-3</v>
      </c>
    </row>
    <row r="36" spans="1:7" ht="19.5">
      <c r="A36" s="322">
        <v>87149610004</v>
      </c>
      <c r="B36" s="349"/>
      <c r="C36" s="348"/>
      <c r="D36" s="349"/>
      <c r="E36" s="350"/>
      <c r="F36" s="351"/>
      <c r="G36" s="350"/>
    </row>
    <row r="37" spans="1:7" ht="19.5">
      <c r="A37" s="319" t="s">
        <v>78</v>
      </c>
      <c r="B37" s="340">
        <f>零件!L38</f>
        <v>97417</v>
      </c>
      <c r="C37" s="341">
        <v>87800</v>
      </c>
      <c r="D37" s="487">
        <f>(B37-C37)/C37</f>
        <v>0.10953302961275627</v>
      </c>
      <c r="E37" s="340">
        <f>零件!M38</f>
        <v>1324940</v>
      </c>
      <c r="F37" s="341">
        <v>1532072</v>
      </c>
      <c r="G37" s="487">
        <f>(E37-F37)/F37</f>
        <v>-0.13519730143230865</v>
      </c>
    </row>
    <row r="38" spans="1:7" ht="19.5">
      <c r="A38" s="322">
        <v>87149620002</v>
      </c>
      <c r="B38" s="345"/>
      <c r="C38" s="348"/>
      <c r="D38" s="349"/>
      <c r="E38" s="350"/>
      <c r="F38" s="351"/>
      <c r="G38" s="350"/>
    </row>
    <row r="39" spans="1:7" ht="19.5">
      <c r="A39" s="319" t="s">
        <v>79</v>
      </c>
      <c r="B39" s="340">
        <f>零件!L40</f>
        <v>500722</v>
      </c>
      <c r="C39" s="341">
        <v>463526</v>
      </c>
      <c r="D39" s="487">
        <f>(B39-C39)/C39</f>
        <v>8.0245768306416471E-2</v>
      </c>
      <c r="E39" s="340">
        <f>零件!M40</f>
        <v>13676670</v>
      </c>
      <c r="F39" s="341">
        <v>13943405</v>
      </c>
      <c r="G39" s="487">
        <f>(E39-F39)/F39</f>
        <v>-1.9129832347263814E-2</v>
      </c>
    </row>
    <row r="40" spans="1:7" ht="19.5">
      <c r="A40" s="319" t="s">
        <v>74</v>
      </c>
      <c r="B40" s="340"/>
      <c r="C40" s="341"/>
      <c r="D40" s="340"/>
      <c r="E40" s="344"/>
      <c r="F40" s="341"/>
      <c r="G40" s="344"/>
    </row>
    <row r="41" spans="1:7" ht="19.5">
      <c r="A41" s="322">
        <v>73151100209</v>
      </c>
      <c r="B41" s="345"/>
      <c r="C41" s="349"/>
      <c r="D41" s="349"/>
      <c r="E41" s="350"/>
      <c r="F41" s="349"/>
      <c r="G41" s="350"/>
    </row>
    <row r="42" spans="1:7" ht="19.5">
      <c r="A42" s="319" t="s">
        <v>80</v>
      </c>
      <c r="B42" s="340">
        <f>零件!L43</f>
        <v>441073</v>
      </c>
      <c r="C42" s="341">
        <v>319714</v>
      </c>
      <c r="D42" s="487">
        <f>(B42-C42)/C42</f>
        <v>0.37958613010378023</v>
      </c>
      <c r="E42" s="340">
        <f>零件!M43</f>
        <v>4786174</v>
      </c>
      <c r="F42" s="341">
        <v>3755081</v>
      </c>
      <c r="G42" s="487">
        <f>(E42-F42)/F42</f>
        <v>0.27458608749052282</v>
      </c>
    </row>
    <row r="43" spans="1:7" ht="19.5">
      <c r="A43" s="319" t="s">
        <v>81</v>
      </c>
      <c r="B43" s="340"/>
      <c r="C43" s="342"/>
      <c r="D43" s="340"/>
      <c r="E43" s="344"/>
      <c r="F43" s="341"/>
      <c r="G43" s="344"/>
    </row>
    <row r="44" spans="1:7" ht="19.5">
      <c r="A44" s="322">
        <v>87149990111</v>
      </c>
      <c r="B44" s="345"/>
      <c r="C44" s="348"/>
      <c r="D44" s="349"/>
      <c r="E44" s="350"/>
      <c r="F44" s="351"/>
      <c r="G44" s="350"/>
    </row>
    <row r="45" spans="1:7" ht="19.5">
      <c r="A45" s="323" t="s">
        <v>82</v>
      </c>
      <c r="B45" s="340">
        <f>零件!L46</f>
        <v>119658</v>
      </c>
      <c r="C45" s="341">
        <v>134818</v>
      </c>
      <c r="D45" s="486">
        <f>(B45-C45)/C45</f>
        <v>-0.11244789271462267</v>
      </c>
      <c r="E45" s="340">
        <f>零件!M46</f>
        <v>11757430</v>
      </c>
      <c r="F45" s="341">
        <v>12420243</v>
      </c>
      <c r="G45" s="486">
        <f>(E45-F45)/F45</f>
        <v>-5.3365542042937482E-2</v>
      </c>
    </row>
    <row r="46" spans="1:7" ht="19.5">
      <c r="A46" s="319" t="s">
        <v>83</v>
      </c>
      <c r="B46" s="340"/>
      <c r="C46" s="342"/>
      <c r="D46" s="340"/>
      <c r="E46" s="344"/>
      <c r="F46" s="341"/>
      <c r="G46" s="344"/>
    </row>
    <row r="47" spans="1:7" ht="19.5">
      <c r="A47" s="322">
        <v>87149320906</v>
      </c>
      <c r="B47" s="345"/>
      <c r="C47" s="348"/>
      <c r="D47" s="349"/>
      <c r="E47" s="350"/>
      <c r="F47" s="351"/>
      <c r="G47" s="350"/>
    </row>
    <row r="48" spans="1:7" ht="19.5">
      <c r="A48" s="319" t="s">
        <v>406</v>
      </c>
      <c r="B48" s="340">
        <f>零件!L49</f>
        <v>155709</v>
      </c>
      <c r="C48" s="341">
        <v>110442</v>
      </c>
      <c r="D48" s="486">
        <f>(B48-C48)/C48</f>
        <v>0.40987124463519314</v>
      </c>
      <c r="E48" s="340">
        <f>零件!M49</f>
        <v>6766724</v>
      </c>
      <c r="F48" s="341">
        <v>4978554</v>
      </c>
      <c r="G48" s="486">
        <f>(E48-F48)/F48</f>
        <v>0.3591745715723883</v>
      </c>
    </row>
    <row r="49" spans="1:7" ht="19.5">
      <c r="A49" s="322">
        <v>87149990139</v>
      </c>
      <c r="B49" s="345"/>
      <c r="C49" s="348"/>
      <c r="D49" s="349"/>
      <c r="E49" s="350"/>
      <c r="F49" s="351"/>
      <c r="G49" s="350"/>
    </row>
    <row r="50" spans="1:7" ht="19.5">
      <c r="A50" s="319" t="s">
        <v>84</v>
      </c>
      <c r="B50" s="340">
        <f>零件!L51</f>
        <v>10529</v>
      </c>
      <c r="C50" s="341">
        <v>34528</v>
      </c>
      <c r="D50" s="487">
        <f>(B50-C50)/C50</f>
        <v>-0.69505908248378123</v>
      </c>
      <c r="E50" s="340">
        <f>零件!M51</f>
        <v>122919</v>
      </c>
      <c r="F50" s="341">
        <v>400161</v>
      </c>
      <c r="G50" s="487">
        <f>(E50-F50)/F50</f>
        <v>-0.69282613747966448</v>
      </c>
    </row>
    <row r="51" spans="1:7" ht="19.5">
      <c r="A51" s="322">
        <v>87149990148</v>
      </c>
      <c r="B51" s="345"/>
      <c r="C51" s="348"/>
      <c r="D51" s="349"/>
      <c r="E51" s="350"/>
      <c r="F51" s="351"/>
      <c r="G51" s="350"/>
    </row>
    <row r="52" spans="1:7" ht="19.5">
      <c r="A52" s="324" t="s">
        <v>85</v>
      </c>
      <c r="B52" s="340">
        <f>零件!L53</f>
        <v>50251</v>
      </c>
      <c r="C52" s="341">
        <v>61897</v>
      </c>
      <c r="D52" s="486">
        <f>(B52-C52)/C52</f>
        <v>-0.18815128358401861</v>
      </c>
      <c r="E52" s="340">
        <f>零件!M53</f>
        <v>2443777</v>
      </c>
      <c r="F52" s="341">
        <v>1812631</v>
      </c>
      <c r="G52" s="486">
        <f>(E52-F52)/F52</f>
        <v>0.3481933167864833</v>
      </c>
    </row>
    <row r="53" spans="1:7" ht="19.5">
      <c r="A53" s="319" t="s">
        <v>86</v>
      </c>
      <c r="B53" s="340"/>
      <c r="C53" s="342"/>
      <c r="D53" s="340"/>
      <c r="E53" s="344"/>
      <c r="F53" s="341"/>
      <c r="G53" s="344"/>
    </row>
    <row r="54" spans="1:7" ht="19.5">
      <c r="A54" s="322">
        <v>87149990157</v>
      </c>
      <c r="B54" s="345"/>
      <c r="C54" s="348"/>
      <c r="D54" s="349"/>
      <c r="E54" s="350"/>
      <c r="F54" s="351"/>
      <c r="G54" s="350"/>
    </row>
    <row r="55" spans="1:7" ht="19.5">
      <c r="A55" s="319" t="s">
        <v>87</v>
      </c>
      <c r="B55" s="340">
        <f>零件!L56</f>
        <v>123818</v>
      </c>
      <c r="C55" s="341">
        <v>122343</v>
      </c>
      <c r="D55" s="487">
        <f>(B55-C55)/C55</f>
        <v>1.2056268033316168E-2</v>
      </c>
      <c r="E55" s="340">
        <f>零件!M56</f>
        <v>5562690</v>
      </c>
      <c r="F55" s="341">
        <v>5577991</v>
      </c>
      <c r="G55" s="487">
        <f>(E55-F55)/F55</f>
        <v>-2.7431023104913578E-3</v>
      </c>
    </row>
    <row r="56" spans="1:7" ht="19.5">
      <c r="A56" s="319" t="s">
        <v>88</v>
      </c>
      <c r="B56" s="340"/>
      <c r="C56" s="342"/>
      <c r="D56" s="340"/>
      <c r="E56" s="344"/>
      <c r="F56" s="341"/>
      <c r="G56" s="344"/>
    </row>
    <row r="57" spans="1:7" ht="19.5">
      <c r="A57" s="322">
        <v>87149990166</v>
      </c>
      <c r="B57" s="345"/>
      <c r="C57" s="348"/>
      <c r="D57" s="349"/>
      <c r="E57" s="350"/>
      <c r="F57" s="351"/>
      <c r="G57" s="350"/>
    </row>
    <row r="58" spans="1:7" ht="19.5">
      <c r="A58" s="319" t="s">
        <v>85</v>
      </c>
      <c r="B58" s="340">
        <f>零件!L59</f>
        <v>134694</v>
      </c>
      <c r="C58" s="341">
        <v>154048</v>
      </c>
      <c r="D58" s="486">
        <f>(B58-C58)/C58</f>
        <v>-0.1256361653510594</v>
      </c>
      <c r="E58" s="340">
        <f>零件!M59</f>
        <v>11312934</v>
      </c>
      <c r="F58" s="341">
        <v>10413781</v>
      </c>
      <c r="G58" s="486">
        <f>(E58-F58)/F58</f>
        <v>8.6342606974354461E-2</v>
      </c>
    </row>
    <row r="59" spans="1:7" ht="19.5">
      <c r="A59" s="322">
        <v>40115000008</v>
      </c>
      <c r="B59" s="349"/>
      <c r="C59" s="349"/>
      <c r="D59" s="352"/>
      <c r="E59" s="350"/>
      <c r="F59" s="349"/>
      <c r="G59" s="350"/>
    </row>
    <row r="60" spans="1:7" ht="19.5">
      <c r="A60" s="319" t="s">
        <v>89</v>
      </c>
      <c r="B60" s="340">
        <f>零件!L61</f>
        <v>638174</v>
      </c>
      <c r="C60" s="341">
        <v>662732</v>
      </c>
      <c r="D60" s="522">
        <f>(B60-C60)/C60</f>
        <v>-3.70557027576758E-2</v>
      </c>
      <c r="E60" s="340">
        <f>零件!M61</f>
        <v>7878272</v>
      </c>
      <c r="F60" s="341">
        <v>7065545</v>
      </c>
      <c r="G60" s="486">
        <f>(E60-F60)/F60</f>
        <v>0.1150267955267428</v>
      </c>
    </row>
    <row r="61" spans="1:7" ht="19.5">
      <c r="A61" s="319" t="s">
        <v>90</v>
      </c>
      <c r="B61" s="340"/>
      <c r="C61" s="341"/>
      <c r="D61" s="343"/>
      <c r="E61" s="344"/>
      <c r="F61" s="341"/>
      <c r="G61" s="489"/>
    </row>
    <row r="62" spans="1:7" ht="19.5">
      <c r="A62" s="322">
        <v>40132000003</v>
      </c>
      <c r="B62" s="349"/>
      <c r="C62" s="349"/>
      <c r="D62" s="349"/>
      <c r="E62" s="350"/>
      <c r="F62" s="349"/>
      <c r="G62" s="350"/>
    </row>
    <row r="63" spans="1:7" ht="19.5">
      <c r="A63" s="319" t="s">
        <v>91</v>
      </c>
      <c r="B63" s="340">
        <f>零件!L64</f>
        <v>137526</v>
      </c>
      <c r="C63" s="341">
        <v>115511</v>
      </c>
      <c r="D63" s="523">
        <f>(B63-C63)/C63</f>
        <v>0.19058790937659617</v>
      </c>
      <c r="E63" s="340">
        <f>零件!M64</f>
        <v>1036145</v>
      </c>
      <c r="F63" s="341">
        <v>711444</v>
      </c>
      <c r="G63" s="486">
        <f>(E63-F63)/F63</f>
        <v>0.45639713034335799</v>
      </c>
    </row>
    <row r="64" spans="1:7" ht="19.5">
      <c r="A64" s="319" t="s">
        <v>92</v>
      </c>
      <c r="B64" s="340"/>
      <c r="C64" s="342"/>
      <c r="D64" s="343"/>
      <c r="E64" s="524"/>
      <c r="F64" s="341"/>
      <c r="G64" s="344"/>
    </row>
    <row r="65" spans="1:7" ht="19.5">
      <c r="A65" s="353" t="s">
        <v>93</v>
      </c>
      <c r="B65" s="354">
        <f>SUM(B6:B64)-B64-B61-B20-B17-B11-B8</f>
        <v>5569493</v>
      </c>
      <c r="C65" s="535">
        <v>5523608</v>
      </c>
      <c r="D65" s="525">
        <f>(B65-C65)/C65</f>
        <v>8.3070703062201375E-3</v>
      </c>
      <c r="E65" s="526">
        <f>SUM(E7:E64)</f>
        <v>271925715</v>
      </c>
      <c r="F65" s="539">
        <v>276210279</v>
      </c>
      <c r="G65" s="485">
        <f>(E65-F65)/F65</f>
        <v>-1.5511964346554967E-2</v>
      </c>
    </row>
    <row r="66" spans="1:7">
      <c r="C66" s="39"/>
      <c r="E66" s="5"/>
      <c r="F66" s="459"/>
      <c r="G66" s="312"/>
    </row>
    <row r="67" spans="1:7">
      <c r="A67" s="54" t="s">
        <v>459</v>
      </c>
      <c r="C67" s="534"/>
      <c r="F67" s="53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549" customWidth="1"/>
    <col min="2" max="2" width="11.125" style="549" customWidth="1"/>
    <col min="3" max="3" width="17.75" style="554" customWidth="1"/>
    <col min="4" max="4" width="12.875" style="549" bestFit="1" customWidth="1"/>
    <col min="5" max="5" width="17.875" style="554" customWidth="1"/>
    <col min="6" max="6" width="2.125" style="549" customWidth="1"/>
    <col min="7" max="7" width="11.25" style="549" customWidth="1"/>
    <col min="8" max="8" width="15.75" style="554" customWidth="1"/>
    <col min="9" max="9" width="12.875" style="549" bestFit="1" customWidth="1"/>
    <col min="10" max="10" width="17.875" style="554" customWidth="1"/>
    <col min="11" max="258" width="10" style="549"/>
    <col min="259" max="259" width="23.25" style="549" customWidth="1"/>
    <col min="260" max="260" width="10" style="549"/>
    <col min="261" max="261" width="17.875" style="549" customWidth="1"/>
    <col min="262" max="262" width="2.125" style="549" customWidth="1"/>
    <col min="263" max="263" width="10" style="549"/>
    <col min="264" max="264" width="15.75" style="549" customWidth="1"/>
    <col min="265" max="265" width="10" style="549"/>
    <col min="266" max="266" width="17.875" style="549" customWidth="1"/>
    <col min="267" max="514" width="10" style="549"/>
    <col min="515" max="515" width="23.25" style="549" customWidth="1"/>
    <col min="516" max="516" width="10" style="549"/>
    <col min="517" max="517" width="17.875" style="549" customWidth="1"/>
    <col min="518" max="518" width="2.125" style="549" customWidth="1"/>
    <col min="519" max="519" width="10" style="549"/>
    <col min="520" max="520" width="15.75" style="549" customWidth="1"/>
    <col min="521" max="521" width="10" style="549"/>
    <col min="522" max="522" width="17.875" style="549" customWidth="1"/>
    <col min="523" max="770" width="10" style="549"/>
    <col min="771" max="771" width="23.25" style="549" customWidth="1"/>
    <col min="772" max="772" width="10" style="549"/>
    <col min="773" max="773" width="17.875" style="549" customWidth="1"/>
    <col min="774" max="774" width="2.125" style="549" customWidth="1"/>
    <col min="775" max="775" width="10" style="549"/>
    <col min="776" max="776" width="15.75" style="549" customWidth="1"/>
    <col min="777" max="777" width="10" style="549"/>
    <col min="778" max="778" width="17.875" style="549" customWidth="1"/>
    <col min="779" max="1026" width="10" style="549"/>
    <col min="1027" max="1027" width="23.25" style="549" customWidth="1"/>
    <col min="1028" max="1028" width="10" style="549"/>
    <col min="1029" max="1029" width="17.875" style="549" customWidth="1"/>
    <col min="1030" max="1030" width="2.125" style="549" customWidth="1"/>
    <col min="1031" max="1031" width="10" style="549"/>
    <col min="1032" max="1032" width="15.75" style="549" customWidth="1"/>
    <col min="1033" max="1033" width="10" style="549"/>
    <col min="1034" max="1034" width="17.875" style="549" customWidth="1"/>
    <col min="1035" max="1282" width="10" style="549"/>
    <col min="1283" max="1283" width="23.25" style="549" customWidth="1"/>
    <col min="1284" max="1284" width="10" style="549"/>
    <col min="1285" max="1285" width="17.875" style="549" customWidth="1"/>
    <col min="1286" max="1286" width="2.125" style="549" customWidth="1"/>
    <col min="1287" max="1287" width="10" style="549"/>
    <col min="1288" max="1288" width="15.75" style="549" customWidth="1"/>
    <col min="1289" max="1289" width="10" style="549"/>
    <col min="1290" max="1290" width="17.875" style="549" customWidth="1"/>
    <col min="1291" max="1538" width="10" style="549"/>
    <col min="1539" max="1539" width="23.25" style="549" customWidth="1"/>
    <col min="1540" max="1540" width="10" style="549"/>
    <col min="1541" max="1541" width="17.875" style="549" customWidth="1"/>
    <col min="1542" max="1542" width="2.125" style="549" customWidth="1"/>
    <col min="1543" max="1543" width="10" style="549"/>
    <col min="1544" max="1544" width="15.75" style="549" customWidth="1"/>
    <col min="1545" max="1545" width="10" style="549"/>
    <col min="1546" max="1546" width="17.875" style="549" customWidth="1"/>
    <col min="1547" max="1794" width="10" style="549"/>
    <col min="1795" max="1795" width="23.25" style="549" customWidth="1"/>
    <col min="1796" max="1796" width="10" style="549"/>
    <col min="1797" max="1797" width="17.875" style="549" customWidth="1"/>
    <col min="1798" max="1798" width="2.125" style="549" customWidth="1"/>
    <col min="1799" max="1799" width="10" style="549"/>
    <col min="1800" max="1800" width="15.75" style="549" customWidth="1"/>
    <col min="1801" max="1801" width="10" style="549"/>
    <col min="1802" max="1802" width="17.875" style="549" customWidth="1"/>
    <col min="1803" max="2050" width="10" style="549"/>
    <col min="2051" max="2051" width="23.25" style="549" customWidth="1"/>
    <col min="2052" max="2052" width="10" style="549"/>
    <col min="2053" max="2053" width="17.875" style="549" customWidth="1"/>
    <col min="2054" max="2054" width="2.125" style="549" customWidth="1"/>
    <col min="2055" max="2055" width="10" style="549"/>
    <col min="2056" max="2056" width="15.75" style="549" customWidth="1"/>
    <col min="2057" max="2057" width="10" style="549"/>
    <col min="2058" max="2058" width="17.875" style="549" customWidth="1"/>
    <col min="2059" max="2306" width="10" style="549"/>
    <col min="2307" max="2307" width="23.25" style="549" customWidth="1"/>
    <col min="2308" max="2308" width="10" style="549"/>
    <col min="2309" max="2309" width="17.875" style="549" customWidth="1"/>
    <col min="2310" max="2310" width="2.125" style="549" customWidth="1"/>
    <col min="2311" max="2311" width="10" style="549"/>
    <col min="2312" max="2312" width="15.75" style="549" customWidth="1"/>
    <col min="2313" max="2313" width="10" style="549"/>
    <col min="2314" max="2314" width="17.875" style="549" customWidth="1"/>
    <col min="2315" max="2562" width="10" style="549"/>
    <col min="2563" max="2563" width="23.25" style="549" customWidth="1"/>
    <col min="2564" max="2564" width="10" style="549"/>
    <col min="2565" max="2565" width="17.875" style="549" customWidth="1"/>
    <col min="2566" max="2566" width="2.125" style="549" customWidth="1"/>
    <col min="2567" max="2567" width="10" style="549"/>
    <col min="2568" max="2568" width="15.75" style="549" customWidth="1"/>
    <col min="2569" max="2569" width="10" style="549"/>
    <col min="2570" max="2570" width="17.875" style="549" customWidth="1"/>
    <col min="2571" max="2818" width="10" style="549"/>
    <col min="2819" max="2819" width="23.25" style="549" customWidth="1"/>
    <col min="2820" max="2820" width="10" style="549"/>
    <col min="2821" max="2821" width="17.875" style="549" customWidth="1"/>
    <col min="2822" max="2822" width="2.125" style="549" customWidth="1"/>
    <col min="2823" max="2823" width="10" style="549"/>
    <col min="2824" max="2824" width="15.75" style="549" customWidth="1"/>
    <col min="2825" max="2825" width="10" style="549"/>
    <col min="2826" max="2826" width="17.875" style="549" customWidth="1"/>
    <col min="2827" max="3074" width="10" style="549"/>
    <col min="3075" max="3075" width="23.25" style="549" customWidth="1"/>
    <col min="3076" max="3076" width="10" style="549"/>
    <col min="3077" max="3077" width="17.875" style="549" customWidth="1"/>
    <col min="3078" max="3078" width="2.125" style="549" customWidth="1"/>
    <col min="3079" max="3079" width="10" style="549"/>
    <col min="3080" max="3080" width="15.75" style="549" customWidth="1"/>
    <col min="3081" max="3081" width="10" style="549"/>
    <col min="3082" max="3082" width="17.875" style="549" customWidth="1"/>
    <col min="3083" max="3330" width="10" style="549"/>
    <col min="3331" max="3331" width="23.25" style="549" customWidth="1"/>
    <col min="3332" max="3332" width="10" style="549"/>
    <col min="3333" max="3333" width="17.875" style="549" customWidth="1"/>
    <col min="3334" max="3334" width="2.125" style="549" customWidth="1"/>
    <col min="3335" max="3335" width="10" style="549"/>
    <col min="3336" max="3336" width="15.75" style="549" customWidth="1"/>
    <col min="3337" max="3337" width="10" style="549"/>
    <col min="3338" max="3338" width="17.875" style="549" customWidth="1"/>
    <col min="3339" max="3586" width="10" style="549"/>
    <col min="3587" max="3587" width="23.25" style="549" customWidth="1"/>
    <col min="3588" max="3588" width="10" style="549"/>
    <col min="3589" max="3589" width="17.875" style="549" customWidth="1"/>
    <col min="3590" max="3590" width="2.125" style="549" customWidth="1"/>
    <col min="3591" max="3591" width="10" style="549"/>
    <col min="3592" max="3592" width="15.75" style="549" customWidth="1"/>
    <col min="3593" max="3593" width="10" style="549"/>
    <col min="3594" max="3594" width="17.875" style="549" customWidth="1"/>
    <col min="3595" max="3842" width="10" style="549"/>
    <col min="3843" max="3843" width="23.25" style="549" customWidth="1"/>
    <col min="3844" max="3844" width="10" style="549"/>
    <col min="3845" max="3845" width="17.875" style="549" customWidth="1"/>
    <col min="3846" max="3846" width="2.125" style="549" customWidth="1"/>
    <col min="3847" max="3847" width="10" style="549"/>
    <col min="3848" max="3848" width="15.75" style="549" customWidth="1"/>
    <col min="3849" max="3849" width="10" style="549"/>
    <col min="3850" max="3850" width="17.875" style="549" customWidth="1"/>
    <col min="3851" max="4098" width="10" style="549"/>
    <col min="4099" max="4099" width="23.25" style="549" customWidth="1"/>
    <col min="4100" max="4100" width="10" style="549"/>
    <col min="4101" max="4101" width="17.875" style="549" customWidth="1"/>
    <col min="4102" max="4102" width="2.125" style="549" customWidth="1"/>
    <col min="4103" max="4103" width="10" style="549"/>
    <col min="4104" max="4104" width="15.75" style="549" customWidth="1"/>
    <col min="4105" max="4105" width="10" style="549"/>
    <col min="4106" max="4106" width="17.875" style="549" customWidth="1"/>
    <col min="4107" max="4354" width="10" style="549"/>
    <col min="4355" max="4355" width="23.25" style="549" customWidth="1"/>
    <col min="4356" max="4356" width="10" style="549"/>
    <col min="4357" max="4357" width="17.875" style="549" customWidth="1"/>
    <col min="4358" max="4358" width="2.125" style="549" customWidth="1"/>
    <col min="4359" max="4359" width="10" style="549"/>
    <col min="4360" max="4360" width="15.75" style="549" customWidth="1"/>
    <col min="4361" max="4361" width="10" style="549"/>
    <col min="4362" max="4362" width="17.875" style="549" customWidth="1"/>
    <col min="4363" max="4610" width="10" style="549"/>
    <col min="4611" max="4611" width="23.25" style="549" customWidth="1"/>
    <col min="4612" max="4612" width="10" style="549"/>
    <col min="4613" max="4613" width="17.875" style="549" customWidth="1"/>
    <col min="4614" max="4614" width="2.125" style="549" customWidth="1"/>
    <col min="4615" max="4615" width="10" style="549"/>
    <col min="4616" max="4616" width="15.75" style="549" customWidth="1"/>
    <col min="4617" max="4617" width="10" style="549"/>
    <col min="4618" max="4618" width="17.875" style="549" customWidth="1"/>
    <col min="4619" max="4866" width="10" style="549"/>
    <col min="4867" max="4867" width="23.25" style="549" customWidth="1"/>
    <col min="4868" max="4868" width="10" style="549"/>
    <col min="4869" max="4869" width="17.875" style="549" customWidth="1"/>
    <col min="4870" max="4870" width="2.125" style="549" customWidth="1"/>
    <col min="4871" max="4871" width="10" style="549"/>
    <col min="4872" max="4872" width="15.75" style="549" customWidth="1"/>
    <col min="4873" max="4873" width="10" style="549"/>
    <col min="4874" max="4874" width="17.875" style="549" customWidth="1"/>
    <col min="4875" max="5122" width="10" style="549"/>
    <col min="5123" max="5123" width="23.25" style="549" customWidth="1"/>
    <col min="5124" max="5124" width="10" style="549"/>
    <col min="5125" max="5125" width="17.875" style="549" customWidth="1"/>
    <col min="5126" max="5126" width="2.125" style="549" customWidth="1"/>
    <col min="5127" max="5127" width="10" style="549"/>
    <col min="5128" max="5128" width="15.75" style="549" customWidth="1"/>
    <col min="5129" max="5129" width="10" style="549"/>
    <col min="5130" max="5130" width="17.875" style="549" customWidth="1"/>
    <col min="5131" max="5378" width="10" style="549"/>
    <col min="5379" max="5379" width="23.25" style="549" customWidth="1"/>
    <col min="5380" max="5380" width="10" style="549"/>
    <col min="5381" max="5381" width="17.875" style="549" customWidth="1"/>
    <col min="5382" max="5382" width="2.125" style="549" customWidth="1"/>
    <col min="5383" max="5383" width="10" style="549"/>
    <col min="5384" max="5384" width="15.75" style="549" customWidth="1"/>
    <col min="5385" max="5385" width="10" style="549"/>
    <col min="5386" max="5386" width="17.875" style="549" customWidth="1"/>
    <col min="5387" max="5634" width="10" style="549"/>
    <col min="5635" max="5635" width="23.25" style="549" customWidth="1"/>
    <col min="5636" max="5636" width="10" style="549"/>
    <col min="5637" max="5637" width="17.875" style="549" customWidth="1"/>
    <col min="5638" max="5638" width="2.125" style="549" customWidth="1"/>
    <col min="5639" max="5639" width="10" style="549"/>
    <col min="5640" max="5640" width="15.75" style="549" customWidth="1"/>
    <col min="5641" max="5641" width="10" style="549"/>
    <col min="5642" max="5642" width="17.875" style="549" customWidth="1"/>
    <col min="5643" max="5890" width="10" style="549"/>
    <col min="5891" max="5891" width="23.25" style="549" customWidth="1"/>
    <col min="5892" max="5892" width="10" style="549"/>
    <col min="5893" max="5893" width="17.875" style="549" customWidth="1"/>
    <col min="5894" max="5894" width="2.125" style="549" customWidth="1"/>
    <col min="5895" max="5895" width="10" style="549"/>
    <col min="5896" max="5896" width="15.75" style="549" customWidth="1"/>
    <col min="5897" max="5897" width="10" style="549"/>
    <col min="5898" max="5898" width="17.875" style="549" customWidth="1"/>
    <col min="5899" max="6146" width="10" style="549"/>
    <col min="6147" max="6147" width="23.25" style="549" customWidth="1"/>
    <col min="6148" max="6148" width="10" style="549"/>
    <col min="6149" max="6149" width="17.875" style="549" customWidth="1"/>
    <col min="6150" max="6150" width="2.125" style="549" customWidth="1"/>
    <col min="6151" max="6151" width="10" style="549"/>
    <col min="6152" max="6152" width="15.75" style="549" customWidth="1"/>
    <col min="6153" max="6153" width="10" style="549"/>
    <col min="6154" max="6154" width="17.875" style="549" customWidth="1"/>
    <col min="6155" max="6402" width="10" style="549"/>
    <col min="6403" max="6403" width="23.25" style="549" customWidth="1"/>
    <col min="6404" max="6404" width="10" style="549"/>
    <col min="6405" max="6405" width="17.875" style="549" customWidth="1"/>
    <col min="6406" max="6406" width="2.125" style="549" customWidth="1"/>
    <col min="6407" max="6407" width="10" style="549"/>
    <col min="6408" max="6408" width="15.75" style="549" customWidth="1"/>
    <col min="6409" max="6409" width="10" style="549"/>
    <col min="6410" max="6410" width="17.875" style="549" customWidth="1"/>
    <col min="6411" max="6658" width="10" style="549"/>
    <col min="6659" max="6659" width="23.25" style="549" customWidth="1"/>
    <col min="6660" max="6660" width="10" style="549"/>
    <col min="6661" max="6661" width="17.875" style="549" customWidth="1"/>
    <col min="6662" max="6662" width="2.125" style="549" customWidth="1"/>
    <col min="6663" max="6663" width="10" style="549"/>
    <col min="6664" max="6664" width="15.75" style="549" customWidth="1"/>
    <col min="6665" max="6665" width="10" style="549"/>
    <col min="6666" max="6666" width="17.875" style="549" customWidth="1"/>
    <col min="6667" max="6914" width="10" style="549"/>
    <col min="6915" max="6915" width="23.25" style="549" customWidth="1"/>
    <col min="6916" max="6916" width="10" style="549"/>
    <col min="6917" max="6917" width="17.875" style="549" customWidth="1"/>
    <col min="6918" max="6918" width="2.125" style="549" customWidth="1"/>
    <col min="6919" max="6919" width="10" style="549"/>
    <col min="6920" max="6920" width="15.75" style="549" customWidth="1"/>
    <col min="6921" max="6921" width="10" style="549"/>
    <col min="6922" max="6922" width="17.875" style="549" customWidth="1"/>
    <col min="6923" max="7170" width="10" style="549"/>
    <col min="7171" max="7171" width="23.25" style="549" customWidth="1"/>
    <col min="7172" max="7172" width="10" style="549"/>
    <col min="7173" max="7173" width="17.875" style="549" customWidth="1"/>
    <col min="7174" max="7174" width="2.125" style="549" customWidth="1"/>
    <col min="7175" max="7175" width="10" style="549"/>
    <col min="7176" max="7176" width="15.75" style="549" customWidth="1"/>
    <col min="7177" max="7177" width="10" style="549"/>
    <col min="7178" max="7178" width="17.875" style="549" customWidth="1"/>
    <col min="7179" max="7426" width="10" style="549"/>
    <col min="7427" max="7427" width="23.25" style="549" customWidth="1"/>
    <col min="7428" max="7428" width="10" style="549"/>
    <col min="7429" max="7429" width="17.875" style="549" customWidth="1"/>
    <col min="7430" max="7430" width="2.125" style="549" customWidth="1"/>
    <col min="7431" max="7431" width="10" style="549"/>
    <col min="7432" max="7432" width="15.75" style="549" customWidth="1"/>
    <col min="7433" max="7433" width="10" style="549"/>
    <col min="7434" max="7434" width="17.875" style="549" customWidth="1"/>
    <col min="7435" max="7682" width="10" style="549"/>
    <col min="7683" max="7683" width="23.25" style="549" customWidth="1"/>
    <col min="7684" max="7684" width="10" style="549"/>
    <col min="7685" max="7685" width="17.875" style="549" customWidth="1"/>
    <col min="7686" max="7686" width="2.125" style="549" customWidth="1"/>
    <col min="7687" max="7687" width="10" style="549"/>
    <col min="7688" max="7688" width="15.75" style="549" customWidth="1"/>
    <col min="7689" max="7689" width="10" style="549"/>
    <col min="7690" max="7690" width="17.875" style="549" customWidth="1"/>
    <col min="7691" max="7938" width="10" style="549"/>
    <col min="7939" max="7939" width="23.25" style="549" customWidth="1"/>
    <col min="7940" max="7940" width="10" style="549"/>
    <col min="7941" max="7941" width="17.875" style="549" customWidth="1"/>
    <col min="7942" max="7942" width="2.125" style="549" customWidth="1"/>
    <col min="7943" max="7943" width="10" style="549"/>
    <col min="7944" max="7944" width="15.75" style="549" customWidth="1"/>
    <col min="7945" max="7945" width="10" style="549"/>
    <col min="7946" max="7946" width="17.875" style="549" customWidth="1"/>
    <col min="7947" max="8194" width="10" style="549"/>
    <col min="8195" max="8195" width="23.25" style="549" customWidth="1"/>
    <col min="8196" max="8196" width="10" style="549"/>
    <col min="8197" max="8197" width="17.875" style="549" customWidth="1"/>
    <col min="8198" max="8198" width="2.125" style="549" customWidth="1"/>
    <col min="8199" max="8199" width="10" style="549"/>
    <col min="8200" max="8200" width="15.75" style="549" customWidth="1"/>
    <col min="8201" max="8201" width="10" style="549"/>
    <col min="8202" max="8202" width="17.875" style="549" customWidth="1"/>
    <col min="8203" max="8450" width="10" style="549"/>
    <col min="8451" max="8451" width="23.25" style="549" customWidth="1"/>
    <col min="8452" max="8452" width="10" style="549"/>
    <col min="8453" max="8453" width="17.875" style="549" customWidth="1"/>
    <col min="8454" max="8454" width="2.125" style="549" customWidth="1"/>
    <col min="8455" max="8455" width="10" style="549"/>
    <col min="8456" max="8456" width="15.75" style="549" customWidth="1"/>
    <col min="8457" max="8457" width="10" style="549"/>
    <col min="8458" max="8458" width="17.875" style="549" customWidth="1"/>
    <col min="8459" max="8706" width="10" style="549"/>
    <col min="8707" max="8707" width="23.25" style="549" customWidth="1"/>
    <col min="8708" max="8708" width="10" style="549"/>
    <col min="8709" max="8709" width="17.875" style="549" customWidth="1"/>
    <col min="8710" max="8710" width="2.125" style="549" customWidth="1"/>
    <col min="8711" max="8711" width="10" style="549"/>
    <col min="8712" max="8712" width="15.75" style="549" customWidth="1"/>
    <col min="8713" max="8713" width="10" style="549"/>
    <col min="8714" max="8714" width="17.875" style="549" customWidth="1"/>
    <col min="8715" max="8962" width="10" style="549"/>
    <col min="8963" max="8963" width="23.25" style="549" customWidth="1"/>
    <col min="8964" max="8964" width="10" style="549"/>
    <col min="8965" max="8965" width="17.875" style="549" customWidth="1"/>
    <col min="8966" max="8966" width="2.125" style="549" customWidth="1"/>
    <col min="8967" max="8967" width="10" style="549"/>
    <col min="8968" max="8968" width="15.75" style="549" customWidth="1"/>
    <col min="8969" max="8969" width="10" style="549"/>
    <col min="8970" max="8970" width="17.875" style="549" customWidth="1"/>
    <col min="8971" max="9218" width="10" style="549"/>
    <col min="9219" max="9219" width="23.25" style="549" customWidth="1"/>
    <col min="9220" max="9220" width="10" style="549"/>
    <col min="9221" max="9221" width="17.875" style="549" customWidth="1"/>
    <col min="9222" max="9222" width="2.125" style="549" customWidth="1"/>
    <col min="9223" max="9223" width="10" style="549"/>
    <col min="9224" max="9224" width="15.75" style="549" customWidth="1"/>
    <col min="9225" max="9225" width="10" style="549"/>
    <col min="9226" max="9226" width="17.875" style="549" customWidth="1"/>
    <col min="9227" max="9474" width="10" style="549"/>
    <col min="9475" max="9475" width="23.25" style="549" customWidth="1"/>
    <col min="9476" max="9476" width="10" style="549"/>
    <col min="9477" max="9477" width="17.875" style="549" customWidth="1"/>
    <col min="9478" max="9478" width="2.125" style="549" customWidth="1"/>
    <col min="9479" max="9479" width="10" style="549"/>
    <col min="9480" max="9480" width="15.75" style="549" customWidth="1"/>
    <col min="9481" max="9481" width="10" style="549"/>
    <col min="9482" max="9482" width="17.875" style="549" customWidth="1"/>
    <col min="9483" max="9730" width="10" style="549"/>
    <col min="9731" max="9731" width="23.25" style="549" customWidth="1"/>
    <col min="9732" max="9732" width="10" style="549"/>
    <col min="9733" max="9733" width="17.875" style="549" customWidth="1"/>
    <col min="9734" max="9734" width="2.125" style="549" customWidth="1"/>
    <col min="9735" max="9735" width="10" style="549"/>
    <col min="9736" max="9736" width="15.75" style="549" customWidth="1"/>
    <col min="9737" max="9737" width="10" style="549"/>
    <col min="9738" max="9738" width="17.875" style="549" customWidth="1"/>
    <col min="9739" max="9986" width="10" style="549"/>
    <col min="9987" max="9987" width="23.25" style="549" customWidth="1"/>
    <col min="9988" max="9988" width="10" style="549"/>
    <col min="9989" max="9989" width="17.875" style="549" customWidth="1"/>
    <col min="9990" max="9990" width="2.125" style="549" customWidth="1"/>
    <col min="9991" max="9991" width="10" style="549"/>
    <col min="9992" max="9992" width="15.75" style="549" customWidth="1"/>
    <col min="9993" max="9993" width="10" style="549"/>
    <col min="9994" max="9994" width="17.875" style="549" customWidth="1"/>
    <col min="9995" max="10242" width="10" style="549"/>
    <col min="10243" max="10243" width="23.25" style="549" customWidth="1"/>
    <col min="10244" max="10244" width="10" style="549"/>
    <col min="10245" max="10245" width="17.875" style="549" customWidth="1"/>
    <col min="10246" max="10246" width="2.125" style="549" customWidth="1"/>
    <col min="10247" max="10247" width="10" style="549"/>
    <col min="10248" max="10248" width="15.75" style="549" customWidth="1"/>
    <col min="10249" max="10249" width="10" style="549"/>
    <col min="10250" max="10250" width="17.875" style="549" customWidth="1"/>
    <col min="10251" max="10498" width="10" style="549"/>
    <col min="10499" max="10499" width="23.25" style="549" customWidth="1"/>
    <col min="10500" max="10500" width="10" style="549"/>
    <col min="10501" max="10501" width="17.875" style="549" customWidth="1"/>
    <col min="10502" max="10502" width="2.125" style="549" customWidth="1"/>
    <col min="10503" max="10503" width="10" style="549"/>
    <col min="10504" max="10504" width="15.75" style="549" customWidth="1"/>
    <col min="10505" max="10505" width="10" style="549"/>
    <col min="10506" max="10506" width="17.875" style="549" customWidth="1"/>
    <col min="10507" max="10754" width="10" style="549"/>
    <col min="10755" max="10755" width="23.25" style="549" customWidth="1"/>
    <col min="10756" max="10756" width="10" style="549"/>
    <col min="10757" max="10757" width="17.875" style="549" customWidth="1"/>
    <col min="10758" max="10758" width="2.125" style="549" customWidth="1"/>
    <col min="10759" max="10759" width="10" style="549"/>
    <col min="10760" max="10760" width="15.75" style="549" customWidth="1"/>
    <col min="10761" max="10761" width="10" style="549"/>
    <col min="10762" max="10762" width="17.875" style="549" customWidth="1"/>
    <col min="10763" max="11010" width="10" style="549"/>
    <col min="11011" max="11011" width="23.25" style="549" customWidth="1"/>
    <col min="11012" max="11012" width="10" style="549"/>
    <col min="11013" max="11013" width="17.875" style="549" customWidth="1"/>
    <col min="11014" max="11014" width="2.125" style="549" customWidth="1"/>
    <col min="11015" max="11015" width="10" style="549"/>
    <col min="11016" max="11016" width="15.75" style="549" customWidth="1"/>
    <col min="11017" max="11017" width="10" style="549"/>
    <col min="11018" max="11018" width="17.875" style="549" customWidth="1"/>
    <col min="11019" max="11266" width="10" style="549"/>
    <col min="11267" max="11267" width="23.25" style="549" customWidth="1"/>
    <col min="11268" max="11268" width="10" style="549"/>
    <col min="11269" max="11269" width="17.875" style="549" customWidth="1"/>
    <col min="11270" max="11270" width="2.125" style="549" customWidth="1"/>
    <col min="11271" max="11271" width="10" style="549"/>
    <col min="11272" max="11272" width="15.75" style="549" customWidth="1"/>
    <col min="11273" max="11273" width="10" style="549"/>
    <col min="11274" max="11274" width="17.875" style="549" customWidth="1"/>
    <col min="11275" max="11522" width="10" style="549"/>
    <col min="11523" max="11523" width="23.25" style="549" customWidth="1"/>
    <col min="11524" max="11524" width="10" style="549"/>
    <col min="11525" max="11525" width="17.875" style="549" customWidth="1"/>
    <col min="11526" max="11526" width="2.125" style="549" customWidth="1"/>
    <col min="11527" max="11527" width="10" style="549"/>
    <col min="11528" max="11528" width="15.75" style="549" customWidth="1"/>
    <col min="11529" max="11529" width="10" style="549"/>
    <col min="11530" max="11530" width="17.875" style="549" customWidth="1"/>
    <col min="11531" max="11778" width="10" style="549"/>
    <col min="11779" max="11779" width="23.25" style="549" customWidth="1"/>
    <col min="11780" max="11780" width="10" style="549"/>
    <col min="11781" max="11781" width="17.875" style="549" customWidth="1"/>
    <col min="11782" max="11782" width="2.125" style="549" customWidth="1"/>
    <col min="11783" max="11783" width="10" style="549"/>
    <col min="11784" max="11784" width="15.75" style="549" customWidth="1"/>
    <col min="11785" max="11785" width="10" style="549"/>
    <col min="11786" max="11786" width="17.875" style="549" customWidth="1"/>
    <col min="11787" max="12034" width="10" style="549"/>
    <col min="12035" max="12035" width="23.25" style="549" customWidth="1"/>
    <col min="12036" max="12036" width="10" style="549"/>
    <col min="12037" max="12037" width="17.875" style="549" customWidth="1"/>
    <col min="12038" max="12038" width="2.125" style="549" customWidth="1"/>
    <col min="12039" max="12039" width="10" style="549"/>
    <col min="12040" max="12040" width="15.75" style="549" customWidth="1"/>
    <col min="12041" max="12041" width="10" style="549"/>
    <col min="12042" max="12042" width="17.875" style="549" customWidth="1"/>
    <col min="12043" max="12290" width="10" style="549"/>
    <col min="12291" max="12291" width="23.25" style="549" customWidth="1"/>
    <col min="12292" max="12292" width="10" style="549"/>
    <col min="12293" max="12293" width="17.875" style="549" customWidth="1"/>
    <col min="12294" max="12294" width="2.125" style="549" customWidth="1"/>
    <col min="12295" max="12295" width="10" style="549"/>
    <col min="12296" max="12296" width="15.75" style="549" customWidth="1"/>
    <col min="12297" max="12297" width="10" style="549"/>
    <col min="12298" max="12298" width="17.875" style="549" customWidth="1"/>
    <col min="12299" max="12546" width="10" style="549"/>
    <col min="12547" max="12547" width="23.25" style="549" customWidth="1"/>
    <col min="12548" max="12548" width="10" style="549"/>
    <col min="12549" max="12549" width="17.875" style="549" customWidth="1"/>
    <col min="12550" max="12550" width="2.125" style="549" customWidth="1"/>
    <col min="12551" max="12551" width="10" style="549"/>
    <col min="12552" max="12552" width="15.75" style="549" customWidth="1"/>
    <col min="12553" max="12553" width="10" style="549"/>
    <col min="12554" max="12554" width="17.875" style="549" customWidth="1"/>
    <col min="12555" max="12802" width="10" style="549"/>
    <col min="12803" max="12803" width="23.25" style="549" customWidth="1"/>
    <col min="12804" max="12804" width="10" style="549"/>
    <col min="12805" max="12805" width="17.875" style="549" customWidth="1"/>
    <col min="12806" max="12806" width="2.125" style="549" customWidth="1"/>
    <col min="12807" max="12807" width="10" style="549"/>
    <col min="12808" max="12808" width="15.75" style="549" customWidth="1"/>
    <col min="12809" max="12809" width="10" style="549"/>
    <col min="12810" max="12810" width="17.875" style="549" customWidth="1"/>
    <col min="12811" max="13058" width="10" style="549"/>
    <col min="13059" max="13059" width="23.25" style="549" customWidth="1"/>
    <col min="13060" max="13060" width="10" style="549"/>
    <col min="13061" max="13061" width="17.875" style="549" customWidth="1"/>
    <col min="13062" max="13062" width="2.125" style="549" customWidth="1"/>
    <col min="13063" max="13063" width="10" style="549"/>
    <col min="13064" max="13064" width="15.75" style="549" customWidth="1"/>
    <col min="13065" max="13065" width="10" style="549"/>
    <col min="13066" max="13066" width="17.875" style="549" customWidth="1"/>
    <col min="13067" max="13314" width="10" style="549"/>
    <col min="13315" max="13315" width="23.25" style="549" customWidth="1"/>
    <col min="13316" max="13316" width="10" style="549"/>
    <col min="13317" max="13317" width="17.875" style="549" customWidth="1"/>
    <col min="13318" max="13318" width="2.125" style="549" customWidth="1"/>
    <col min="13319" max="13319" width="10" style="549"/>
    <col min="13320" max="13320" width="15.75" style="549" customWidth="1"/>
    <col min="13321" max="13321" width="10" style="549"/>
    <col min="13322" max="13322" width="17.875" style="549" customWidth="1"/>
    <col min="13323" max="13570" width="10" style="549"/>
    <col min="13571" max="13571" width="23.25" style="549" customWidth="1"/>
    <col min="13572" max="13572" width="10" style="549"/>
    <col min="13573" max="13573" width="17.875" style="549" customWidth="1"/>
    <col min="13574" max="13574" width="2.125" style="549" customWidth="1"/>
    <col min="13575" max="13575" width="10" style="549"/>
    <col min="13576" max="13576" width="15.75" style="549" customWidth="1"/>
    <col min="13577" max="13577" width="10" style="549"/>
    <col min="13578" max="13578" width="17.875" style="549" customWidth="1"/>
    <col min="13579" max="13826" width="10" style="549"/>
    <col min="13827" max="13827" width="23.25" style="549" customWidth="1"/>
    <col min="13828" max="13828" width="10" style="549"/>
    <col min="13829" max="13829" width="17.875" style="549" customWidth="1"/>
    <col min="13830" max="13830" width="2.125" style="549" customWidth="1"/>
    <col min="13831" max="13831" width="10" style="549"/>
    <col min="13832" max="13832" width="15.75" style="549" customWidth="1"/>
    <col min="13833" max="13833" width="10" style="549"/>
    <col min="13834" max="13834" width="17.875" style="549" customWidth="1"/>
    <col min="13835" max="14082" width="10" style="549"/>
    <col min="14083" max="14083" width="23.25" style="549" customWidth="1"/>
    <col min="14084" max="14084" width="10" style="549"/>
    <col min="14085" max="14085" width="17.875" style="549" customWidth="1"/>
    <col min="14086" max="14086" width="2.125" style="549" customWidth="1"/>
    <col min="14087" max="14087" width="10" style="549"/>
    <col min="14088" max="14088" width="15.75" style="549" customWidth="1"/>
    <col min="14089" max="14089" width="10" style="549"/>
    <col min="14090" max="14090" width="17.875" style="549" customWidth="1"/>
    <col min="14091" max="14338" width="10" style="549"/>
    <col min="14339" max="14339" width="23.25" style="549" customWidth="1"/>
    <col min="14340" max="14340" width="10" style="549"/>
    <col min="14341" max="14341" width="17.875" style="549" customWidth="1"/>
    <col min="14342" max="14342" width="2.125" style="549" customWidth="1"/>
    <col min="14343" max="14343" width="10" style="549"/>
    <col min="14344" max="14344" width="15.75" style="549" customWidth="1"/>
    <col min="14345" max="14345" width="10" style="549"/>
    <col min="14346" max="14346" width="17.875" style="549" customWidth="1"/>
    <col min="14347" max="14594" width="10" style="549"/>
    <col min="14595" max="14595" width="23.25" style="549" customWidth="1"/>
    <col min="14596" max="14596" width="10" style="549"/>
    <col min="14597" max="14597" width="17.875" style="549" customWidth="1"/>
    <col min="14598" max="14598" width="2.125" style="549" customWidth="1"/>
    <col min="14599" max="14599" width="10" style="549"/>
    <col min="14600" max="14600" width="15.75" style="549" customWidth="1"/>
    <col min="14601" max="14601" width="10" style="549"/>
    <col min="14602" max="14602" width="17.875" style="549" customWidth="1"/>
    <col min="14603" max="14850" width="10" style="549"/>
    <col min="14851" max="14851" width="23.25" style="549" customWidth="1"/>
    <col min="14852" max="14852" width="10" style="549"/>
    <col min="14853" max="14853" width="17.875" style="549" customWidth="1"/>
    <col min="14854" max="14854" width="2.125" style="549" customWidth="1"/>
    <col min="14855" max="14855" width="10" style="549"/>
    <col min="14856" max="14856" width="15.75" style="549" customWidth="1"/>
    <col min="14857" max="14857" width="10" style="549"/>
    <col min="14858" max="14858" width="17.875" style="549" customWidth="1"/>
    <col min="14859" max="15106" width="10" style="549"/>
    <col min="15107" max="15107" width="23.25" style="549" customWidth="1"/>
    <col min="15108" max="15108" width="10" style="549"/>
    <col min="15109" max="15109" width="17.875" style="549" customWidth="1"/>
    <col min="15110" max="15110" width="2.125" style="549" customWidth="1"/>
    <col min="15111" max="15111" width="10" style="549"/>
    <col min="15112" max="15112" width="15.75" style="549" customWidth="1"/>
    <col min="15113" max="15113" width="10" style="549"/>
    <col min="15114" max="15114" width="17.875" style="549" customWidth="1"/>
    <col min="15115" max="15362" width="10" style="549"/>
    <col min="15363" max="15363" width="23.25" style="549" customWidth="1"/>
    <col min="15364" max="15364" width="10" style="549"/>
    <col min="15365" max="15365" width="17.875" style="549" customWidth="1"/>
    <col min="15366" max="15366" width="2.125" style="549" customWidth="1"/>
    <col min="15367" max="15367" width="10" style="549"/>
    <col min="15368" max="15368" width="15.75" style="549" customWidth="1"/>
    <col min="15369" max="15369" width="10" style="549"/>
    <col min="15370" max="15370" width="17.875" style="549" customWidth="1"/>
    <col min="15371" max="15618" width="10" style="549"/>
    <col min="15619" max="15619" width="23.25" style="549" customWidth="1"/>
    <col min="15620" max="15620" width="10" style="549"/>
    <col min="15621" max="15621" width="17.875" style="549" customWidth="1"/>
    <col min="15622" max="15622" width="2.125" style="549" customWidth="1"/>
    <col min="15623" max="15623" width="10" style="549"/>
    <col min="15624" max="15624" width="15.75" style="549" customWidth="1"/>
    <col min="15625" max="15625" width="10" style="549"/>
    <col min="15626" max="15626" width="17.875" style="549" customWidth="1"/>
    <col min="15627" max="15874" width="10" style="549"/>
    <col min="15875" max="15875" width="23.25" style="549" customWidth="1"/>
    <col min="15876" max="15876" width="10" style="549"/>
    <col min="15877" max="15877" width="17.875" style="549" customWidth="1"/>
    <col min="15878" max="15878" width="2.125" style="549" customWidth="1"/>
    <col min="15879" max="15879" width="10" style="549"/>
    <col min="15880" max="15880" width="15.75" style="549" customWidth="1"/>
    <col min="15881" max="15881" width="10" style="549"/>
    <col min="15882" max="15882" width="17.875" style="549" customWidth="1"/>
    <col min="15883" max="16130" width="10" style="549"/>
    <col min="16131" max="16131" width="23.25" style="549" customWidth="1"/>
    <col min="16132" max="16132" width="10" style="549"/>
    <col min="16133" max="16133" width="17.875" style="549" customWidth="1"/>
    <col min="16134" max="16134" width="2.125" style="549" customWidth="1"/>
    <col min="16135" max="16135" width="10" style="549"/>
    <col min="16136" max="16136" width="15.75" style="549" customWidth="1"/>
    <col min="16137" max="16137" width="10" style="549"/>
    <col min="16138" max="16138" width="17.875" style="549" customWidth="1"/>
    <col min="16139" max="16384" width="10" style="549"/>
  </cols>
  <sheetData>
    <row r="1" spans="1:10" ht="21">
      <c r="B1" s="550" t="s">
        <v>515</v>
      </c>
      <c r="C1" s="551"/>
      <c r="D1" s="552"/>
      <c r="E1" s="551"/>
      <c r="F1" s="552"/>
      <c r="G1" s="552"/>
      <c r="H1" s="551"/>
      <c r="I1" s="552"/>
      <c r="J1" s="551"/>
    </row>
    <row r="2" spans="1:10" ht="9" customHeight="1">
      <c r="B2" s="552"/>
      <c r="C2" s="551"/>
      <c r="D2" s="552"/>
      <c r="E2" s="551"/>
      <c r="F2" s="552"/>
      <c r="G2" s="552"/>
      <c r="H2" s="551"/>
      <c r="I2" s="552"/>
      <c r="J2" s="551"/>
    </row>
    <row r="3" spans="1:10">
      <c r="A3" s="553"/>
      <c r="B3" s="553" t="s">
        <v>483</v>
      </c>
      <c r="G3" s="553" t="s">
        <v>414</v>
      </c>
    </row>
    <row r="4" spans="1:10">
      <c r="B4" s="555" t="s">
        <v>97</v>
      </c>
      <c r="C4" s="556" t="s">
        <v>98</v>
      </c>
      <c r="D4" s="555" t="s">
        <v>99</v>
      </c>
      <c r="E4" s="556" t="s">
        <v>100</v>
      </c>
      <c r="F4" s="557"/>
      <c r="G4" s="555" t="s">
        <v>97</v>
      </c>
      <c r="H4" s="556" t="s">
        <v>98</v>
      </c>
      <c r="I4" s="555" t="s">
        <v>99</v>
      </c>
      <c r="J4" s="556" t="s">
        <v>100</v>
      </c>
    </row>
    <row r="5" spans="1:10">
      <c r="A5" s="549">
        <v>1</v>
      </c>
      <c r="B5" s="558" t="s">
        <v>243</v>
      </c>
      <c r="C5" s="559">
        <v>402326</v>
      </c>
      <c r="D5" s="560" t="s">
        <v>164</v>
      </c>
      <c r="E5" s="541">
        <v>84847</v>
      </c>
      <c r="G5" s="558" t="s">
        <v>243</v>
      </c>
      <c r="H5" s="541">
        <v>118061</v>
      </c>
      <c r="I5" s="558" t="s">
        <v>237</v>
      </c>
      <c r="J5" s="541">
        <v>80001</v>
      </c>
    </row>
    <row r="6" spans="1:10">
      <c r="A6" s="549">
        <v>2</v>
      </c>
      <c r="B6" s="558" t="s">
        <v>440</v>
      </c>
      <c r="C6" s="559">
        <v>344749</v>
      </c>
      <c r="D6" s="558" t="s">
        <v>163</v>
      </c>
      <c r="E6" s="541">
        <v>78894</v>
      </c>
      <c r="G6" s="558" t="s">
        <v>244</v>
      </c>
      <c r="H6" s="541">
        <v>103685</v>
      </c>
      <c r="I6" s="560" t="s">
        <v>164</v>
      </c>
      <c r="J6" s="541">
        <v>17997</v>
      </c>
    </row>
    <row r="7" spans="1:10">
      <c r="A7" s="549">
        <v>3</v>
      </c>
      <c r="B7" s="558" t="s">
        <v>441</v>
      </c>
      <c r="C7" s="559">
        <v>244878</v>
      </c>
      <c r="D7" s="560" t="s">
        <v>245</v>
      </c>
      <c r="E7" s="541">
        <v>9435</v>
      </c>
      <c r="G7" s="558" t="s">
        <v>440</v>
      </c>
      <c r="H7" s="541">
        <v>101744</v>
      </c>
      <c r="I7" s="560" t="s">
        <v>159</v>
      </c>
      <c r="J7" s="541">
        <v>15315</v>
      </c>
    </row>
    <row r="8" spans="1:10">
      <c r="A8" s="549">
        <v>4</v>
      </c>
      <c r="B8" s="558" t="s">
        <v>442</v>
      </c>
      <c r="C8" s="559">
        <v>116898</v>
      </c>
      <c r="D8" s="560" t="s">
        <v>484</v>
      </c>
      <c r="E8" s="541">
        <v>6462</v>
      </c>
      <c r="G8" s="558" t="s">
        <v>442</v>
      </c>
      <c r="H8" s="541">
        <v>73926</v>
      </c>
      <c r="I8" s="560" t="s">
        <v>484</v>
      </c>
      <c r="J8" s="541">
        <v>6235</v>
      </c>
    </row>
    <row r="9" spans="1:10">
      <c r="A9" s="549">
        <v>5</v>
      </c>
      <c r="B9" s="558" t="s">
        <v>443</v>
      </c>
      <c r="C9" s="559">
        <v>45654</v>
      </c>
      <c r="D9" s="560" t="s">
        <v>438</v>
      </c>
      <c r="E9" s="541">
        <v>2229</v>
      </c>
      <c r="G9" s="558" t="s">
        <v>444</v>
      </c>
      <c r="H9" s="541">
        <v>48368</v>
      </c>
      <c r="I9" s="558" t="s">
        <v>172</v>
      </c>
      <c r="J9" s="541">
        <v>1874</v>
      </c>
    </row>
    <row r="10" spans="1:10">
      <c r="A10" s="549">
        <v>6</v>
      </c>
      <c r="B10" s="558" t="s">
        <v>384</v>
      </c>
      <c r="C10" s="559">
        <v>42811</v>
      </c>
      <c r="D10" s="560"/>
      <c r="E10" s="541"/>
      <c r="G10" s="558" t="s">
        <v>384</v>
      </c>
      <c r="H10" s="541">
        <v>39322</v>
      </c>
      <c r="I10" s="558"/>
      <c r="J10" s="541"/>
    </row>
    <row r="11" spans="1:10">
      <c r="A11" s="549">
        <v>7</v>
      </c>
      <c r="B11" s="558" t="s">
        <v>6</v>
      </c>
      <c r="C11" s="559">
        <v>32472</v>
      </c>
      <c r="D11" s="558"/>
      <c r="E11" s="541"/>
      <c r="G11" s="558" t="s">
        <v>245</v>
      </c>
      <c r="H11" s="541">
        <v>38676</v>
      </c>
      <c r="J11" s="541"/>
    </row>
    <row r="12" spans="1:10">
      <c r="A12" s="549">
        <v>8</v>
      </c>
      <c r="B12" s="558" t="s">
        <v>444</v>
      </c>
      <c r="C12" s="559">
        <v>23715</v>
      </c>
      <c r="D12" s="558"/>
      <c r="E12" s="541"/>
      <c r="G12" s="558" t="s">
        <v>441</v>
      </c>
      <c r="H12" s="541">
        <v>27916</v>
      </c>
      <c r="I12" s="558"/>
      <c r="J12" s="541"/>
    </row>
    <row r="13" spans="1:10">
      <c r="A13" s="549">
        <v>9</v>
      </c>
      <c r="B13" s="558" t="s">
        <v>237</v>
      </c>
      <c r="C13" s="559">
        <v>21647</v>
      </c>
      <c r="D13" s="558"/>
      <c r="E13" s="541"/>
      <c r="G13" s="558" t="s">
        <v>450</v>
      </c>
      <c r="H13" s="541">
        <v>22649</v>
      </c>
      <c r="I13" s="558"/>
      <c r="J13" s="541"/>
    </row>
    <row r="14" spans="1:10">
      <c r="A14" s="549">
        <v>10</v>
      </c>
      <c r="B14" s="558" t="s">
        <v>244</v>
      </c>
      <c r="C14" s="559">
        <v>15993</v>
      </c>
      <c r="D14" s="558"/>
      <c r="E14" s="541"/>
      <c r="G14" s="558" t="s">
        <v>382</v>
      </c>
      <c r="H14" s="541">
        <v>15865</v>
      </c>
      <c r="I14" s="558"/>
      <c r="J14" s="541"/>
    </row>
    <row r="15" spans="1:10">
      <c r="B15" s="558" t="s">
        <v>101</v>
      </c>
      <c r="C15" s="541">
        <f>C16-SUM(C5:C14)</f>
        <v>87884</v>
      </c>
      <c r="D15" s="558" t="s">
        <v>101</v>
      </c>
      <c r="E15" s="541">
        <f>E16-SUM(E5:E14)</f>
        <v>0</v>
      </c>
      <c r="G15" s="561" t="s">
        <v>415</v>
      </c>
      <c r="H15" s="541">
        <f>H16-SUM(H5:H14)</f>
        <v>29048</v>
      </c>
      <c r="I15" s="558" t="s">
        <v>101</v>
      </c>
      <c r="J15" s="541">
        <f>J16-SUM(J5:J14)</f>
        <v>0</v>
      </c>
    </row>
    <row r="16" spans="1:10">
      <c r="B16" s="558" t="s">
        <v>102</v>
      </c>
      <c r="C16" s="541">
        <v>1379027</v>
      </c>
      <c r="D16" s="558" t="s">
        <v>102</v>
      </c>
      <c r="E16" s="541">
        <v>181867</v>
      </c>
      <c r="G16" s="558" t="s">
        <v>102</v>
      </c>
      <c r="H16" s="541">
        <v>619260</v>
      </c>
      <c r="I16" s="558" t="s">
        <v>102</v>
      </c>
      <c r="J16" s="541">
        <v>121422</v>
      </c>
    </row>
    <row r="18" spans="1:10">
      <c r="B18" s="553" t="s">
        <v>416</v>
      </c>
      <c r="G18" s="562" t="s">
        <v>473</v>
      </c>
    </row>
    <row r="19" spans="1:10">
      <c r="B19" s="555" t="s">
        <v>97</v>
      </c>
      <c r="C19" s="556" t="s">
        <v>98</v>
      </c>
      <c r="D19" s="555" t="s">
        <v>99</v>
      </c>
      <c r="E19" s="556" t="s">
        <v>100</v>
      </c>
      <c r="G19" s="555" t="s">
        <v>97</v>
      </c>
      <c r="H19" s="556" t="s">
        <v>98</v>
      </c>
      <c r="I19" s="555" t="s">
        <v>99</v>
      </c>
      <c r="J19" s="556" t="s">
        <v>100</v>
      </c>
    </row>
    <row r="20" spans="1:10">
      <c r="A20" s="549">
        <v>1</v>
      </c>
      <c r="B20" s="563" t="s">
        <v>244</v>
      </c>
      <c r="C20" s="541">
        <v>14653248</v>
      </c>
      <c r="D20" s="558" t="s">
        <v>237</v>
      </c>
      <c r="E20" s="541">
        <v>20043059</v>
      </c>
      <c r="G20" s="558" t="s">
        <v>244</v>
      </c>
      <c r="H20" s="541">
        <v>1127982</v>
      </c>
      <c r="I20" s="558" t="s">
        <v>237</v>
      </c>
      <c r="J20" s="541">
        <v>5908980</v>
      </c>
    </row>
    <row r="21" spans="1:10">
      <c r="A21" s="549">
        <v>2</v>
      </c>
      <c r="B21" s="563" t="s">
        <v>243</v>
      </c>
      <c r="C21" s="541">
        <v>7286079</v>
      </c>
      <c r="D21" s="558" t="s">
        <v>444</v>
      </c>
      <c r="E21" s="541">
        <v>5408562</v>
      </c>
      <c r="G21" s="558" t="s">
        <v>243</v>
      </c>
      <c r="H21" s="541">
        <v>582908</v>
      </c>
      <c r="I21" s="558" t="s">
        <v>254</v>
      </c>
      <c r="J21" s="541">
        <v>172763</v>
      </c>
    </row>
    <row r="22" spans="1:10">
      <c r="A22" s="549">
        <v>3</v>
      </c>
      <c r="B22" s="563" t="s">
        <v>237</v>
      </c>
      <c r="C22" s="541">
        <v>5506815</v>
      </c>
      <c r="D22" s="558" t="s">
        <v>439</v>
      </c>
      <c r="E22" s="541">
        <v>1173733</v>
      </c>
      <c r="G22" s="558" t="s">
        <v>237</v>
      </c>
      <c r="H22" s="541">
        <v>540262</v>
      </c>
      <c r="I22" s="558" t="s">
        <v>440</v>
      </c>
      <c r="J22" s="541">
        <v>140096</v>
      </c>
    </row>
    <row r="23" spans="1:10">
      <c r="A23" s="549">
        <v>4</v>
      </c>
      <c r="B23" s="563" t="s">
        <v>440</v>
      </c>
      <c r="C23" s="541">
        <v>4378616</v>
      </c>
      <c r="D23" s="558" t="s">
        <v>443</v>
      </c>
      <c r="E23" s="541">
        <v>721842</v>
      </c>
      <c r="G23" s="558" t="s">
        <v>9</v>
      </c>
      <c r="H23" s="541">
        <v>383812</v>
      </c>
      <c r="I23" s="558" t="s">
        <v>444</v>
      </c>
      <c r="J23" s="541">
        <v>96478</v>
      </c>
    </row>
    <row r="24" spans="1:10">
      <c r="A24" s="549">
        <v>5</v>
      </c>
      <c r="B24" s="563" t="s">
        <v>9</v>
      </c>
      <c r="C24" s="541">
        <v>2336091</v>
      </c>
      <c r="D24" s="560" t="s">
        <v>445</v>
      </c>
      <c r="E24" s="541">
        <v>281745</v>
      </c>
      <c r="G24" s="558" t="s">
        <v>440</v>
      </c>
      <c r="H24" s="541">
        <v>219321</v>
      </c>
      <c r="I24" s="558" t="s">
        <v>439</v>
      </c>
      <c r="J24" s="541">
        <v>31986</v>
      </c>
    </row>
    <row r="25" spans="1:10">
      <c r="A25" s="549">
        <v>6</v>
      </c>
      <c r="B25" s="563" t="s">
        <v>10</v>
      </c>
      <c r="C25" s="541">
        <v>2083425</v>
      </c>
      <c r="D25" s="560" t="s">
        <v>10</v>
      </c>
      <c r="E25" s="541">
        <v>68044</v>
      </c>
      <c r="G25" s="558" t="s">
        <v>254</v>
      </c>
      <c r="H25" s="541">
        <v>131243</v>
      </c>
      <c r="I25" s="558" t="s">
        <v>445</v>
      </c>
      <c r="J25" s="541">
        <v>24911</v>
      </c>
    </row>
    <row r="26" spans="1:10">
      <c r="A26" s="549">
        <v>7</v>
      </c>
      <c r="B26" s="563" t="s">
        <v>256</v>
      </c>
      <c r="C26" s="541">
        <v>1585041</v>
      </c>
      <c r="D26" s="558" t="s">
        <v>517</v>
      </c>
      <c r="E26" s="541">
        <v>24814</v>
      </c>
      <c r="G26" s="558" t="s">
        <v>10</v>
      </c>
      <c r="H26" s="541">
        <v>118254</v>
      </c>
      <c r="I26" s="558" t="s">
        <v>382</v>
      </c>
      <c r="J26" s="541">
        <v>8884</v>
      </c>
    </row>
    <row r="27" spans="1:10">
      <c r="A27" s="549">
        <v>8</v>
      </c>
      <c r="B27" s="563" t="s">
        <v>443</v>
      </c>
      <c r="C27" s="541">
        <v>1489337</v>
      </c>
      <c r="D27" s="560" t="s">
        <v>440</v>
      </c>
      <c r="E27" s="541">
        <v>12408</v>
      </c>
      <c r="G27" s="558" t="s">
        <v>443</v>
      </c>
      <c r="H27" s="541">
        <v>115185</v>
      </c>
      <c r="I27" s="558" t="s">
        <v>10</v>
      </c>
      <c r="J27" s="541">
        <v>3426</v>
      </c>
    </row>
    <row r="28" spans="1:10">
      <c r="A28" s="549">
        <v>9</v>
      </c>
      <c r="B28" s="563" t="s">
        <v>245</v>
      </c>
      <c r="C28" s="541">
        <v>1134382</v>
      </c>
      <c r="D28" s="558" t="s">
        <v>382</v>
      </c>
      <c r="E28" s="541">
        <v>4835</v>
      </c>
      <c r="G28" s="558" t="s">
        <v>382</v>
      </c>
      <c r="H28" s="541">
        <v>98515</v>
      </c>
      <c r="I28" s="558" t="s">
        <v>442</v>
      </c>
      <c r="J28" s="541">
        <v>16</v>
      </c>
    </row>
    <row r="29" spans="1:10">
      <c r="A29" s="549">
        <v>10</v>
      </c>
      <c r="B29" s="563" t="s">
        <v>441</v>
      </c>
      <c r="C29" s="541">
        <v>1079415</v>
      </c>
      <c r="D29" s="558" t="s">
        <v>441</v>
      </c>
      <c r="E29" s="541">
        <v>4330</v>
      </c>
      <c r="G29" s="558" t="s">
        <v>12</v>
      </c>
      <c r="H29" s="541">
        <v>88369</v>
      </c>
      <c r="I29" s="558"/>
      <c r="J29" s="541"/>
    </row>
    <row r="30" spans="1:10">
      <c r="B30" s="558" t="s">
        <v>101</v>
      </c>
      <c r="C30" s="541">
        <f>C31-SUM(C20:C29)</f>
        <v>7851118</v>
      </c>
      <c r="D30" s="558" t="s">
        <v>417</v>
      </c>
      <c r="E30" s="541">
        <f>E31-SUM(E20:E29)</f>
        <v>6398</v>
      </c>
      <c r="G30" s="558" t="s">
        <v>415</v>
      </c>
      <c r="H30" s="541">
        <f>H31-SUM(H20:H29)</f>
        <v>553927</v>
      </c>
      <c r="I30" s="558" t="s">
        <v>101</v>
      </c>
      <c r="J30" s="541">
        <f>J31-SUM(J20:J29)</f>
        <v>0</v>
      </c>
    </row>
    <row r="31" spans="1:10">
      <c r="B31" s="558" t="s">
        <v>102</v>
      </c>
      <c r="C31" s="541">
        <v>49383567</v>
      </c>
      <c r="D31" s="558" t="s">
        <v>102</v>
      </c>
      <c r="E31" s="541">
        <v>27749770</v>
      </c>
      <c r="G31" s="558" t="s">
        <v>102</v>
      </c>
      <c r="H31" s="541">
        <v>3959778</v>
      </c>
      <c r="I31" s="558" t="s">
        <v>102</v>
      </c>
      <c r="J31" s="541">
        <v>6387540</v>
      </c>
    </row>
    <row r="32" spans="1:10">
      <c r="B32" s="564"/>
      <c r="D32" s="564"/>
      <c r="G32" s="564"/>
      <c r="I32" s="564"/>
    </row>
    <row r="33" spans="1:10">
      <c r="B33" s="562" t="s">
        <v>418</v>
      </c>
      <c r="D33" s="564"/>
      <c r="G33" s="562" t="s">
        <v>474</v>
      </c>
      <c r="I33" s="564"/>
    </row>
    <row r="34" spans="1:10">
      <c r="B34" s="558" t="s">
        <v>97</v>
      </c>
      <c r="C34" s="541" t="s">
        <v>98</v>
      </c>
      <c r="D34" s="558" t="s">
        <v>99</v>
      </c>
      <c r="E34" s="556" t="s">
        <v>100</v>
      </c>
      <c r="G34" s="558" t="s">
        <v>97</v>
      </c>
      <c r="H34" s="541" t="s">
        <v>98</v>
      </c>
      <c r="I34" s="558" t="s">
        <v>99</v>
      </c>
      <c r="J34" s="556" t="s">
        <v>100</v>
      </c>
    </row>
    <row r="35" spans="1:10">
      <c r="A35" s="549">
        <v>1</v>
      </c>
      <c r="B35" s="558" t="s">
        <v>237</v>
      </c>
      <c r="C35" s="541">
        <v>224490</v>
      </c>
      <c r="D35" s="560" t="s">
        <v>178</v>
      </c>
      <c r="E35" s="541">
        <v>384426</v>
      </c>
      <c r="G35" s="558" t="s">
        <v>243</v>
      </c>
      <c r="H35" s="541">
        <v>2283781</v>
      </c>
      <c r="I35" s="558" t="s">
        <v>237</v>
      </c>
      <c r="J35" s="541">
        <v>264104</v>
      </c>
    </row>
    <row r="36" spans="1:10">
      <c r="A36" s="549">
        <v>2</v>
      </c>
      <c r="B36" s="558" t="s">
        <v>244</v>
      </c>
      <c r="C36" s="541">
        <v>189015</v>
      </c>
      <c r="D36" s="560" t="s">
        <v>163</v>
      </c>
      <c r="E36" s="541">
        <v>333990</v>
      </c>
      <c r="G36" s="558" t="s">
        <v>244</v>
      </c>
      <c r="H36" s="541">
        <v>1752053</v>
      </c>
      <c r="I36" s="558" t="s">
        <v>439</v>
      </c>
      <c r="J36" s="541">
        <v>131341</v>
      </c>
    </row>
    <row r="37" spans="1:10">
      <c r="A37" s="549">
        <v>3</v>
      </c>
      <c r="B37" s="558" t="s">
        <v>295</v>
      </c>
      <c r="C37" s="541">
        <v>152988</v>
      </c>
      <c r="D37" s="558" t="s">
        <v>183</v>
      </c>
      <c r="E37" s="541">
        <v>66754</v>
      </c>
      <c r="G37" s="558" t="s">
        <v>440</v>
      </c>
      <c r="H37" s="541">
        <v>1074345</v>
      </c>
      <c r="I37" s="558" t="s">
        <v>11</v>
      </c>
      <c r="J37" s="541">
        <v>65234</v>
      </c>
    </row>
    <row r="38" spans="1:10">
      <c r="A38" s="549">
        <v>4</v>
      </c>
      <c r="B38" s="558" t="s">
        <v>443</v>
      </c>
      <c r="C38" s="541">
        <v>86075</v>
      </c>
      <c r="D38" s="560"/>
      <c r="E38" s="541"/>
      <c r="G38" s="558" t="s">
        <v>256</v>
      </c>
      <c r="H38" s="541">
        <v>697190</v>
      </c>
      <c r="I38" s="558" t="s">
        <v>440</v>
      </c>
      <c r="J38" s="541">
        <v>36834</v>
      </c>
    </row>
    <row r="39" spans="1:10">
      <c r="A39" s="549">
        <v>5</v>
      </c>
      <c r="B39" s="558" t="s">
        <v>444</v>
      </c>
      <c r="C39" s="541">
        <v>72504</v>
      </c>
      <c r="D39" s="560"/>
      <c r="E39" s="541"/>
      <c r="G39" s="558" t="s">
        <v>237</v>
      </c>
      <c r="H39" s="541">
        <v>662745</v>
      </c>
      <c r="I39" s="558" t="s">
        <v>6</v>
      </c>
      <c r="J39" s="541">
        <v>35929</v>
      </c>
    </row>
    <row r="40" spans="1:10">
      <c r="A40" s="549">
        <v>6</v>
      </c>
      <c r="B40" s="558" t="s">
        <v>440</v>
      </c>
      <c r="C40" s="541">
        <v>59838</v>
      </c>
      <c r="D40" s="558"/>
      <c r="E40" s="541"/>
      <c r="G40" s="558" t="s">
        <v>443</v>
      </c>
      <c r="H40" s="541">
        <v>654507</v>
      </c>
      <c r="I40" s="558" t="s">
        <v>244</v>
      </c>
      <c r="J40" s="541">
        <v>27271</v>
      </c>
    </row>
    <row r="41" spans="1:10">
      <c r="A41" s="549">
        <v>7</v>
      </c>
      <c r="B41" s="558" t="s">
        <v>265</v>
      </c>
      <c r="C41" s="541">
        <v>23651</v>
      </c>
      <c r="D41" s="558"/>
      <c r="E41" s="541"/>
      <c r="G41" s="558" t="s">
        <v>441</v>
      </c>
      <c r="H41" s="541">
        <v>408369</v>
      </c>
      <c r="I41" s="558" t="s">
        <v>382</v>
      </c>
      <c r="J41" s="541">
        <v>16866</v>
      </c>
    </row>
    <row r="42" spans="1:10">
      <c r="A42" s="549">
        <v>8</v>
      </c>
      <c r="B42" s="558" t="s">
        <v>442</v>
      </c>
      <c r="C42" s="541">
        <v>21841</v>
      </c>
      <c r="D42" s="558"/>
      <c r="E42" s="541"/>
      <c r="G42" s="558" t="s">
        <v>259</v>
      </c>
      <c r="H42" s="541">
        <v>195735</v>
      </c>
      <c r="I42" s="558" t="s">
        <v>445</v>
      </c>
      <c r="J42" s="541">
        <v>13241</v>
      </c>
    </row>
    <row r="43" spans="1:10">
      <c r="A43" s="549">
        <v>9</v>
      </c>
      <c r="B43" s="558" t="s">
        <v>9</v>
      </c>
      <c r="C43" s="541">
        <v>11147</v>
      </c>
      <c r="D43" s="558"/>
      <c r="E43" s="541"/>
      <c r="G43" s="558" t="s">
        <v>14</v>
      </c>
      <c r="H43" s="541">
        <v>165751</v>
      </c>
      <c r="I43" s="558" t="s">
        <v>442</v>
      </c>
      <c r="J43" s="541">
        <v>5654</v>
      </c>
    </row>
    <row r="44" spans="1:10">
      <c r="A44" s="549">
        <v>10</v>
      </c>
      <c r="B44" s="558" t="s">
        <v>485</v>
      </c>
      <c r="C44" s="541">
        <v>9338</v>
      </c>
      <c r="D44" s="558"/>
      <c r="E44" s="541"/>
      <c r="G44" s="558" t="s">
        <v>334</v>
      </c>
      <c r="H44" s="541">
        <v>150985</v>
      </c>
      <c r="I44" s="558" t="s">
        <v>10</v>
      </c>
      <c r="J44" s="541">
        <v>1195</v>
      </c>
    </row>
    <row r="45" spans="1:10">
      <c r="B45" s="558" t="s">
        <v>101</v>
      </c>
      <c r="C45" s="541">
        <f>C46-SUM(C34:C44)</f>
        <v>65427</v>
      </c>
      <c r="D45" s="558" t="s">
        <v>419</v>
      </c>
      <c r="E45" s="541">
        <f>E46-SUM(E34:E44)</f>
        <v>0</v>
      </c>
      <c r="G45" s="558" t="s">
        <v>420</v>
      </c>
      <c r="H45" s="541">
        <f>H46-SUM(H34:H44)</f>
        <v>615054</v>
      </c>
      <c r="I45" s="558" t="s">
        <v>421</v>
      </c>
      <c r="J45" s="541">
        <f>J46-SUM(J34:J44)</f>
        <v>32</v>
      </c>
    </row>
    <row r="46" spans="1:10">
      <c r="B46" s="558" t="s">
        <v>102</v>
      </c>
      <c r="C46" s="541">
        <v>916314</v>
      </c>
      <c r="D46" s="558" t="s">
        <v>102</v>
      </c>
      <c r="E46" s="541">
        <v>785170</v>
      </c>
      <c r="G46" s="558" t="s">
        <v>102</v>
      </c>
      <c r="H46" s="541">
        <v>8660515</v>
      </c>
      <c r="I46" s="558" t="s">
        <v>102</v>
      </c>
      <c r="J46" s="541">
        <v>597701</v>
      </c>
    </row>
    <row r="47" spans="1:10">
      <c r="B47" s="564"/>
      <c r="D47" s="564"/>
      <c r="G47" s="564"/>
      <c r="I47" s="564"/>
    </row>
    <row r="48" spans="1:10">
      <c r="B48" s="562" t="s">
        <v>422</v>
      </c>
      <c r="G48" s="565" t="s">
        <v>423</v>
      </c>
    </row>
    <row r="49" spans="1:10">
      <c r="B49" s="555" t="s">
        <v>97</v>
      </c>
      <c r="C49" s="556" t="s">
        <v>98</v>
      </c>
      <c r="D49" s="555" t="s">
        <v>99</v>
      </c>
      <c r="E49" s="556" t="s">
        <v>100</v>
      </c>
      <c r="G49" s="555" t="s">
        <v>97</v>
      </c>
      <c r="H49" s="556" t="s">
        <v>98</v>
      </c>
      <c r="I49" s="555" t="s">
        <v>99</v>
      </c>
      <c r="J49" s="556" t="s">
        <v>100</v>
      </c>
    </row>
    <row r="50" spans="1:10">
      <c r="A50" s="549">
        <v>1</v>
      </c>
      <c r="B50" s="558" t="s">
        <v>254</v>
      </c>
      <c r="C50" s="541">
        <v>1394345</v>
      </c>
      <c r="D50" s="558" t="s">
        <v>237</v>
      </c>
      <c r="E50" s="541">
        <v>1433830</v>
      </c>
      <c r="G50" s="560" t="s">
        <v>243</v>
      </c>
      <c r="H50" s="541">
        <v>20387</v>
      </c>
      <c r="I50" s="560" t="s">
        <v>382</v>
      </c>
      <c r="J50" s="541">
        <v>44122</v>
      </c>
    </row>
    <row r="51" spans="1:10">
      <c r="A51" s="549">
        <v>2</v>
      </c>
      <c r="B51" s="558" t="s">
        <v>440</v>
      </c>
      <c r="C51" s="541">
        <v>504460</v>
      </c>
      <c r="D51" s="558" t="s">
        <v>445</v>
      </c>
      <c r="E51" s="541">
        <v>143607</v>
      </c>
      <c r="G51" s="560" t="s">
        <v>256</v>
      </c>
      <c r="H51" s="541">
        <v>19709</v>
      </c>
      <c r="I51" s="560" t="s">
        <v>445</v>
      </c>
      <c r="J51" s="541">
        <v>17545</v>
      </c>
    </row>
    <row r="52" spans="1:10">
      <c r="A52" s="549">
        <v>3</v>
      </c>
      <c r="B52" s="558" t="s">
        <v>244</v>
      </c>
      <c r="C52" s="541">
        <v>396188</v>
      </c>
      <c r="D52" s="558" t="s">
        <v>442</v>
      </c>
      <c r="E52" s="541">
        <v>114539</v>
      </c>
      <c r="G52" s="560" t="s">
        <v>440</v>
      </c>
      <c r="H52" s="541">
        <v>5719</v>
      </c>
      <c r="I52" s="560" t="s">
        <v>237</v>
      </c>
      <c r="J52" s="541">
        <v>16285</v>
      </c>
    </row>
    <row r="53" spans="1:10">
      <c r="A53" s="549">
        <v>4</v>
      </c>
      <c r="B53" s="558" t="s">
        <v>237</v>
      </c>
      <c r="C53" s="541">
        <v>303715</v>
      </c>
      <c r="D53" s="558" t="s">
        <v>440</v>
      </c>
      <c r="E53" s="541">
        <v>88950</v>
      </c>
      <c r="G53" s="560" t="s">
        <v>441</v>
      </c>
      <c r="H53" s="541">
        <v>4814</v>
      </c>
      <c r="I53" s="560" t="s">
        <v>448</v>
      </c>
      <c r="J53" s="541">
        <v>12019</v>
      </c>
    </row>
    <row r="54" spans="1:10">
      <c r="A54" s="549">
        <v>5</v>
      </c>
      <c r="B54" s="558" t="s">
        <v>243</v>
      </c>
      <c r="C54" s="541">
        <v>263460</v>
      </c>
      <c r="D54" s="558" t="s">
        <v>12</v>
      </c>
      <c r="E54" s="541">
        <v>44523</v>
      </c>
      <c r="G54" s="560" t="s">
        <v>245</v>
      </c>
      <c r="H54" s="541">
        <v>4330</v>
      </c>
      <c r="I54" s="560" t="s">
        <v>439</v>
      </c>
      <c r="J54" s="541">
        <v>2294</v>
      </c>
    </row>
    <row r="55" spans="1:10">
      <c r="A55" s="549">
        <v>6</v>
      </c>
      <c r="B55" s="558" t="s">
        <v>443</v>
      </c>
      <c r="C55" s="541">
        <v>169015</v>
      </c>
      <c r="D55" s="558" t="s">
        <v>441</v>
      </c>
      <c r="E55" s="541">
        <v>42779</v>
      </c>
      <c r="G55" s="560" t="s">
        <v>244</v>
      </c>
      <c r="H55" s="541">
        <v>2423</v>
      </c>
      <c r="I55" s="560"/>
      <c r="J55" s="541"/>
    </row>
    <row r="56" spans="1:10">
      <c r="A56" s="549">
        <v>7</v>
      </c>
      <c r="B56" s="558" t="s">
        <v>256</v>
      </c>
      <c r="C56" s="541">
        <v>129726</v>
      </c>
      <c r="D56" s="558" t="s">
        <v>439</v>
      </c>
      <c r="E56" s="541">
        <v>13893</v>
      </c>
      <c r="G56" s="560" t="s">
        <v>518</v>
      </c>
      <c r="H56" s="541">
        <v>2068</v>
      </c>
      <c r="I56" s="560"/>
      <c r="J56" s="541"/>
    </row>
    <row r="57" spans="1:10">
      <c r="A57" s="549">
        <v>8</v>
      </c>
      <c r="B57" s="558" t="s">
        <v>444</v>
      </c>
      <c r="C57" s="541">
        <v>122940</v>
      </c>
      <c r="D57" s="558" t="s">
        <v>448</v>
      </c>
      <c r="E57" s="541">
        <v>12215</v>
      </c>
      <c r="G57" s="560" t="s">
        <v>253</v>
      </c>
      <c r="H57" s="541">
        <v>2036</v>
      </c>
      <c r="I57" s="560"/>
      <c r="J57" s="541"/>
    </row>
    <row r="58" spans="1:10">
      <c r="A58" s="549">
        <v>9</v>
      </c>
      <c r="B58" s="558" t="s">
        <v>441</v>
      </c>
      <c r="C58" s="541">
        <v>119225</v>
      </c>
      <c r="D58" s="558" t="s">
        <v>244</v>
      </c>
      <c r="E58" s="541">
        <v>6559</v>
      </c>
      <c r="G58" s="560" t="s">
        <v>384</v>
      </c>
      <c r="H58" s="541">
        <v>1809</v>
      </c>
      <c r="I58" s="560"/>
      <c r="J58" s="541"/>
    </row>
    <row r="59" spans="1:10">
      <c r="A59" s="549">
        <v>10</v>
      </c>
      <c r="B59" s="558" t="s">
        <v>485</v>
      </c>
      <c r="C59" s="541">
        <v>105590</v>
      </c>
      <c r="D59" s="558" t="s">
        <v>466</v>
      </c>
      <c r="E59" s="541">
        <v>5105</v>
      </c>
      <c r="G59" s="560" t="s">
        <v>442</v>
      </c>
      <c r="H59" s="541">
        <v>1486</v>
      </c>
      <c r="I59" s="560"/>
      <c r="J59" s="541"/>
    </row>
    <row r="60" spans="1:10">
      <c r="B60" s="558" t="s">
        <v>424</v>
      </c>
      <c r="C60" s="541">
        <f>C61-SUM(C49:C59)</f>
        <v>528018</v>
      </c>
      <c r="D60" s="558" t="s">
        <v>101</v>
      </c>
      <c r="E60" s="541">
        <f>E61-SUM(E49:E59)</f>
        <v>2198</v>
      </c>
      <c r="G60" s="560" t="s">
        <v>425</v>
      </c>
      <c r="H60" s="541">
        <f>H61-SUM(H49:H59)</f>
        <v>0</v>
      </c>
      <c r="I60" s="558" t="s">
        <v>101</v>
      </c>
      <c r="J60" s="541">
        <f>J61-SUM(J49:J59)</f>
        <v>0</v>
      </c>
    </row>
    <row r="61" spans="1:10">
      <c r="B61" s="558" t="s">
        <v>102</v>
      </c>
      <c r="C61" s="541">
        <v>4036682</v>
      </c>
      <c r="D61" s="558" t="s">
        <v>102</v>
      </c>
      <c r="E61" s="541">
        <v>1908198</v>
      </c>
      <c r="G61" s="558" t="s">
        <v>102</v>
      </c>
      <c r="H61" s="541">
        <v>64781</v>
      </c>
      <c r="I61" s="558" t="s">
        <v>102</v>
      </c>
      <c r="J61" s="541">
        <v>92265</v>
      </c>
    </row>
    <row r="63" spans="1:10">
      <c r="B63" s="553" t="s">
        <v>400</v>
      </c>
      <c r="G63" s="553" t="s">
        <v>426</v>
      </c>
    </row>
    <row r="64" spans="1:10">
      <c r="B64" s="555" t="s">
        <v>97</v>
      </c>
      <c r="C64" s="556" t="s">
        <v>98</v>
      </c>
      <c r="D64" s="555" t="s">
        <v>99</v>
      </c>
      <c r="E64" s="556" t="s">
        <v>100</v>
      </c>
      <c r="G64" s="555" t="s">
        <v>97</v>
      </c>
      <c r="H64" s="556" t="s">
        <v>98</v>
      </c>
      <c r="I64" s="555" t="s">
        <v>99</v>
      </c>
      <c r="J64" s="556" t="s">
        <v>100</v>
      </c>
    </row>
    <row r="65" spans="1:10">
      <c r="A65" s="549">
        <v>1</v>
      </c>
      <c r="B65" s="558" t="s">
        <v>382</v>
      </c>
      <c r="C65" s="541">
        <v>95864</v>
      </c>
      <c r="D65" s="560" t="s">
        <v>438</v>
      </c>
      <c r="E65" s="541">
        <v>88756</v>
      </c>
      <c r="G65" s="558" t="s">
        <v>244</v>
      </c>
      <c r="H65" s="541">
        <v>6211468</v>
      </c>
      <c r="I65" s="558" t="s">
        <v>382</v>
      </c>
      <c r="J65" s="541">
        <v>5157754</v>
      </c>
    </row>
    <row r="66" spans="1:10">
      <c r="A66" s="549">
        <v>2</v>
      </c>
      <c r="B66" s="560" t="s">
        <v>440</v>
      </c>
      <c r="C66" s="541">
        <v>66204</v>
      </c>
      <c r="D66" s="560" t="s">
        <v>163</v>
      </c>
      <c r="E66" s="541">
        <v>58189</v>
      </c>
      <c r="G66" s="558" t="s">
        <v>440</v>
      </c>
      <c r="H66" s="541">
        <v>1933993</v>
      </c>
      <c r="I66" s="558" t="s">
        <v>237</v>
      </c>
      <c r="J66" s="541">
        <v>1145413</v>
      </c>
    </row>
    <row r="67" spans="1:10">
      <c r="A67" s="549">
        <v>3</v>
      </c>
      <c r="B67" s="558" t="s">
        <v>485</v>
      </c>
      <c r="C67" s="541">
        <v>54831</v>
      </c>
      <c r="D67" s="560" t="s">
        <v>177</v>
      </c>
      <c r="E67" s="541">
        <v>711</v>
      </c>
      <c r="G67" s="558" t="s">
        <v>237</v>
      </c>
      <c r="H67" s="541">
        <v>1766462</v>
      </c>
      <c r="I67" s="558" t="s">
        <v>445</v>
      </c>
      <c r="J67" s="541">
        <v>297125</v>
      </c>
    </row>
    <row r="68" spans="1:10">
      <c r="A68" s="549">
        <v>4</v>
      </c>
      <c r="B68" s="558" t="s">
        <v>6</v>
      </c>
      <c r="C68" s="541">
        <v>34508</v>
      </c>
      <c r="D68" s="560" t="s">
        <v>172</v>
      </c>
      <c r="E68" s="541">
        <v>162</v>
      </c>
      <c r="G68" s="558" t="s">
        <v>243</v>
      </c>
      <c r="H68" s="541">
        <v>1448207</v>
      </c>
      <c r="I68" s="558" t="s">
        <v>439</v>
      </c>
      <c r="J68" s="541">
        <v>222904</v>
      </c>
    </row>
    <row r="69" spans="1:10">
      <c r="A69" s="549">
        <v>5</v>
      </c>
      <c r="B69" s="560" t="s">
        <v>244</v>
      </c>
      <c r="C69" s="541">
        <v>22488</v>
      </c>
      <c r="D69" s="558"/>
      <c r="E69" s="541"/>
      <c r="G69" s="558" t="s">
        <v>444</v>
      </c>
      <c r="H69" s="541">
        <v>952245</v>
      </c>
      <c r="I69" s="558" t="s">
        <v>444</v>
      </c>
      <c r="J69" s="541">
        <v>167560</v>
      </c>
    </row>
    <row r="70" spans="1:10">
      <c r="A70" s="549">
        <v>6</v>
      </c>
      <c r="B70" s="558" t="s">
        <v>442</v>
      </c>
      <c r="C70" s="541">
        <v>17351</v>
      </c>
      <c r="D70" s="561"/>
      <c r="E70" s="541"/>
      <c r="G70" s="558" t="s">
        <v>9</v>
      </c>
      <c r="H70" s="541">
        <v>670370</v>
      </c>
      <c r="I70" s="558" t="s">
        <v>244</v>
      </c>
      <c r="J70" s="541">
        <v>165653</v>
      </c>
    </row>
    <row r="71" spans="1:10">
      <c r="A71" s="549">
        <v>7</v>
      </c>
      <c r="B71" s="558" t="s">
        <v>441</v>
      </c>
      <c r="C71" s="541">
        <v>11018</v>
      </c>
      <c r="D71" s="558"/>
      <c r="E71" s="541"/>
      <c r="G71" s="558" t="s">
        <v>10</v>
      </c>
      <c r="H71" s="541">
        <v>608046</v>
      </c>
      <c r="I71" s="558" t="s">
        <v>448</v>
      </c>
      <c r="J71" s="541">
        <v>107643</v>
      </c>
    </row>
    <row r="72" spans="1:10">
      <c r="A72" s="549">
        <v>8</v>
      </c>
      <c r="B72" s="558" t="s">
        <v>519</v>
      </c>
      <c r="C72" s="541">
        <v>3619</v>
      </c>
      <c r="D72" s="558"/>
      <c r="E72" s="541"/>
      <c r="G72" s="558" t="s">
        <v>12</v>
      </c>
      <c r="H72" s="541">
        <v>604168</v>
      </c>
      <c r="I72" s="558" t="s">
        <v>10</v>
      </c>
      <c r="J72" s="541">
        <v>104394</v>
      </c>
    </row>
    <row r="73" spans="1:10">
      <c r="A73" s="549">
        <v>9</v>
      </c>
      <c r="B73" s="558" t="s">
        <v>518</v>
      </c>
      <c r="C73" s="541">
        <v>2391</v>
      </c>
      <c r="D73" s="558"/>
      <c r="E73" s="541"/>
      <c r="G73" s="558" t="s">
        <v>443</v>
      </c>
      <c r="H73" s="541">
        <v>570661</v>
      </c>
      <c r="I73" s="558" t="s">
        <v>9</v>
      </c>
      <c r="J73" s="541">
        <v>35477</v>
      </c>
    </row>
    <row r="74" spans="1:10">
      <c r="A74" s="549">
        <v>10</v>
      </c>
      <c r="B74" s="558" t="s">
        <v>384</v>
      </c>
      <c r="C74" s="541">
        <v>1906</v>
      </c>
      <c r="D74" s="566"/>
      <c r="E74" s="541"/>
      <c r="G74" s="558" t="s">
        <v>441</v>
      </c>
      <c r="H74" s="541">
        <v>535379</v>
      </c>
      <c r="I74" s="558" t="s">
        <v>441</v>
      </c>
      <c r="J74" s="541">
        <v>34378</v>
      </c>
    </row>
    <row r="75" spans="1:10">
      <c r="B75" s="558" t="s">
        <v>101</v>
      </c>
      <c r="C75" s="541">
        <f>C76-SUM(C64:C74)</f>
        <v>1744</v>
      </c>
      <c r="D75" s="558" t="s">
        <v>101</v>
      </c>
      <c r="E75" s="541">
        <f>E76-SUM(E64:E74)</f>
        <v>0</v>
      </c>
      <c r="G75" s="558" t="s">
        <v>101</v>
      </c>
      <c r="H75" s="541">
        <f>H76-SUM(H64:H74)</f>
        <v>2626722</v>
      </c>
      <c r="I75" s="558" t="s">
        <v>427</v>
      </c>
      <c r="J75" s="541">
        <f>J76-SUM(J64:J74)</f>
        <v>20062</v>
      </c>
    </row>
    <row r="76" spans="1:10">
      <c r="B76" s="558" t="s">
        <v>102</v>
      </c>
      <c r="C76" s="541">
        <v>311924</v>
      </c>
      <c r="D76" s="558" t="s">
        <v>102</v>
      </c>
      <c r="E76" s="541">
        <v>147818</v>
      </c>
      <c r="G76" s="558" t="s">
        <v>102</v>
      </c>
      <c r="H76" s="541">
        <v>17927721</v>
      </c>
      <c r="I76" s="558" t="s">
        <v>102</v>
      </c>
      <c r="J76" s="541">
        <v>7458363</v>
      </c>
    </row>
    <row r="78" spans="1:10">
      <c r="B78" s="562" t="s">
        <v>475</v>
      </c>
      <c r="G78" s="553" t="s">
        <v>428</v>
      </c>
    </row>
    <row r="79" spans="1:10">
      <c r="B79" s="555" t="s">
        <v>97</v>
      </c>
      <c r="C79" s="556" t="s">
        <v>98</v>
      </c>
      <c r="D79" s="555" t="s">
        <v>99</v>
      </c>
      <c r="E79" s="556" t="s">
        <v>100</v>
      </c>
      <c r="G79" s="555" t="s">
        <v>97</v>
      </c>
      <c r="H79" s="556" t="s">
        <v>98</v>
      </c>
      <c r="I79" s="555" t="s">
        <v>99</v>
      </c>
      <c r="J79" s="556" t="s">
        <v>100</v>
      </c>
    </row>
    <row r="80" spans="1:10">
      <c r="A80" s="549">
        <v>1</v>
      </c>
      <c r="B80" s="558" t="s">
        <v>440</v>
      </c>
      <c r="C80" s="541">
        <v>838445</v>
      </c>
      <c r="D80" s="558" t="s">
        <v>237</v>
      </c>
      <c r="E80" s="541">
        <v>480540</v>
      </c>
      <c r="G80" s="558" t="s">
        <v>244</v>
      </c>
      <c r="H80" s="541">
        <v>1376286</v>
      </c>
      <c r="I80" s="558" t="s">
        <v>237</v>
      </c>
      <c r="J80" s="541">
        <v>100396</v>
      </c>
    </row>
    <row r="81" spans="1:10">
      <c r="A81" s="549">
        <v>2</v>
      </c>
      <c r="B81" s="558" t="s">
        <v>244</v>
      </c>
      <c r="C81" s="541">
        <v>790762</v>
      </c>
      <c r="D81" s="558" t="s">
        <v>10</v>
      </c>
      <c r="E81" s="541">
        <v>184846</v>
      </c>
      <c r="G81" s="558" t="s">
        <v>440</v>
      </c>
      <c r="H81" s="541">
        <v>1193084</v>
      </c>
      <c r="I81" s="558" t="s">
        <v>439</v>
      </c>
      <c r="J81" s="541">
        <v>60711</v>
      </c>
    </row>
    <row r="82" spans="1:10">
      <c r="A82" s="549">
        <v>3</v>
      </c>
      <c r="B82" s="558" t="s">
        <v>243</v>
      </c>
      <c r="C82" s="541">
        <v>295120</v>
      </c>
      <c r="D82" s="558" t="s">
        <v>444</v>
      </c>
      <c r="E82" s="541">
        <v>79189</v>
      </c>
      <c r="G82" s="558" t="s">
        <v>6</v>
      </c>
      <c r="H82" s="541">
        <v>369756</v>
      </c>
      <c r="I82" s="558" t="s">
        <v>382</v>
      </c>
      <c r="J82" s="541">
        <v>24233</v>
      </c>
    </row>
    <row r="83" spans="1:10">
      <c r="A83" s="549">
        <v>4</v>
      </c>
      <c r="B83" s="558" t="s">
        <v>15</v>
      </c>
      <c r="C83" s="541">
        <v>256220</v>
      </c>
      <c r="D83" s="558" t="s">
        <v>269</v>
      </c>
      <c r="E83" s="541">
        <v>70630</v>
      </c>
      <c r="G83" s="558" t="s">
        <v>441</v>
      </c>
      <c r="H83" s="541">
        <v>313862</v>
      </c>
      <c r="I83" s="558" t="s">
        <v>10</v>
      </c>
      <c r="J83" s="541">
        <v>10307</v>
      </c>
    </row>
    <row r="84" spans="1:10">
      <c r="A84" s="549">
        <v>5</v>
      </c>
      <c r="B84" s="558" t="s">
        <v>10</v>
      </c>
      <c r="C84" s="541">
        <v>241065</v>
      </c>
      <c r="D84" s="558" t="s">
        <v>12</v>
      </c>
      <c r="E84" s="541">
        <v>11599</v>
      </c>
      <c r="G84" s="558" t="s">
        <v>10</v>
      </c>
      <c r="H84" s="541">
        <v>246107</v>
      </c>
      <c r="I84" s="558" t="s">
        <v>445</v>
      </c>
      <c r="J84" s="541">
        <v>8753</v>
      </c>
    </row>
    <row r="85" spans="1:10">
      <c r="A85" s="549">
        <v>6</v>
      </c>
      <c r="B85" s="558" t="s">
        <v>237</v>
      </c>
      <c r="C85" s="541">
        <v>135801</v>
      </c>
      <c r="D85" s="558" t="s">
        <v>439</v>
      </c>
      <c r="E85" s="541">
        <v>1098</v>
      </c>
      <c r="G85" s="558" t="s">
        <v>9</v>
      </c>
      <c r="H85" s="541">
        <v>245331</v>
      </c>
      <c r="I85" s="558" t="s">
        <v>440</v>
      </c>
      <c r="J85" s="541">
        <v>6624</v>
      </c>
    </row>
    <row r="86" spans="1:10">
      <c r="A86" s="549">
        <v>7</v>
      </c>
      <c r="B86" s="558" t="s">
        <v>441</v>
      </c>
      <c r="C86" s="541">
        <v>133375</v>
      </c>
      <c r="D86" s="558"/>
      <c r="E86" s="541"/>
      <c r="G86" s="558" t="s">
        <v>382</v>
      </c>
      <c r="H86" s="541">
        <v>228789</v>
      </c>
      <c r="I86" s="558" t="s">
        <v>441</v>
      </c>
      <c r="J86" s="541">
        <v>4685</v>
      </c>
    </row>
    <row r="87" spans="1:10">
      <c r="A87" s="549">
        <v>8</v>
      </c>
      <c r="B87" s="558" t="s">
        <v>6</v>
      </c>
      <c r="C87" s="541">
        <v>116188</v>
      </c>
      <c r="D87" s="558"/>
      <c r="E87" s="541"/>
      <c r="G87" s="558" t="s">
        <v>243</v>
      </c>
      <c r="H87" s="541">
        <v>179190</v>
      </c>
      <c r="I87" s="558" t="s">
        <v>254</v>
      </c>
      <c r="J87" s="541">
        <v>1616</v>
      </c>
    </row>
    <row r="88" spans="1:10">
      <c r="A88" s="549">
        <v>9</v>
      </c>
      <c r="B88" s="558" t="s">
        <v>443</v>
      </c>
      <c r="C88" s="541">
        <v>82260</v>
      </c>
      <c r="D88" s="558"/>
      <c r="E88" s="541"/>
      <c r="G88" s="558" t="s">
        <v>245</v>
      </c>
      <c r="H88" s="541">
        <v>160581</v>
      </c>
      <c r="I88" s="558" t="s">
        <v>267</v>
      </c>
      <c r="J88" s="541">
        <v>905</v>
      </c>
    </row>
    <row r="89" spans="1:10">
      <c r="A89" s="549">
        <v>10</v>
      </c>
      <c r="B89" s="558" t="s">
        <v>444</v>
      </c>
      <c r="C89" s="541">
        <v>68983</v>
      </c>
      <c r="D89" s="558"/>
      <c r="E89" s="541"/>
      <c r="G89" s="558" t="s">
        <v>237</v>
      </c>
      <c r="H89" s="541">
        <v>147657</v>
      </c>
      <c r="I89" s="558" t="s">
        <v>255</v>
      </c>
      <c r="J89" s="541">
        <v>258</v>
      </c>
    </row>
    <row r="90" spans="1:10">
      <c r="B90" s="558" t="s">
        <v>101</v>
      </c>
      <c r="C90" s="541">
        <f>C91-SUM(C80:C89)</f>
        <v>398742</v>
      </c>
      <c r="D90" s="558" t="s">
        <v>101</v>
      </c>
      <c r="E90" s="541">
        <f>E91-SUM(E79:E89)</f>
        <v>0</v>
      </c>
      <c r="G90" s="558" t="s">
        <v>429</v>
      </c>
      <c r="H90" s="541">
        <f>H91-SUM(H79:H89)</f>
        <v>530564</v>
      </c>
      <c r="I90" s="558" t="s">
        <v>101</v>
      </c>
      <c r="J90" s="541">
        <f>J91-SUM(J79:J89)</f>
        <v>485</v>
      </c>
    </row>
    <row r="91" spans="1:10">
      <c r="B91" s="558" t="s">
        <v>102</v>
      </c>
      <c r="C91" s="541">
        <v>3356961</v>
      </c>
      <c r="D91" s="558" t="s">
        <v>102</v>
      </c>
      <c r="E91" s="541">
        <v>827902</v>
      </c>
      <c r="G91" s="558" t="s">
        <v>102</v>
      </c>
      <c r="H91" s="541">
        <v>4991207</v>
      </c>
      <c r="I91" s="558" t="s">
        <v>102</v>
      </c>
      <c r="J91" s="541">
        <v>218973</v>
      </c>
    </row>
    <row r="93" spans="1:10">
      <c r="B93" s="553" t="s">
        <v>476</v>
      </c>
      <c r="G93" s="562" t="s">
        <v>401</v>
      </c>
    </row>
    <row r="94" spans="1:10">
      <c r="B94" s="555" t="s">
        <v>97</v>
      </c>
      <c r="C94" s="556" t="s">
        <v>98</v>
      </c>
      <c r="D94" s="555" t="s">
        <v>99</v>
      </c>
      <c r="E94" s="556" t="s">
        <v>100</v>
      </c>
      <c r="G94" s="555" t="s">
        <v>97</v>
      </c>
      <c r="H94" s="556" t="s">
        <v>98</v>
      </c>
      <c r="I94" s="555" t="s">
        <v>99</v>
      </c>
      <c r="J94" s="556" t="s">
        <v>100</v>
      </c>
    </row>
    <row r="95" spans="1:10">
      <c r="A95" s="549">
        <v>1</v>
      </c>
      <c r="B95" s="567" t="s">
        <v>244</v>
      </c>
      <c r="C95" s="541">
        <v>4595736</v>
      </c>
      <c r="D95" s="560" t="s">
        <v>382</v>
      </c>
      <c r="E95" s="541">
        <v>2141001</v>
      </c>
      <c r="G95" s="558" t="s">
        <v>243</v>
      </c>
      <c r="H95" s="541">
        <v>986009</v>
      </c>
      <c r="I95" s="560" t="s">
        <v>12</v>
      </c>
      <c r="J95" s="541">
        <v>382198</v>
      </c>
    </row>
    <row r="96" spans="1:10">
      <c r="A96" s="549">
        <v>2</v>
      </c>
      <c r="B96" s="567" t="s">
        <v>440</v>
      </c>
      <c r="C96" s="541">
        <v>2330760</v>
      </c>
      <c r="D96" s="560" t="s">
        <v>237</v>
      </c>
      <c r="E96" s="541">
        <v>891500</v>
      </c>
      <c r="G96" s="558" t="s">
        <v>384</v>
      </c>
      <c r="H96" s="541">
        <v>143458</v>
      </c>
      <c r="I96" s="560" t="s">
        <v>382</v>
      </c>
      <c r="J96" s="541">
        <v>269307</v>
      </c>
    </row>
    <row r="97" spans="1:15">
      <c r="A97" s="549">
        <v>3</v>
      </c>
      <c r="B97" s="567" t="s">
        <v>243</v>
      </c>
      <c r="C97" s="541">
        <v>853181</v>
      </c>
      <c r="D97" s="560" t="s">
        <v>445</v>
      </c>
      <c r="E97" s="541">
        <v>314278</v>
      </c>
      <c r="G97" s="558" t="s">
        <v>237</v>
      </c>
      <c r="H97" s="541">
        <v>141582</v>
      </c>
      <c r="I97" s="558" t="s">
        <v>237</v>
      </c>
      <c r="J97" s="541">
        <v>101309</v>
      </c>
    </row>
    <row r="98" spans="1:15">
      <c r="A98" s="549">
        <v>4</v>
      </c>
      <c r="B98" s="567" t="s">
        <v>9</v>
      </c>
      <c r="C98" s="541">
        <v>711375</v>
      </c>
      <c r="D98" s="560" t="s">
        <v>439</v>
      </c>
      <c r="E98" s="541">
        <v>34023</v>
      </c>
      <c r="G98" s="558" t="s">
        <v>443</v>
      </c>
      <c r="H98" s="541">
        <v>127044</v>
      </c>
      <c r="I98" s="558" t="s">
        <v>444</v>
      </c>
      <c r="J98" s="541">
        <v>35865</v>
      </c>
    </row>
    <row r="99" spans="1:15">
      <c r="A99" s="549">
        <v>5</v>
      </c>
      <c r="B99" s="567" t="s">
        <v>443</v>
      </c>
      <c r="C99" s="541">
        <v>630500</v>
      </c>
      <c r="D99" s="560" t="s">
        <v>247</v>
      </c>
      <c r="E99" s="541">
        <v>22875</v>
      </c>
      <c r="G99" s="558" t="s">
        <v>444</v>
      </c>
      <c r="H99" s="541">
        <v>92989</v>
      </c>
      <c r="I99" s="560" t="s">
        <v>439</v>
      </c>
      <c r="J99" s="541">
        <v>2036</v>
      </c>
    </row>
    <row r="100" spans="1:15">
      <c r="A100" s="549">
        <v>6</v>
      </c>
      <c r="B100" s="567" t="s">
        <v>237</v>
      </c>
      <c r="C100" s="541">
        <v>502328</v>
      </c>
      <c r="D100" s="560" t="s">
        <v>449</v>
      </c>
      <c r="E100" s="541">
        <v>12213</v>
      </c>
      <c r="G100" s="558" t="s">
        <v>441</v>
      </c>
      <c r="H100" s="541">
        <v>86268</v>
      </c>
      <c r="I100" s="558" t="s">
        <v>447</v>
      </c>
      <c r="J100" s="541">
        <v>51</v>
      </c>
    </row>
    <row r="101" spans="1:15">
      <c r="A101" s="549">
        <v>7</v>
      </c>
      <c r="B101" s="567" t="s">
        <v>10</v>
      </c>
      <c r="C101" s="541">
        <v>386040</v>
      </c>
      <c r="D101" s="560" t="s">
        <v>245</v>
      </c>
      <c r="E101" s="541">
        <v>11858</v>
      </c>
      <c r="G101" s="558" t="s">
        <v>440</v>
      </c>
      <c r="H101" s="541">
        <v>66269</v>
      </c>
      <c r="I101" s="558"/>
      <c r="J101" s="541"/>
    </row>
    <row r="102" spans="1:15">
      <c r="A102" s="549">
        <v>8</v>
      </c>
      <c r="B102" s="567" t="s">
        <v>444</v>
      </c>
      <c r="C102" s="541">
        <v>373214</v>
      </c>
      <c r="D102" s="560" t="s">
        <v>10</v>
      </c>
      <c r="E102" s="541">
        <v>11212</v>
      </c>
      <c r="G102" s="558" t="s">
        <v>295</v>
      </c>
      <c r="H102" s="541">
        <v>65170</v>
      </c>
      <c r="I102" s="567"/>
      <c r="J102" s="541"/>
    </row>
    <row r="103" spans="1:15">
      <c r="A103" s="549">
        <v>9</v>
      </c>
      <c r="B103" s="567" t="s">
        <v>441</v>
      </c>
      <c r="C103" s="541">
        <v>327141</v>
      </c>
      <c r="D103" s="560" t="s">
        <v>441</v>
      </c>
      <c r="E103" s="541">
        <v>5299</v>
      </c>
      <c r="G103" s="558" t="s">
        <v>449</v>
      </c>
      <c r="H103" s="541">
        <v>57447</v>
      </c>
      <c r="I103" s="558"/>
      <c r="J103" s="541"/>
    </row>
    <row r="104" spans="1:15">
      <c r="A104" s="549">
        <v>10</v>
      </c>
      <c r="B104" s="567" t="s">
        <v>11</v>
      </c>
      <c r="C104" s="541">
        <v>247170</v>
      </c>
      <c r="D104" s="560" t="s">
        <v>9</v>
      </c>
      <c r="E104" s="541">
        <v>2908</v>
      </c>
      <c r="G104" s="558" t="s">
        <v>451</v>
      </c>
      <c r="H104" s="541">
        <v>53215</v>
      </c>
      <c r="I104" s="558"/>
      <c r="J104" s="541"/>
    </row>
    <row r="105" spans="1:15">
      <c r="B105" s="558" t="s">
        <v>101</v>
      </c>
      <c r="C105" s="541">
        <f>C106-SUM(C94:C104)</f>
        <v>1495934</v>
      </c>
      <c r="D105" s="558" t="s">
        <v>101</v>
      </c>
      <c r="E105" s="541">
        <f>E106-SUM(E94:E104)</f>
        <v>258</v>
      </c>
      <c r="G105" s="560" t="s">
        <v>425</v>
      </c>
      <c r="H105" s="541">
        <f>H106-SUM(H94:H104)</f>
        <v>468464</v>
      </c>
      <c r="I105" s="558" t="s">
        <v>101</v>
      </c>
      <c r="J105" s="541">
        <f>J106-SUM(J94:J104)</f>
        <v>0</v>
      </c>
    </row>
    <row r="106" spans="1:15">
      <c r="B106" s="558" t="s">
        <v>102</v>
      </c>
      <c r="C106" s="541">
        <v>12453379</v>
      </c>
      <c r="D106" s="558" t="s">
        <v>102</v>
      </c>
      <c r="E106" s="541">
        <v>3447425</v>
      </c>
      <c r="G106" s="558" t="s">
        <v>102</v>
      </c>
      <c r="H106" s="541">
        <v>2287915</v>
      </c>
      <c r="I106" s="558" t="s">
        <v>102</v>
      </c>
      <c r="J106" s="541">
        <v>790766</v>
      </c>
    </row>
    <row r="108" spans="1:15">
      <c r="B108" s="553" t="s">
        <v>430</v>
      </c>
      <c r="G108" s="565" t="s">
        <v>431</v>
      </c>
      <c r="L108" s="568"/>
      <c r="M108" s="568"/>
      <c r="N108" s="568"/>
      <c r="O108" s="568"/>
    </row>
    <row r="109" spans="1:15">
      <c r="B109" s="555" t="s">
        <v>97</v>
      </c>
      <c r="C109" s="556" t="s">
        <v>98</v>
      </c>
      <c r="D109" s="555" t="s">
        <v>99</v>
      </c>
      <c r="E109" s="556" t="s">
        <v>100</v>
      </c>
      <c r="G109" s="555" t="s">
        <v>97</v>
      </c>
      <c r="H109" s="556" t="s">
        <v>98</v>
      </c>
      <c r="I109" s="555" t="s">
        <v>99</v>
      </c>
      <c r="J109" s="556" t="s">
        <v>100</v>
      </c>
      <c r="L109" s="568"/>
      <c r="M109" s="568"/>
      <c r="N109" s="568"/>
      <c r="O109" s="568"/>
    </row>
    <row r="110" spans="1:15">
      <c r="A110" s="549">
        <v>1</v>
      </c>
      <c r="B110" s="561" t="s">
        <v>244</v>
      </c>
      <c r="C110" s="541">
        <v>2780327</v>
      </c>
      <c r="D110" s="558" t="s">
        <v>382</v>
      </c>
      <c r="E110" s="541">
        <v>2273507</v>
      </c>
      <c r="G110" s="558" t="s">
        <v>244</v>
      </c>
      <c r="H110" s="541">
        <v>2728854</v>
      </c>
      <c r="I110" s="560" t="s">
        <v>382</v>
      </c>
      <c r="J110" s="541">
        <v>756348</v>
      </c>
      <c r="L110" s="568"/>
      <c r="M110" s="568"/>
      <c r="N110" s="568"/>
      <c r="O110" s="568"/>
    </row>
    <row r="111" spans="1:15">
      <c r="A111" s="549">
        <v>2</v>
      </c>
      <c r="B111" s="561" t="s">
        <v>237</v>
      </c>
      <c r="C111" s="541">
        <v>1444979</v>
      </c>
      <c r="D111" s="558" t="s">
        <v>484</v>
      </c>
      <c r="E111" s="541">
        <v>393344</v>
      </c>
      <c r="G111" s="558" t="s">
        <v>237</v>
      </c>
      <c r="H111" s="541">
        <v>1350371</v>
      </c>
      <c r="I111" s="560" t="s">
        <v>439</v>
      </c>
      <c r="J111" s="541">
        <v>530697</v>
      </c>
      <c r="L111" s="568"/>
      <c r="M111" s="568"/>
      <c r="N111" s="568"/>
      <c r="O111" s="568"/>
    </row>
    <row r="112" spans="1:15">
      <c r="A112" s="549">
        <v>3</v>
      </c>
      <c r="B112" s="561" t="s">
        <v>440</v>
      </c>
      <c r="C112" s="541">
        <v>1199967</v>
      </c>
      <c r="D112" s="560" t="s">
        <v>163</v>
      </c>
      <c r="E112" s="541">
        <v>282175</v>
      </c>
      <c r="G112" s="558" t="s">
        <v>440</v>
      </c>
      <c r="H112" s="541">
        <v>1164816</v>
      </c>
      <c r="I112" s="560" t="s">
        <v>237</v>
      </c>
      <c r="J112" s="541">
        <v>199705</v>
      </c>
      <c r="L112" s="568"/>
      <c r="M112" s="568"/>
      <c r="N112" s="568"/>
      <c r="O112" s="568"/>
    </row>
    <row r="113" spans="1:15">
      <c r="A113" s="549">
        <v>4</v>
      </c>
      <c r="B113" s="561" t="s">
        <v>243</v>
      </c>
      <c r="C113" s="541">
        <v>1021777</v>
      </c>
      <c r="D113" s="558" t="s">
        <v>175</v>
      </c>
      <c r="E113" s="541">
        <v>143620</v>
      </c>
      <c r="G113" s="558" t="s">
        <v>9</v>
      </c>
      <c r="H113" s="541">
        <v>701228</v>
      </c>
      <c r="I113" s="560" t="s">
        <v>442</v>
      </c>
      <c r="J113" s="541">
        <v>116576</v>
      </c>
      <c r="L113" s="568"/>
      <c r="M113" s="568"/>
      <c r="N113" s="568"/>
      <c r="O113" s="568"/>
    </row>
    <row r="114" spans="1:15">
      <c r="A114" s="549">
        <v>5</v>
      </c>
      <c r="B114" s="561" t="s">
        <v>443</v>
      </c>
      <c r="C114" s="541">
        <v>632246</v>
      </c>
      <c r="D114" s="558"/>
      <c r="E114" s="541"/>
      <c r="G114" s="558" t="s">
        <v>243</v>
      </c>
      <c r="H114" s="541">
        <v>678935</v>
      </c>
      <c r="I114" s="560" t="s">
        <v>244</v>
      </c>
      <c r="J114" s="541">
        <v>77060</v>
      </c>
      <c r="L114" s="568"/>
      <c r="M114" s="568"/>
      <c r="N114" s="568"/>
      <c r="O114" s="568"/>
    </row>
    <row r="115" spans="1:15">
      <c r="A115" s="549">
        <v>6</v>
      </c>
      <c r="B115" s="561" t="s">
        <v>9</v>
      </c>
      <c r="C115" s="541">
        <v>568272</v>
      </c>
      <c r="E115" s="541"/>
      <c r="G115" s="558" t="s">
        <v>443</v>
      </c>
      <c r="H115" s="541">
        <v>479772</v>
      </c>
      <c r="I115" s="560" t="s">
        <v>440</v>
      </c>
      <c r="J115" s="541">
        <v>74056</v>
      </c>
      <c r="L115" s="568"/>
      <c r="M115" s="568"/>
      <c r="N115" s="568"/>
      <c r="O115" s="568"/>
    </row>
    <row r="116" spans="1:15">
      <c r="A116" s="549">
        <v>7</v>
      </c>
      <c r="B116" s="561" t="s">
        <v>444</v>
      </c>
      <c r="C116" s="541">
        <v>490597</v>
      </c>
      <c r="D116" s="558"/>
      <c r="E116" s="541"/>
      <c r="G116" s="558" t="s">
        <v>444</v>
      </c>
      <c r="H116" s="541">
        <v>392697</v>
      </c>
      <c r="I116" s="560" t="s">
        <v>466</v>
      </c>
      <c r="J116" s="541">
        <v>56705</v>
      </c>
      <c r="L116" s="568"/>
      <c r="M116" s="568"/>
      <c r="N116" s="568"/>
      <c r="O116" s="568"/>
    </row>
    <row r="117" spans="1:15">
      <c r="A117" s="549">
        <v>8</v>
      </c>
      <c r="B117" s="561" t="s">
        <v>441</v>
      </c>
      <c r="C117" s="541">
        <v>313635</v>
      </c>
      <c r="D117" s="558"/>
      <c r="E117" s="541"/>
      <c r="G117" s="558" t="s">
        <v>10</v>
      </c>
      <c r="H117" s="541">
        <v>251827</v>
      </c>
      <c r="I117" s="560" t="s">
        <v>448</v>
      </c>
      <c r="J117" s="541">
        <v>29431</v>
      </c>
      <c r="L117" s="568"/>
      <c r="M117" s="568"/>
      <c r="N117" s="568"/>
      <c r="O117" s="568"/>
    </row>
    <row r="118" spans="1:15">
      <c r="A118" s="549">
        <v>9</v>
      </c>
      <c r="B118" s="561" t="s">
        <v>255</v>
      </c>
      <c r="C118" s="541">
        <v>299645</v>
      </c>
      <c r="D118" s="558"/>
      <c r="E118" s="541"/>
      <c r="G118" s="558" t="s">
        <v>255</v>
      </c>
      <c r="H118" s="541">
        <v>228692</v>
      </c>
      <c r="I118" s="560" t="s">
        <v>445</v>
      </c>
      <c r="J118" s="541">
        <v>15218</v>
      </c>
      <c r="L118" s="568"/>
      <c r="M118" s="568"/>
      <c r="N118" s="568"/>
      <c r="O118" s="568"/>
    </row>
    <row r="119" spans="1:15">
      <c r="A119" s="549">
        <v>10</v>
      </c>
      <c r="B119" s="561" t="s">
        <v>10</v>
      </c>
      <c r="C119" s="541">
        <v>266011</v>
      </c>
      <c r="D119" s="558"/>
      <c r="E119" s="541"/>
      <c r="G119" s="558" t="s">
        <v>12</v>
      </c>
      <c r="H119" s="541">
        <v>214442</v>
      </c>
      <c r="I119" s="560" t="s">
        <v>10</v>
      </c>
      <c r="J119" s="541">
        <v>4750</v>
      </c>
      <c r="L119" s="568"/>
      <c r="M119" s="568"/>
      <c r="N119" s="568"/>
      <c r="O119" s="568"/>
    </row>
    <row r="120" spans="1:15">
      <c r="B120" s="558" t="s">
        <v>101</v>
      </c>
      <c r="C120" s="541">
        <f>C121-SUM(C109:C119)</f>
        <v>1468402</v>
      </c>
      <c r="D120" s="558" t="s">
        <v>101</v>
      </c>
      <c r="E120" s="541">
        <f>E121-SUM(E109:E119)</f>
        <v>0</v>
      </c>
      <c r="G120" s="558" t="s">
        <v>425</v>
      </c>
      <c r="H120" s="541">
        <f>H121-SUM(H109:H119)</f>
        <v>1445304</v>
      </c>
      <c r="I120" s="569" t="s">
        <v>101</v>
      </c>
      <c r="J120" s="541">
        <f>J121-SUM(J109:J119)</f>
        <v>1260</v>
      </c>
      <c r="L120" s="568"/>
      <c r="M120" s="568"/>
      <c r="N120" s="568"/>
      <c r="O120" s="568"/>
    </row>
    <row r="121" spans="1:15">
      <c r="B121" s="558" t="s">
        <v>102</v>
      </c>
      <c r="C121" s="541">
        <v>10485858</v>
      </c>
      <c r="D121" s="558" t="s">
        <v>102</v>
      </c>
      <c r="E121" s="541">
        <v>3092646</v>
      </c>
      <c r="F121" s="541">
        <v>3255574</v>
      </c>
      <c r="G121" s="558" t="s">
        <v>102</v>
      </c>
      <c r="H121" s="541">
        <v>9636938</v>
      </c>
      <c r="I121" s="558" t="s">
        <v>102</v>
      </c>
      <c r="J121" s="541">
        <v>1861806</v>
      </c>
    </row>
    <row r="122" spans="1:15">
      <c r="G122" s="568"/>
      <c r="H122" s="570"/>
      <c r="I122" s="568"/>
      <c r="J122" s="570"/>
    </row>
    <row r="123" spans="1:15">
      <c r="B123" s="553" t="s">
        <v>432</v>
      </c>
      <c r="G123" s="562" t="s">
        <v>477</v>
      </c>
    </row>
    <row r="124" spans="1:15">
      <c r="B124" s="555" t="s">
        <v>97</v>
      </c>
      <c r="C124" s="556" t="s">
        <v>98</v>
      </c>
      <c r="D124" s="555" t="s">
        <v>99</v>
      </c>
      <c r="E124" s="556" t="s">
        <v>100</v>
      </c>
      <c r="G124" s="555" t="s">
        <v>97</v>
      </c>
      <c r="H124" s="556" t="s">
        <v>98</v>
      </c>
      <c r="I124" s="555" t="s">
        <v>99</v>
      </c>
      <c r="J124" s="556" t="s">
        <v>100</v>
      </c>
    </row>
    <row r="125" spans="1:15">
      <c r="A125" s="549">
        <v>1</v>
      </c>
      <c r="B125" s="558" t="s">
        <v>10</v>
      </c>
      <c r="C125" s="541">
        <v>29919</v>
      </c>
      <c r="D125" s="560" t="s">
        <v>163</v>
      </c>
      <c r="E125" s="541">
        <v>12794</v>
      </c>
      <c r="G125" s="558" t="s">
        <v>244</v>
      </c>
      <c r="H125" s="541">
        <v>615414</v>
      </c>
      <c r="I125" s="558" t="s">
        <v>444</v>
      </c>
      <c r="J125" s="541">
        <v>385460</v>
      </c>
    </row>
    <row r="126" spans="1:15">
      <c r="A126" s="549">
        <v>2</v>
      </c>
      <c r="B126" s="558" t="s">
        <v>256</v>
      </c>
      <c r="C126" s="541">
        <v>26591</v>
      </c>
      <c r="D126" s="560"/>
      <c r="E126" s="541"/>
      <c r="G126" s="558" t="s">
        <v>256</v>
      </c>
      <c r="H126" s="541">
        <v>197706</v>
      </c>
      <c r="I126" s="558" t="s">
        <v>237</v>
      </c>
      <c r="J126" s="541">
        <v>234313</v>
      </c>
    </row>
    <row r="127" spans="1:15">
      <c r="A127" s="549">
        <v>3</v>
      </c>
      <c r="B127" s="558" t="s">
        <v>244</v>
      </c>
      <c r="C127" s="541">
        <v>24944</v>
      </c>
      <c r="E127" s="541"/>
      <c r="G127" s="558" t="s">
        <v>440</v>
      </c>
      <c r="H127" s="541">
        <v>170954</v>
      </c>
      <c r="I127" s="558" t="s">
        <v>441</v>
      </c>
      <c r="J127" s="541">
        <v>17125</v>
      </c>
    </row>
    <row r="128" spans="1:15">
      <c r="A128" s="549">
        <v>4</v>
      </c>
      <c r="B128" s="558" t="s">
        <v>9</v>
      </c>
      <c r="C128" s="541">
        <v>19418</v>
      </c>
      <c r="D128" s="558"/>
      <c r="E128" s="541"/>
      <c r="G128" s="558" t="s">
        <v>443</v>
      </c>
      <c r="H128" s="541">
        <v>146560</v>
      </c>
      <c r="I128" s="560" t="s">
        <v>439</v>
      </c>
      <c r="J128" s="541">
        <v>15121</v>
      </c>
    </row>
    <row r="129" spans="1:15">
      <c r="A129" s="549">
        <v>5</v>
      </c>
      <c r="B129" s="558" t="s">
        <v>440</v>
      </c>
      <c r="C129" s="541">
        <v>14832</v>
      </c>
      <c r="D129" s="558"/>
      <c r="E129" s="541"/>
      <c r="G129" s="558" t="s">
        <v>268</v>
      </c>
      <c r="H129" s="541">
        <v>136542</v>
      </c>
      <c r="I129" s="560" t="s">
        <v>440</v>
      </c>
      <c r="J129" s="541">
        <v>4523</v>
      </c>
    </row>
    <row r="130" spans="1:15">
      <c r="A130" s="549">
        <v>6</v>
      </c>
      <c r="B130" s="558" t="s">
        <v>518</v>
      </c>
      <c r="C130" s="541">
        <v>13118</v>
      </c>
      <c r="D130" s="558"/>
      <c r="E130" s="541"/>
      <c r="G130" s="558" t="s">
        <v>444</v>
      </c>
      <c r="H130" s="541">
        <v>114344</v>
      </c>
      <c r="I130" s="558" t="s">
        <v>10</v>
      </c>
      <c r="J130" s="541">
        <v>2649</v>
      </c>
    </row>
    <row r="131" spans="1:15">
      <c r="A131" s="549">
        <v>7</v>
      </c>
      <c r="B131" s="558" t="s">
        <v>444</v>
      </c>
      <c r="C131" s="541">
        <v>7561</v>
      </c>
      <c r="D131" s="558"/>
      <c r="E131" s="541"/>
      <c r="G131" s="558" t="s">
        <v>243</v>
      </c>
      <c r="H131" s="541">
        <v>88402</v>
      </c>
      <c r="I131" s="558"/>
      <c r="J131" s="541"/>
    </row>
    <row r="132" spans="1:15">
      <c r="A132" s="549">
        <v>8</v>
      </c>
      <c r="B132" s="558" t="s">
        <v>237</v>
      </c>
      <c r="C132" s="541">
        <v>7269</v>
      </c>
      <c r="D132" s="558"/>
      <c r="E132" s="541"/>
      <c r="G132" s="558" t="s">
        <v>10</v>
      </c>
      <c r="H132" s="541">
        <v>72890</v>
      </c>
      <c r="I132" s="558"/>
      <c r="J132" s="541"/>
    </row>
    <row r="133" spans="1:15">
      <c r="A133" s="549">
        <v>9</v>
      </c>
      <c r="B133" s="558" t="s">
        <v>445</v>
      </c>
      <c r="C133" s="541">
        <v>4943</v>
      </c>
      <c r="D133" s="558"/>
      <c r="E133" s="541"/>
      <c r="G133" s="558" t="s">
        <v>9</v>
      </c>
      <c r="H133" s="541">
        <v>68401</v>
      </c>
      <c r="I133" s="558"/>
      <c r="J133" s="541"/>
    </row>
    <row r="134" spans="1:15">
      <c r="A134" s="549">
        <v>10</v>
      </c>
      <c r="B134" s="558" t="s">
        <v>6</v>
      </c>
      <c r="C134" s="541">
        <v>2843</v>
      </c>
      <c r="D134" s="571"/>
      <c r="E134" s="546"/>
      <c r="G134" s="558" t="s">
        <v>441</v>
      </c>
      <c r="H134" s="541">
        <v>49014</v>
      </c>
      <c r="I134" s="558"/>
      <c r="J134" s="541"/>
    </row>
    <row r="135" spans="1:15">
      <c r="B135" s="560" t="s">
        <v>425</v>
      </c>
      <c r="C135" s="541">
        <f>C136-SUM(C125:C134)</f>
        <v>5718</v>
      </c>
      <c r="D135" s="558" t="s">
        <v>101</v>
      </c>
      <c r="E135" s="541">
        <f>E136-SUM(E125:E134)</f>
        <v>0</v>
      </c>
      <c r="G135" s="558" t="s">
        <v>101</v>
      </c>
      <c r="H135" s="541">
        <f>H136-SUM(H125:H134)</f>
        <v>223584</v>
      </c>
      <c r="I135" s="558" t="s">
        <v>101</v>
      </c>
      <c r="J135" s="541">
        <f>J136-SUM(J125:J134)</f>
        <v>0</v>
      </c>
    </row>
    <row r="136" spans="1:15">
      <c r="B136" s="558" t="s">
        <v>102</v>
      </c>
      <c r="C136" s="541">
        <v>157156</v>
      </c>
      <c r="D136" s="558" t="s">
        <v>102</v>
      </c>
      <c r="E136" s="541">
        <v>12794</v>
      </c>
      <c r="G136" s="558" t="s">
        <v>102</v>
      </c>
      <c r="H136" s="541">
        <v>1883811</v>
      </c>
      <c r="I136" s="558" t="s">
        <v>102</v>
      </c>
      <c r="J136" s="541">
        <v>659191</v>
      </c>
    </row>
    <row r="138" spans="1:15">
      <c r="B138" s="562" t="s">
        <v>433</v>
      </c>
      <c r="G138" s="553" t="s">
        <v>478</v>
      </c>
      <c r="L138" s="568"/>
      <c r="M138" s="568"/>
      <c r="N138" s="568"/>
      <c r="O138" s="568"/>
    </row>
    <row r="139" spans="1:15">
      <c r="B139" s="555" t="s">
        <v>97</v>
      </c>
      <c r="C139" s="556" t="s">
        <v>98</v>
      </c>
      <c r="D139" s="555" t="s">
        <v>99</v>
      </c>
      <c r="E139" s="556" t="s">
        <v>100</v>
      </c>
      <c r="G139" s="555" t="s">
        <v>97</v>
      </c>
      <c r="H139" s="556" t="s">
        <v>98</v>
      </c>
      <c r="I139" s="555" t="s">
        <v>99</v>
      </c>
      <c r="J139" s="556" t="s">
        <v>100</v>
      </c>
      <c r="L139" s="568"/>
      <c r="M139" s="568"/>
      <c r="N139" s="568"/>
      <c r="O139" s="568"/>
    </row>
    <row r="140" spans="1:15">
      <c r="A140" s="549">
        <v>1</v>
      </c>
      <c r="B140" s="560" t="s">
        <v>244</v>
      </c>
      <c r="C140" s="541">
        <v>1413928</v>
      </c>
      <c r="D140" s="558" t="s">
        <v>237</v>
      </c>
      <c r="E140" s="541">
        <v>1213697</v>
      </c>
      <c r="G140" s="558" t="s">
        <v>244</v>
      </c>
      <c r="H140" s="541">
        <v>809206</v>
      </c>
      <c r="I140" s="558" t="s">
        <v>237</v>
      </c>
      <c r="J140" s="541">
        <v>2020481</v>
      </c>
      <c r="L140" s="568"/>
      <c r="M140" s="568"/>
      <c r="N140" s="568"/>
      <c r="O140" s="568"/>
    </row>
    <row r="141" spans="1:15">
      <c r="A141" s="549">
        <v>2</v>
      </c>
      <c r="B141" s="560" t="s">
        <v>243</v>
      </c>
      <c r="C141" s="541">
        <v>1051343</v>
      </c>
      <c r="D141" s="558" t="s">
        <v>444</v>
      </c>
      <c r="E141" s="541">
        <v>10907</v>
      </c>
      <c r="G141" s="558" t="s">
        <v>243</v>
      </c>
      <c r="H141" s="541">
        <v>599385</v>
      </c>
      <c r="I141" s="558" t="s">
        <v>444</v>
      </c>
      <c r="J141" s="541">
        <v>238578</v>
      </c>
      <c r="L141" s="568"/>
      <c r="M141" s="568"/>
      <c r="N141" s="568"/>
      <c r="O141" s="568"/>
    </row>
    <row r="142" spans="1:15">
      <c r="A142" s="549">
        <v>3</v>
      </c>
      <c r="B142" s="560" t="s">
        <v>440</v>
      </c>
      <c r="C142" s="541">
        <v>632570</v>
      </c>
      <c r="D142" s="558" t="s">
        <v>439</v>
      </c>
      <c r="E142" s="541">
        <v>9079</v>
      </c>
      <c r="G142" s="558" t="s">
        <v>440</v>
      </c>
      <c r="H142" s="541">
        <v>502260</v>
      </c>
      <c r="I142" s="558" t="s">
        <v>446</v>
      </c>
      <c r="J142" s="541">
        <v>108626</v>
      </c>
      <c r="L142" s="568"/>
      <c r="M142" s="568"/>
      <c r="N142" s="568"/>
      <c r="O142" s="568"/>
    </row>
    <row r="143" spans="1:15">
      <c r="A143" s="549">
        <v>4</v>
      </c>
      <c r="B143" s="560" t="s">
        <v>237</v>
      </c>
      <c r="C143" s="541">
        <v>326397</v>
      </c>
      <c r="D143" s="560" t="s">
        <v>440</v>
      </c>
      <c r="E143" s="541">
        <v>5493</v>
      </c>
      <c r="G143" s="558" t="s">
        <v>10</v>
      </c>
      <c r="H143" s="541">
        <v>362909</v>
      </c>
      <c r="I143" s="558" t="s">
        <v>440</v>
      </c>
      <c r="J143" s="541">
        <v>8788</v>
      </c>
      <c r="L143" s="568"/>
      <c r="M143" s="568"/>
      <c r="N143" s="568"/>
      <c r="O143" s="568"/>
    </row>
    <row r="144" spans="1:15">
      <c r="A144" s="549">
        <v>5</v>
      </c>
      <c r="B144" s="560" t="s">
        <v>444</v>
      </c>
      <c r="C144" s="541">
        <v>312309</v>
      </c>
      <c r="D144" s="558" t="s">
        <v>443</v>
      </c>
      <c r="E144" s="541">
        <v>3748</v>
      </c>
      <c r="G144" s="558" t="s">
        <v>441</v>
      </c>
      <c r="H144" s="541">
        <v>261874</v>
      </c>
      <c r="I144" s="558" t="s">
        <v>439</v>
      </c>
      <c r="J144" s="541">
        <v>3199</v>
      </c>
      <c r="L144" s="568"/>
      <c r="M144" s="568"/>
      <c r="N144" s="568"/>
      <c r="O144" s="568"/>
    </row>
    <row r="145" spans="1:15">
      <c r="A145" s="549">
        <v>6</v>
      </c>
      <c r="B145" s="560" t="s">
        <v>9</v>
      </c>
      <c r="C145" s="541">
        <v>292730</v>
      </c>
      <c r="D145" s="558" t="s">
        <v>446</v>
      </c>
      <c r="E145" s="541">
        <v>2940</v>
      </c>
      <c r="G145" s="558" t="s">
        <v>237</v>
      </c>
      <c r="H145" s="541">
        <v>254962</v>
      </c>
      <c r="I145" s="558" t="s">
        <v>441</v>
      </c>
      <c r="J145" s="541">
        <v>194</v>
      </c>
      <c r="L145" s="568"/>
      <c r="M145" s="568"/>
      <c r="N145" s="568"/>
      <c r="O145" s="568"/>
    </row>
    <row r="146" spans="1:15">
      <c r="A146" s="549">
        <v>7</v>
      </c>
      <c r="B146" s="560" t="s">
        <v>443</v>
      </c>
      <c r="C146" s="541">
        <v>249888</v>
      </c>
      <c r="D146" s="558" t="s">
        <v>448</v>
      </c>
      <c r="E146" s="541">
        <v>1228</v>
      </c>
      <c r="G146" s="558" t="s">
        <v>443</v>
      </c>
      <c r="H146" s="541">
        <v>203295</v>
      </c>
      <c r="I146" s="558" t="s">
        <v>382</v>
      </c>
      <c r="J146" s="541">
        <v>97</v>
      </c>
      <c r="L146" s="568"/>
      <c r="M146" s="568"/>
      <c r="N146" s="568"/>
      <c r="O146" s="568"/>
    </row>
    <row r="147" spans="1:15">
      <c r="A147" s="549">
        <v>8</v>
      </c>
      <c r="B147" s="560" t="s">
        <v>441</v>
      </c>
      <c r="C147" s="541">
        <v>148885</v>
      </c>
      <c r="D147" s="558"/>
      <c r="E147" s="541"/>
      <c r="G147" s="558" t="s">
        <v>9</v>
      </c>
      <c r="H147" s="541">
        <v>175896</v>
      </c>
      <c r="I147" s="558"/>
      <c r="J147" s="541"/>
      <c r="L147" s="568"/>
      <c r="M147" s="568"/>
      <c r="N147" s="568"/>
      <c r="O147" s="568"/>
    </row>
    <row r="148" spans="1:15">
      <c r="A148" s="549">
        <v>9</v>
      </c>
      <c r="B148" s="560" t="s">
        <v>265</v>
      </c>
      <c r="C148" s="541">
        <v>131826</v>
      </c>
      <c r="D148" s="558"/>
      <c r="E148" s="541"/>
      <c r="G148" s="558" t="s">
        <v>256</v>
      </c>
      <c r="H148" s="541">
        <v>154086</v>
      </c>
      <c r="I148" s="558"/>
      <c r="J148" s="541"/>
      <c r="L148" s="568"/>
      <c r="M148" s="568"/>
      <c r="N148" s="568"/>
      <c r="O148" s="568"/>
    </row>
    <row r="149" spans="1:15">
      <c r="A149" s="549">
        <v>10</v>
      </c>
      <c r="B149" s="560" t="s">
        <v>254</v>
      </c>
      <c r="C149" s="541">
        <v>131341</v>
      </c>
      <c r="D149" s="558"/>
      <c r="E149" s="541"/>
      <c r="G149" s="558" t="s">
        <v>6</v>
      </c>
      <c r="H149" s="541">
        <v>125882</v>
      </c>
      <c r="I149" s="558"/>
      <c r="J149" s="541"/>
      <c r="L149" s="568"/>
      <c r="M149" s="568"/>
      <c r="N149" s="568"/>
      <c r="O149" s="568"/>
    </row>
    <row r="150" spans="1:15">
      <c r="B150" s="558" t="s">
        <v>415</v>
      </c>
      <c r="C150" s="541">
        <f>C151-SUM(C139:C149)</f>
        <v>902166</v>
      </c>
      <c r="D150" s="558" t="s">
        <v>101</v>
      </c>
      <c r="E150" s="541">
        <f>E151-SUM(E140:E149)</f>
        <v>0</v>
      </c>
      <c r="G150" s="558" t="s">
        <v>415</v>
      </c>
      <c r="H150" s="541">
        <f>H151-SUM(H140:H149)</f>
        <v>779159</v>
      </c>
      <c r="I150" s="558" t="s">
        <v>101</v>
      </c>
      <c r="J150" s="541">
        <f>J151-SUM(J140:J149)</f>
        <v>0</v>
      </c>
      <c r="L150" s="568"/>
      <c r="M150" s="568"/>
      <c r="N150" s="568"/>
      <c r="O150" s="568"/>
    </row>
    <row r="151" spans="1:15">
      <c r="B151" s="558" t="s">
        <v>102</v>
      </c>
      <c r="C151" s="541">
        <v>5593383</v>
      </c>
      <c r="D151" s="558" t="s">
        <v>102</v>
      </c>
      <c r="E151" s="541">
        <v>1247092</v>
      </c>
      <c r="G151" s="558" t="s">
        <v>102</v>
      </c>
      <c r="H151" s="541">
        <v>4228914</v>
      </c>
      <c r="I151" s="558" t="s">
        <v>102</v>
      </c>
      <c r="J151" s="541">
        <v>2379963</v>
      </c>
      <c r="L151" s="568"/>
      <c r="M151" s="568"/>
      <c r="N151" s="568"/>
      <c r="O151" s="568"/>
    </row>
    <row r="153" spans="1:15">
      <c r="B153" s="553" t="s">
        <v>434</v>
      </c>
      <c r="G153" s="553" t="s">
        <v>435</v>
      </c>
    </row>
    <row r="154" spans="1:15">
      <c r="B154" s="555" t="s">
        <v>97</v>
      </c>
      <c r="C154" s="556" t="s">
        <v>98</v>
      </c>
      <c r="D154" s="555" t="s">
        <v>99</v>
      </c>
      <c r="E154" s="556" t="s">
        <v>100</v>
      </c>
      <c r="G154" s="555" t="s">
        <v>97</v>
      </c>
      <c r="H154" s="556" t="s">
        <v>98</v>
      </c>
      <c r="I154" s="555" t="s">
        <v>99</v>
      </c>
      <c r="J154" s="556" t="s">
        <v>100</v>
      </c>
    </row>
    <row r="155" spans="1:15">
      <c r="A155" s="549">
        <v>1</v>
      </c>
      <c r="B155" s="558" t="s">
        <v>440</v>
      </c>
      <c r="C155" s="541">
        <v>2325204</v>
      </c>
      <c r="D155" s="558" t="s">
        <v>444</v>
      </c>
      <c r="E155" s="541">
        <v>753050</v>
      </c>
      <c r="G155" s="558" t="s">
        <v>440</v>
      </c>
      <c r="H155" s="541">
        <v>638096</v>
      </c>
      <c r="I155" s="560" t="s">
        <v>444</v>
      </c>
      <c r="J155" s="541">
        <v>141227</v>
      </c>
    </row>
    <row r="156" spans="1:15">
      <c r="A156" s="549">
        <v>2</v>
      </c>
      <c r="B156" s="558" t="s">
        <v>244</v>
      </c>
      <c r="C156" s="541">
        <v>1485072</v>
      </c>
      <c r="D156" s="558" t="s">
        <v>447</v>
      </c>
      <c r="E156" s="541">
        <v>399256</v>
      </c>
      <c r="G156" s="558" t="s">
        <v>237</v>
      </c>
      <c r="H156" s="541">
        <v>28756</v>
      </c>
      <c r="I156" s="560" t="s">
        <v>237</v>
      </c>
      <c r="J156" s="541">
        <v>84589</v>
      </c>
    </row>
    <row r="157" spans="1:15">
      <c r="A157" s="549">
        <v>3</v>
      </c>
      <c r="B157" s="558" t="s">
        <v>237</v>
      </c>
      <c r="C157" s="541">
        <v>774926</v>
      </c>
      <c r="D157" s="558" t="s">
        <v>237</v>
      </c>
      <c r="E157" s="541">
        <v>268272</v>
      </c>
      <c r="G157" s="558" t="s">
        <v>382</v>
      </c>
      <c r="H157" s="541">
        <v>26107</v>
      </c>
      <c r="I157" s="560" t="s">
        <v>244</v>
      </c>
      <c r="J157" s="541">
        <v>5945</v>
      </c>
    </row>
    <row r="158" spans="1:15">
      <c r="A158" s="549">
        <v>4</v>
      </c>
      <c r="B158" s="558" t="s">
        <v>9</v>
      </c>
      <c r="C158" s="541">
        <v>727334</v>
      </c>
      <c r="D158" s="558" t="s">
        <v>244</v>
      </c>
      <c r="E158" s="541">
        <v>255638</v>
      </c>
      <c r="G158" s="558" t="s">
        <v>384</v>
      </c>
      <c r="H158" s="541">
        <v>21421</v>
      </c>
      <c r="I158" s="558" t="s">
        <v>447</v>
      </c>
      <c r="J158" s="541">
        <v>3292</v>
      </c>
    </row>
    <row r="159" spans="1:15">
      <c r="A159" s="549">
        <v>5</v>
      </c>
      <c r="B159" s="558" t="s">
        <v>245</v>
      </c>
      <c r="C159" s="541">
        <v>388045</v>
      </c>
      <c r="D159" s="558" t="s">
        <v>10</v>
      </c>
      <c r="E159" s="541">
        <v>64846</v>
      </c>
      <c r="G159" s="558" t="s">
        <v>243</v>
      </c>
      <c r="H159" s="541">
        <v>14572</v>
      </c>
      <c r="I159" s="558" t="s">
        <v>439</v>
      </c>
      <c r="J159" s="541">
        <v>3199</v>
      </c>
    </row>
    <row r="160" spans="1:15">
      <c r="A160" s="549">
        <v>6</v>
      </c>
      <c r="B160" s="558" t="s">
        <v>243</v>
      </c>
      <c r="C160" s="541">
        <v>247141</v>
      </c>
      <c r="D160" s="558" t="s">
        <v>245</v>
      </c>
      <c r="E160" s="541">
        <v>28659</v>
      </c>
      <c r="G160" s="558" t="s">
        <v>12</v>
      </c>
      <c r="H160" s="541">
        <v>13086</v>
      </c>
      <c r="I160" s="558"/>
      <c r="J160" s="541"/>
    </row>
    <row r="161" spans="1:10">
      <c r="A161" s="549">
        <v>7</v>
      </c>
      <c r="B161" s="558" t="s">
        <v>384</v>
      </c>
      <c r="C161" s="541">
        <v>217222</v>
      </c>
      <c r="D161" s="558" t="s">
        <v>448</v>
      </c>
      <c r="E161" s="541">
        <v>15477</v>
      </c>
      <c r="G161" s="558" t="s">
        <v>441</v>
      </c>
      <c r="H161" s="541">
        <v>10469</v>
      </c>
      <c r="I161" s="558"/>
      <c r="J161" s="541"/>
    </row>
    <row r="162" spans="1:10">
      <c r="A162" s="549">
        <v>8</v>
      </c>
      <c r="B162" s="558" t="s">
        <v>443</v>
      </c>
      <c r="C162" s="541">
        <v>196123</v>
      </c>
      <c r="D162" s="558" t="s">
        <v>439</v>
      </c>
      <c r="E162" s="541">
        <v>3586</v>
      </c>
      <c r="G162" s="558" t="s">
        <v>6</v>
      </c>
      <c r="H162" s="541">
        <v>9176</v>
      </c>
      <c r="I162" s="558"/>
      <c r="J162" s="541"/>
    </row>
    <row r="163" spans="1:10">
      <c r="A163" s="549">
        <v>9</v>
      </c>
      <c r="B163" s="558" t="s">
        <v>253</v>
      </c>
      <c r="C163" s="541">
        <v>164491</v>
      </c>
      <c r="D163" s="558" t="s">
        <v>382</v>
      </c>
      <c r="E163" s="541">
        <v>2520</v>
      </c>
      <c r="G163" s="558" t="s">
        <v>442</v>
      </c>
      <c r="H163" s="541">
        <v>4620</v>
      </c>
      <c r="I163" s="558"/>
      <c r="J163" s="541"/>
    </row>
    <row r="164" spans="1:10">
      <c r="A164" s="549">
        <v>10</v>
      </c>
      <c r="B164" s="558" t="s">
        <v>442</v>
      </c>
      <c r="C164" s="541">
        <v>156931</v>
      </c>
      <c r="D164" s="558" t="s">
        <v>15</v>
      </c>
      <c r="E164" s="541">
        <v>2132</v>
      </c>
      <c r="G164" s="558" t="s">
        <v>259</v>
      </c>
      <c r="H164" s="541">
        <v>3296</v>
      </c>
      <c r="I164" s="558"/>
      <c r="J164" s="541"/>
    </row>
    <row r="165" spans="1:10">
      <c r="B165" s="558" t="s">
        <v>436</v>
      </c>
      <c r="C165" s="541">
        <f>C166-SUM(C155:C164)</f>
        <v>964624</v>
      </c>
      <c r="D165" s="558" t="s">
        <v>415</v>
      </c>
      <c r="E165" s="541">
        <f>E166-SUM(E155:E164)</f>
        <v>2068</v>
      </c>
      <c r="G165" s="558" t="s">
        <v>101</v>
      </c>
      <c r="H165" s="541">
        <f>H166-SUM(H155:H164)</f>
        <v>11050</v>
      </c>
      <c r="I165" s="558" t="s">
        <v>101</v>
      </c>
      <c r="J165" s="541">
        <f>J166-SUM(J155:J164)</f>
        <v>0</v>
      </c>
    </row>
    <row r="166" spans="1:10">
      <c r="B166" s="558" t="s">
        <v>102</v>
      </c>
      <c r="C166" s="541">
        <v>7647113</v>
      </c>
      <c r="D166" s="558" t="s">
        <v>102</v>
      </c>
      <c r="E166" s="541">
        <v>1795504</v>
      </c>
      <c r="G166" s="558" t="s">
        <v>102</v>
      </c>
      <c r="H166" s="541">
        <v>780649</v>
      </c>
      <c r="I166" s="558" t="s">
        <v>102</v>
      </c>
      <c r="J166" s="541">
        <v>238252</v>
      </c>
    </row>
    <row r="167" spans="1:10" ht="6.75" customHeight="1">
      <c r="B167" s="564"/>
    </row>
    <row r="168" spans="1:10">
      <c r="B168" s="572" t="s">
        <v>459</v>
      </c>
      <c r="C168" s="570"/>
      <c r="D168" s="568"/>
      <c r="E168" s="570"/>
      <c r="F168" s="568"/>
      <c r="G168" s="568"/>
      <c r="H168" s="570"/>
      <c r="I168" s="568"/>
      <c r="J168" s="570"/>
    </row>
    <row r="169" spans="1:10">
      <c r="B169" s="568"/>
      <c r="C169" s="570"/>
      <c r="D169" s="568"/>
      <c r="E169" s="570"/>
      <c r="F169" s="568"/>
      <c r="G169" s="568"/>
      <c r="H169" s="570"/>
      <c r="I169" s="568"/>
      <c r="J169" s="570"/>
    </row>
    <row r="170" spans="1:10">
      <c r="B170" s="568"/>
      <c r="C170" s="570"/>
      <c r="D170" s="568"/>
      <c r="E170" s="570"/>
      <c r="F170" s="568"/>
      <c r="G170" s="568"/>
      <c r="H170" s="570"/>
      <c r="I170" s="568"/>
      <c r="J170" s="570"/>
    </row>
    <row r="171" spans="1:10">
      <c r="B171" s="568"/>
      <c r="C171" s="570"/>
      <c r="D171" s="568"/>
      <c r="E171" s="570"/>
      <c r="F171" s="568"/>
      <c r="G171" s="568"/>
      <c r="H171" s="570"/>
      <c r="I171" s="568"/>
      <c r="J171" s="570"/>
    </row>
    <row r="172" spans="1:10">
      <c r="B172" s="568"/>
      <c r="C172" s="570"/>
      <c r="D172" s="568"/>
      <c r="E172" s="570"/>
      <c r="F172" s="568"/>
      <c r="G172" s="568"/>
      <c r="H172" s="570"/>
      <c r="I172" s="568"/>
      <c r="J172" s="570"/>
    </row>
    <row r="173" spans="1:10">
      <c r="B173" s="568"/>
      <c r="C173" s="570"/>
      <c r="D173" s="568"/>
      <c r="E173" s="570"/>
      <c r="F173" s="568"/>
      <c r="G173" s="568"/>
      <c r="H173" s="570"/>
      <c r="I173" s="568"/>
      <c r="J173" s="570"/>
    </row>
    <row r="174" spans="1:10">
      <c r="B174" s="568"/>
      <c r="C174" s="570"/>
      <c r="D174" s="568"/>
      <c r="E174" s="570"/>
      <c r="F174" s="568"/>
      <c r="G174" s="568"/>
      <c r="H174" s="570"/>
      <c r="I174" s="568"/>
      <c r="J174" s="570"/>
    </row>
    <row r="175" spans="1:10">
      <c r="B175" s="568"/>
      <c r="C175" s="570"/>
      <c r="D175" s="568"/>
      <c r="E175" s="570"/>
      <c r="F175" s="568"/>
      <c r="G175" s="568"/>
      <c r="H175" s="570"/>
      <c r="I175" s="568"/>
      <c r="J175" s="570"/>
    </row>
    <row r="176" spans="1:10">
      <c r="B176" s="568"/>
      <c r="C176" s="570"/>
      <c r="D176" s="568"/>
      <c r="E176" s="570"/>
      <c r="F176" s="568"/>
      <c r="G176" s="568"/>
      <c r="H176" s="570"/>
      <c r="I176" s="568"/>
      <c r="J176" s="570"/>
    </row>
    <row r="177" spans="2:10">
      <c r="B177" s="568"/>
      <c r="C177" s="570"/>
      <c r="D177" s="568"/>
      <c r="E177" s="570"/>
      <c r="F177" s="568"/>
      <c r="G177" s="568"/>
      <c r="H177" s="570"/>
      <c r="I177" s="568"/>
      <c r="J177" s="570"/>
    </row>
    <row r="178" spans="2:10">
      <c r="B178" s="568"/>
      <c r="C178" s="570"/>
      <c r="D178" s="568"/>
      <c r="E178" s="570"/>
      <c r="F178" s="568"/>
      <c r="G178" s="568"/>
      <c r="H178" s="570"/>
      <c r="I178" s="568"/>
      <c r="J178" s="570"/>
    </row>
    <row r="179" spans="2:10">
      <c r="B179" s="568"/>
      <c r="C179" s="570"/>
      <c r="D179" s="568"/>
      <c r="E179" s="570"/>
      <c r="F179" s="568"/>
      <c r="G179" s="568"/>
      <c r="H179" s="570"/>
      <c r="I179" s="568"/>
      <c r="J179" s="570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5" customWidth="1"/>
    <col min="5" max="5" width="13.25" style="5" customWidth="1"/>
    <col min="6" max="6" width="13.25" style="56" customWidth="1"/>
    <col min="7" max="7" width="11.125" style="105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71" t="s">
        <v>492</v>
      </c>
      <c r="B1" s="124"/>
      <c r="C1" s="125"/>
      <c r="D1" s="126"/>
      <c r="E1" s="124"/>
      <c r="F1" s="125"/>
      <c r="G1" s="126"/>
    </row>
    <row r="2" spans="1:7" ht="6" customHeight="1"/>
    <row r="3" spans="1:7" s="117" customFormat="1">
      <c r="A3" s="127" t="s">
        <v>410</v>
      </c>
      <c r="B3" s="128"/>
      <c r="C3" s="129"/>
      <c r="D3" s="130"/>
      <c r="E3" s="128"/>
      <c r="F3" s="131"/>
      <c r="G3" s="132"/>
    </row>
    <row r="4" spans="1:7">
      <c r="A4" s="133" t="s">
        <v>454</v>
      </c>
      <c r="B4" s="65"/>
      <c r="C4" s="134"/>
      <c r="D4" s="135"/>
      <c r="E4" s="65"/>
      <c r="F4" s="136"/>
      <c r="G4" s="137"/>
    </row>
    <row r="5" spans="1:7">
      <c r="A5" s="576" t="s">
        <v>49</v>
      </c>
      <c r="B5" s="138" t="s">
        <v>50</v>
      </c>
      <c r="C5" s="139"/>
      <c r="D5" s="140"/>
      <c r="E5" s="141" t="s">
        <v>51</v>
      </c>
      <c r="F5" s="139"/>
      <c r="G5" s="140"/>
    </row>
    <row r="6" spans="1:7">
      <c r="A6" s="577"/>
      <c r="B6" s="516" t="s">
        <v>468</v>
      </c>
      <c r="C6" s="517" t="s">
        <v>471</v>
      </c>
      <c r="D6" s="518" t="s">
        <v>470</v>
      </c>
      <c r="E6" s="516" t="s">
        <v>468</v>
      </c>
      <c r="F6" s="517" t="s">
        <v>471</v>
      </c>
      <c r="G6" s="518" t="s">
        <v>470</v>
      </c>
    </row>
    <row r="7" spans="1:7">
      <c r="A7" s="31">
        <v>1</v>
      </c>
      <c r="B7" s="356">
        <v>52420</v>
      </c>
      <c r="C7" s="362">
        <v>74922</v>
      </c>
      <c r="D7" s="465">
        <f>IFERROR((B7-C7)/C7,0)</f>
        <v>-0.30033901924668321</v>
      </c>
      <c r="E7" s="466">
        <v>48431613</v>
      </c>
      <c r="F7" s="362">
        <v>84131970</v>
      </c>
      <c r="G7" s="465">
        <f>IFERROR((E7-F7)/F7,0)</f>
        <v>-0.42433758534359767</v>
      </c>
    </row>
    <row r="8" spans="1:7">
      <c r="A8" s="31">
        <v>2</v>
      </c>
      <c r="B8" s="356">
        <v>69917</v>
      </c>
      <c r="C8" s="362">
        <v>71119</v>
      </c>
      <c r="D8" s="465">
        <f>IFERROR((B8-C8)/C8,0)</f>
        <v>-1.6901250017576176E-2</v>
      </c>
      <c r="E8" s="466">
        <v>73872480</v>
      </c>
      <c r="F8" s="362">
        <v>75549991</v>
      </c>
      <c r="G8" s="465">
        <f t="shared" ref="G8:G18" si="0">IFERROR((E8-F8)/F8,0)</f>
        <v>-2.2203986761560303E-2</v>
      </c>
    </row>
    <row r="9" spans="1:7">
      <c r="A9" s="31">
        <v>3</v>
      </c>
      <c r="B9" s="356">
        <v>61385</v>
      </c>
      <c r="C9" s="362">
        <v>86310</v>
      </c>
      <c r="D9" s="465">
        <f t="shared" ref="D9:D18" si="1">IFERROR((B9-C9)/C9,0)</f>
        <v>-0.28878461360213187</v>
      </c>
      <c r="E9" s="466">
        <v>59684721</v>
      </c>
      <c r="F9" s="362">
        <v>92588841</v>
      </c>
      <c r="G9" s="465">
        <f t="shared" si="0"/>
        <v>-0.35537889495776276</v>
      </c>
    </row>
    <row r="10" spans="1:7">
      <c r="A10" s="31">
        <v>4</v>
      </c>
      <c r="B10" s="360">
        <v>51468</v>
      </c>
      <c r="C10" s="359">
        <v>71548</v>
      </c>
      <c r="D10" s="465">
        <f t="shared" si="1"/>
        <v>-0.28065075194275174</v>
      </c>
      <c r="E10" s="466">
        <v>44310885</v>
      </c>
      <c r="F10" s="359">
        <v>79101984</v>
      </c>
      <c r="G10" s="465">
        <f t="shared" si="0"/>
        <v>-0.43982587086564101</v>
      </c>
    </row>
    <row r="11" spans="1:7">
      <c r="A11" s="31">
        <v>5</v>
      </c>
      <c r="B11" s="356">
        <v>49575</v>
      </c>
      <c r="C11" s="548">
        <v>68033</v>
      </c>
      <c r="D11" s="465">
        <f t="shared" si="1"/>
        <v>-0.27130951156056621</v>
      </c>
      <c r="E11" s="466">
        <v>61771181</v>
      </c>
      <c r="F11" s="548">
        <v>81820830</v>
      </c>
      <c r="G11" s="465">
        <f t="shared" si="0"/>
        <v>-0.24504333431963474</v>
      </c>
    </row>
    <row r="12" spans="1:7">
      <c r="A12" s="31">
        <v>6</v>
      </c>
      <c r="B12" s="356"/>
      <c r="C12" s="362"/>
      <c r="D12" s="465">
        <f t="shared" si="1"/>
        <v>0</v>
      </c>
      <c r="E12" s="466"/>
      <c r="F12" s="362"/>
      <c r="G12" s="465">
        <f t="shared" si="0"/>
        <v>0</v>
      </c>
    </row>
    <row r="13" spans="1:7">
      <c r="A13" s="31">
        <v>7</v>
      </c>
      <c r="B13" s="356"/>
      <c r="C13" s="362"/>
      <c r="D13" s="465">
        <f t="shared" si="1"/>
        <v>0</v>
      </c>
      <c r="E13" s="466"/>
      <c r="F13" s="362"/>
      <c r="G13" s="465">
        <f t="shared" si="0"/>
        <v>0</v>
      </c>
    </row>
    <row r="14" spans="1:7">
      <c r="A14" s="31">
        <v>8</v>
      </c>
      <c r="B14" s="356"/>
      <c r="C14" s="362"/>
      <c r="D14" s="465">
        <f t="shared" si="1"/>
        <v>0</v>
      </c>
      <c r="E14" s="466"/>
      <c r="F14" s="362"/>
      <c r="G14" s="465">
        <f t="shared" si="0"/>
        <v>0</v>
      </c>
    </row>
    <row r="15" spans="1:7">
      <c r="A15" s="31">
        <v>9</v>
      </c>
      <c r="B15" s="27"/>
      <c r="C15" s="87"/>
      <c r="D15" s="465">
        <f t="shared" si="1"/>
        <v>0</v>
      </c>
      <c r="E15" s="466"/>
      <c r="F15" s="87"/>
      <c r="G15" s="465">
        <f t="shared" si="0"/>
        <v>0</v>
      </c>
    </row>
    <row r="16" spans="1:7">
      <c r="A16" s="31">
        <v>10</v>
      </c>
      <c r="B16" s="27"/>
      <c r="C16" s="87"/>
      <c r="D16" s="465">
        <f t="shared" si="1"/>
        <v>0</v>
      </c>
      <c r="E16" s="466"/>
      <c r="F16" s="87"/>
      <c r="G16" s="465">
        <f t="shared" si="0"/>
        <v>0</v>
      </c>
    </row>
    <row r="17" spans="1:7">
      <c r="A17" s="31">
        <v>11</v>
      </c>
      <c r="B17" s="27"/>
      <c r="C17" s="87"/>
      <c r="D17" s="465">
        <f t="shared" si="1"/>
        <v>0</v>
      </c>
      <c r="E17" s="466"/>
      <c r="F17" s="87"/>
      <c r="G17" s="465">
        <f t="shared" si="0"/>
        <v>0</v>
      </c>
    </row>
    <row r="18" spans="1:7">
      <c r="A18" s="31">
        <v>12</v>
      </c>
      <c r="B18" s="27"/>
      <c r="C18" s="87"/>
      <c r="D18" s="465">
        <f t="shared" si="1"/>
        <v>0</v>
      </c>
      <c r="E18" s="466"/>
      <c r="F18" s="87"/>
      <c r="G18" s="465">
        <f t="shared" si="0"/>
        <v>0</v>
      </c>
    </row>
    <row r="19" spans="1:7" s="110" customFormat="1">
      <c r="A19" s="32" t="s">
        <v>48</v>
      </c>
      <c r="B19" s="33">
        <f>SUM(B7:B18)</f>
        <v>284765</v>
      </c>
      <c r="C19" s="87">
        <f>SUM(C7:C18)</f>
        <v>371932</v>
      </c>
      <c r="D19" s="465">
        <f>(B19-C19)/C19</f>
        <v>-0.23436273297269394</v>
      </c>
      <c r="E19" s="33">
        <f>SUM(E7:E18)</f>
        <v>288070880</v>
      </c>
      <c r="F19" s="87">
        <f>SUM(F7:F18)</f>
        <v>413193616</v>
      </c>
      <c r="G19" s="143">
        <f>(E19-F19)/F19</f>
        <v>-0.30281865729503432</v>
      </c>
    </row>
    <row r="20" spans="1:7" s="110" customFormat="1">
      <c r="A20" s="38"/>
      <c r="B20" s="39"/>
      <c r="C20" s="467"/>
      <c r="D20" s="144"/>
      <c r="E20" s="39"/>
      <c r="F20" s="467"/>
      <c r="G20" s="144"/>
    </row>
    <row r="21" spans="1:7" ht="18.75" customHeight="1">
      <c r="A21" s="1" t="s">
        <v>493</v>
      </c>
      <c r="B21" s="124"/>
      <c r="C21" s="125"/>
      <c r="D21" s="126"/>
      <c r="E21" s="124"/>
      <c r="F21" s="125"/>
      <c r="G21" s="126"/>
    </row>
    <row r="22" spans="1:7" ht="4.5" customHeight="1">
      <c r="B22" s="94"/>
      <c r="C22" s="145"/>
      <c r="D22" s="146"/>
      <c r="E22" s="94"/>
      <c r="F22" s="145"/>
      <c r="G22" s="146"/>
    </row>
    <row r="23" spans="1:7" s="117" customFormat="1">
      <c r="A23" s="147" t="s">
        <v>437</v>
      </c>
      <c r="B23" s="148"/>
      <c r="C23" s="149"/>
      <c r="D23" s="150"/>
      <c r="E23" s="148"/>
      <c r="F23" s="151"/>
      <c r="G23" s="152"/>
    </row>
    <row r="24" spans="1:7">
      <c r="A24" s="133" t="s">
        <v>467</v>
      </c>
      <c r="B24" s="153"/>
      <c r="C24" s="154"/>
      <c r="D24" s="155"/>
      <c r="E24" s="153"/>
      <c r="F24" s="156"/>
      <c r="G24" s="157"/>
    </row>
    <row r="25" spans="1:7">
      <c r="A25" s="576" t="s">
        <v>49</v>
      </c>
      <c r="B25" s="158" t="s">
        <v>50</v>
      </c>
      <c r="C25" s="159"/>
      <c r="D25" s="160"/>
      <c r="E25" s="161" t="s">
        <v>51</v>
      </c>
      <c r="F25" s="159"/>
      <c r="G25" s="160"/>
    </row>
    <row r="26" spans="1:7">
      <c r="A26" s="577"/>
      <c r="B26" s="516" t="s">
        <v>468</v>
      </c>
      <c r="C26" s="517" t="s">
        <v>469</v>
      </c>
      <c r="D26" s="518" t="s">
        <v>470</v>
      </c>
      <c r="E26" s="516" t="s">
        <v>468</v>
      </c>
      <c r="F26" s="517" t="s">
        <v>469</v>
      </c>
      <c r="G26" s="518" t="s">
        <v>470</v>
      </c>
    </row>
    <row r="27" spans="1:7">
      <c r="A27" s="31">
        <v>1</v>
      </c>
      <c r="B27" s="468">
        <v>1271</v>
      </c>
      <c r="C27" s="362">
        <v>1098</v>
      </c>
      <c r="D27" s="465">
        <f>IFERROR((B27-C27)/C27,0)</f>
        <v>0.15755919854280509</v>
      </c>
      <c r="E27" s="466">
        <v>706443</v>
      </c>
      <c r="F27" s="362">
        <v>559193</v>
      </c>
      <c r="G27" s="465">
        <f>IFERROR((E27-F27)/F27,0)</f>
        <v>0.26332590000232475</v>
      </c>
    </row>
    <row r="28" spans="1:7">
      <c r="A28" s="31">
        <v>2</v>
      </c>
      <c r="B28" s="468">
        <v>1635</v>
      </c>
      <c r="C28" s="362">
        <v>1715</v>
      </c>
      <c r="D28" s="465">
        <f>IFERROR((B28-C28)/C28,0)</f>
        <v>-4.6647230320699708E-2</v>
      </c>
      <c r="E28" s="466">
        <v>879950</v>
      </c>
      <c r="F28" s="362">
        <v>415174</v>
      </c>
      <c r="G28" s="465">
        <f t="shared" ref="G28:G39" si="2">IFERROR((E28-F28)/F28,0)</f>
        <v>1.1194727993564144</v>
      </c>
    </row>
    <row r="29" spans="1:7">
      <c r="A29" s="31">
        <v>3</v>
      </c>
      <c r="B29" s="468">
        <v>3646</v>
      </c>
      <c r="C29" s="362">
        <v>1861</v>
      </c>
      <c r="D29" s="465">
        <f t="shared" ref="D29:D39" si="3">IFERROR((B29-C29)/C29,0)</f>
        <v>0.95916174099946261</v>
      </c>
      <c r="E29" s="466">
        <v>866463</v>
      </c>
      <c r="F29" s="362">
        <v>424138</v>
      </c>
      <c r="G29" s="465">
        <f t="shared" si="2"/>
        <v>1.0428799117268437</v>
      </c>
    </row>
    <row r="30" spans="1:7">
      <c r="A30" s="31">
        <v>4</v>
      </c>
      <c r="B30" s="468">
        <v>1847</v>
      </c>
      <c r="C30" s="362">
        <v>2294</v>
      </c>
      <c r="D30" s="465">
        <f t="shared" si="3"/>
        <v>-0.1948561464690497</v>
      </c>
      <c r="E30" s="361">
        <v>613831</v>
      </c>
      <c r="F30" s="359">
        <v>763396</v>
      </c>
      <c r="G30" s="465">
        <f t="shared" si="2"/>
        <v>-0.19592059691169458</v>
      </c>
    </row>
    <row r="31" spans="1:7">
      <c r="A31" s="31">
        <v>5</v>
      </c>
      <c r="B31" s="468">
        <v>3021</v>
      </c>
      <c r="C31" s="362">
        <v>1577</v>
      </c>
      <c r="D31" s="465">
        <f t="shared" si="3"/>
        <v>0.91566265060240959</v>
      </c>
      <c r="E31" s="466">
        <v>647724</v>
      </c>
      <c r="F31" s="362">
        <v>402746</v>
      </c>
      <c r="G31" s="465">
        <f t="shared" si="2"/>
        <v>0.60826923172421332</v>
      </c>
    </row>
    <row r="32" spans="1:7">
      <c r="A32" s="31">
        <v>6</v>
      </c>
      <c r="B32" s="468"/>
      <c r="C32" s="362"/>
      <c r="D32" s="465">
        <f t="shared" si="3"/>
        <v>0</v>
      </c>
      <c r="E32" s="466"/>
      <c r="F32" s="362"/>
      <c r="G32" s="465">
        <f t="shared" si="2"/>
        <v>0</v>
      </c>
    </row>
    <row r="33" spans="1:12">
      <c r="A33" s="31">
        <v>7</v>
      </c>
      <c r="B33" s="468"/>
      <c r="C33" s="362"/>
      <c r="D33" s="465">
        <f t="shared" si="3"/>
        <v>0</v>
      </c>
      <c r="E33" s="466"/>
      <c r="F33" s="362"/>
      <c r="G33" s="465">
        <f t="shared" si="2"/>
        <v>0</v>
      </c>
    </row>
    <row r="34" spans="1:12">
      <c r="A34" s="31">
        <v>8</v>
      </c>
      <c r="B34" s="468"/>
      <c r="C34" s="362"/>
      <c r="D34" s="465">
        <f t="shared" si="3"/>
        <v>0</v>
      </c>
      <c r="E34" s="466"/>
      <c r="F34" s="362"/>
      <c r="G34" s="465">
        <f t="shared" si="2"/>
        <v>0</v>
      </c>
    </row>
    <row r="35" spans="1:12">
      <c r="A35" s="31">
        <v>9</v>
      </c>
      <c r="B35" s="469"/>
      <c r="C35" s="87"/>
      <c r="D35" s="465">
        <f t="shared" si="3"/>
        <v>0</v>
      </c>
      <c r="E35" s="27"/>
      <c r="F35" s="87"/>
      <c r="G35" s="465">
        <f t="shared" si="2"/>
        <v>0</v>
      </c>
    </row>
    <row r="36" spans="1:12">
      <c r="A36" s="31">
        <v>10</v>
      </c>
      <c r="B36" s="469"/>
      <c r="C36" s="87"/>
      <c r="D36" s="465">
        <f t="shared" si="3"/>
        <v>0</v>
      </c>
      <c r="E36" s="27"/>
      <c r="F36" s="87"/>
      <c r="G36" s="465">
        <f t="shared" si="2"/>
        <v>0</v>
      </c>
    </row>
    <row r="37" spans="1:12">
      <c r="A37" s="31">
        <v>11</v>
      </c>
      <c r="B37" s="469"/>
      <c r="C37" s="87"/>
      <c r="D37" s="465">
        <f t="shared" si="3"/>
        <v>0</v>
      </c>
      <c r="E37" s="27"/>
      <c r="F37" s="87"/>
      <c r="G37" s="465">
        <f t="shared" si="2"/>
        <v>0</v>
      </c>
      <c r="I37" s="462"/>
      <c r="J37" s="462"/>
      <c r="K37" s="462"/>
      <c r="L37" s="462"/>
    </row>
    <row r="38" spans="1:12">
      <c r="A38" s="31">
        <v>12</v>
      </c>
      <c r="B38" s="33"/>
      <c r="C38" s="87"/>
      <c r="D38" s="465">
        <f t="shared" si="3"/>
        <v>0</v>
      </c>
      <c r="E38" s="33"/>
      <c r="F38" s="87"/>
      <c r="G38" s="465">
        <f t="shared" si="2"/>
        <v>0</v>
      </c>
      <c r="I38" s="462"/>
      <c r="J38" s="462"/>
      <c r="K38" s="462"/>
      <c r="L38" s="462"/>
    </row>
    <row r="39" spans="1:12" s="110" customFormat="1">
      <c r="A39" s="32" t="s">
        <v>48</v>
      </c>
      <c r="B39" s="33">
        <f>SUM(B27:B38)</f>
        <v>11420</v>
      </c>
      <c r="C39" s="87">
        <f>SUM(C27:C38)</f>
        <v>8545</v>
      </c>
      <c r="D39" s="465">
        <f t="shared" si="3"/>
        <v>0.33645406670567585</v>
      </c>
      <c r="E39" s="33">
        <f>SUM(E27:E38)</f>
        <v>3714411</v>
      </c>
      <c r="F39" s="87">
        <f>SUM(F27:F38)</f>
        <v>2564647</v>
      </c>
      <c r="G39" s="465">
        <f t="shared" si="2"/>
        <v>0.44831276974959905</v>
      </c>
    </row>
    <row r="40" spans="1:12" s="110" customFormat="1" ht="6.75" customHeight="1">
      <c r="A40" s="38"/>
      <c r="B40" s="39"/>
      <c r="C40" s="467"/>
      <c r="D40" s="144"/>
      <c r="E40" s="39"/>
      <c r="F40" s="467"/>
      <c r="G40" s="162"/>
    </row>
    <row r="41" spans="1:12" s="13" customFormat="1">
      <c r="A41" s="54" t="s">
        <v>459</v>
      </c>
      <c r="C41" s="163"/>
      <c r="D41" s="164"/>
      <c r="F41" s="163"/>
      <c r="G41" s="164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3.5" customWidth="1"/>
    <col min="7" max="7" width="12.25" style="57" customWidth="1"/>
    <col min="8" max="8" width="12.5" style="5" customWidth="1"/>
    <col min="9" max="9" width="13.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78" t="s">
        <v>494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ht="10.5" customHeight="1">
      <c r="C2" s="56"/>
      <c r="F2" s="56"/>
      <c r="G2" s="58"/>
      <c r="I2" s="56"/>
    </row>
    <row r="3" spans="1:10">
      <c r="A3" s="59" t="s">
        <v>103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499</v>
      </c>
      <c r="B4" s="8" t="s">
        <v>455</v>
      </c>
      <c r="C4" s="531" t="s">
        <v>464</v>
      </c>
      <c r="D4" s="69" t="s">
        <v>153</v>
      </c>
      <c r="E4" s="8" t="s">
        <v>455</v>
      </c>
      <c r="F4" s="531" t="s">
        <v>464</v>
      </c>
      <c r="G4" s="71" t="s">
        <v>154</v>
      </c>
      <c r="H4" s="8" t="s">
        <v>455</v>
      </c>
      <c r="I4" s="531" t="s">
        <v>456</v>
      </c>
      <c r="J4" s="72" t="s">
        <v>154</v>
      </c>
    </row>
    <row r="5" spans="1:10">
      <c r="A5" s="14"/>
      <c r="B5" s="8" t="s">
        <v>31</v>
      </c>
      <c r="C5" s="532" t="s">
        <v>31</v>
      </c>
      <c r="D5" s="427" t="s">
        <v>1</v>
      </c>
      <c r="E5" s="74" t="s">
        <v>32</v>
      </c>
      <c r="F5" s="532" t="s">
        <v>32</v>
      </c>
      <c r="G5" s="427" t="s">
        <v>1</v>
      </c>
      <c r="H5" s="75" t="s">
        <v>104</v>
      </c>
      <c r="I5" s="532" t="s">
        <v>105</v>
      </c>
      <c r="J5" s="427" t="s">
        <v>1</v>
      </c>
    </row>
    <row r="6" spans="1:10">
      <c r="A6" s="77" t="s">
        <v>4</v>
      </c>
      <c r="B6" s="17"/>
      <c r="C6" s="78"/>
      <c r="D6" s="79"/>
      <c r="E6" s="17"/>
      <c r="F6" s="78"/>
      <c r="G6" s="79"/>
      <c r="H6" s="80"/>
      <c r="I6" s="78"/>
      <c r="J6" s="79"/>
    </row>
    <row r="7" spans="1:10">
      <c r="A7" s="77" t="s">
        <v>5</v>
      </c>
      <c r="B7" s="22">
        <f>SUM(B8:B10)</f>
        <v>120669</v>
      </c>
      <c r="C7" s="82">
        <v>133492</v>
      </c>
      <c r="D7" s="485">
        <f>IF(C7,(B7-C7)/C7,0)</f>
        <v>-9.6058190753003925E-2</v>
      </c>
      <c r="E7" s="22">
        <f>SUM(E8:E10)</f>
        <v>100113872</v>
      </c>
      <c r="F7" s="82">
        <v>147089274</v>
      </c>
      <c r="G7" s="485">
        <f>IF(F7,(E7-F7)/F7,0)</f>
        <v>-0.31936660452889309</v>
      </c>
      <c r="H7" s="84">
        <f>IF(B7,E7/B7,0)</f>
        <v>829.65692928589783</v>
      </c>
      <c r="I7" s="82">
        <f>IF(C7,F7/C7,0)</f>
        <v>1101.8583435711503</v>
      </c>
      <c r="J7" s="485">
        <f>IF(I7,(H7-I7)/I7,0)</f>
        <v>-0.24703848355228758</v>
      </c>
    </row>
    <row r="8" spans="1:10">
      <c r="A8" s="430" t="s">
        <v>195</v>
      </c>
      <c r="B8" s="28">
        <f>整車!E8</f>
        <v>111704</v>
      </c>
      <c r="C8" s="86">
        <v>120490</v>
      </c>
      <c r="D8" s="485">
        <f t="shared" ref="D8:D67" si="0">IF(C8,(B8-C8)/C8,0)</f>
        <v>-7.2918914432733004E-2</v>
      </c>
      <c r="E8" s="27">
        <f>整車!G8</f>
        <v>88666158</v>
      </c>
      <c r="F8" s="86">
        <v>128693333</v>
      </c>
      <c r="G8" s="485">
        <f t="shared" ref="G8:G67" si="1">IF(F8,(E8-F8)/F8,0)</f>
        <v>-0.31102757281140586</v>
      </c>
      <c r="H8" s="84">
        <f t="shared" ref="H8:H10" si="2">IF(B8,E8/B8,0)</f>
        <v>793.75991907183266</v>
      </c>
      <c r="I8" s="86">
        <f t="shared" ref="I8:I10" si="3">IF(C8,F8/C8,0)</f>
        <v>1068.0831023321437</v>
      </c>
      <c r="J8" s="485">
        <f t="shared" ref="J8:J67" si="4">IF(I8,(H8-I8)/I8,0)</f>
        <v>-0.25683692838256722</v>
      </c>
    </row>
    <row r="9" spans="1:10">
      <c r="A9" s="431" t="s">
        <v>6</v>
      </c>
      <c r="B9" s="28">
        <f>整車!E9</f>
        <v>6678</v>
      </c>
      <c r="C9" s="86">
        <v>11415</v>
      </c>
      <c r="D9" s="485">
        <f t="shared" si="0"/>
        <v>-0.41498028909329832</v>
      </c>
      <c r="E9" s="27">
        <f>整車!G9</f>
        <v>8166467</v>
      </c>
      <c r="F9" s="86">
        <v>16268694</v>
      </c>
      <c r="G9" s="485">
        <f t="shared" si="1"/>
        <v>-0.49802565590083631</v>
      </c>
      <c r="H9" s="84">
        <f t="shared" si="2"/>
        <v>1222.8911350703804</v>
      </c>
      <c r="I9" s="86">
        <f t="shared" si="3"/>
        <v>1425.2031537450723</v>
      </c>
      <c r="J9" s="485">
        <f t="shared" si="4"/>
        <v>-0.14195310903085448</v>
      </c>
    </row>
    <row r="10" spans="1:10">
      <c r="A10" s="431" t="s">
        <v>7</v>
      </c>
      <c r="B10" s="28">
        <f>整車!E10</f>
        <v>2287</v>
      </c>
      <c r="C10" s="86">
        <v>1587</v>
      </c>
      <c r="D10" s="485">
        <f t="shared" si="0"/>
        <v>0.4410838059231254</v>
      </c>
      <c r="E10" s="27">
        <f>整車!G10</f>
        <v>3281247</v>
      </c>
      <c r="F10" s="86">
        <v>2127247</v>
      </c>
      <c r="G10" s="485">
        <f t="shared" si="1"/>
        <v>0.5424851933038336</v>
      </c>
      <c r="H10" s="84">
        <f t="shared" si="2"/>
        <v>1434.7385220813292</v>
      </c>
      <c r="I10" s="86">
        <f t="shared" si="3"/>
        <v>1340.4202898550725</v>
      </c>
      <c r="J10" s="485">
        <f t="shared" si="4"/>
        <v>7.0364670648528041E-2</v>
      </c>
    </row>
    <row r="11" spans="1:10">
      <c r="A11" s="30"/>
      <c r="B11" s="28"/>
      <c r="C11" s="87"/>
      <c r="D11" s="485"/>
      <c r="E11" s="27"/>
      <c r="F11" s="87"/>
      <c r="G11" s="485"/>
      <c r="H11" s="84"/>
      <c r="I11" s="87"/>
      <c r="J11" s="485"/>
    </row>
    <row r="12" spans="1:10">
      <c r="A12" s="32" t="s">
        <v>8</v>
      </c>
      <c r="B12" s="33">
        <f>SUM(B13:B39)</f>
        <v>85444</v>
      </c>
      <c r="C12" s="88">
        <v>110101</v>
      </c>
      <c r="D12" s="485">
        <f t="shared" si="0"/>
        <v>-0.22394891962834124</v>
      </c>
      <c r="E12" s="33">
        <f>SUM(E13:E39)</f>
        <v>95845429</v>
      </c>
      <c r="F12" s="88">
        <v>116438794</v>
      </c>
      <c r="G12" s="485">
        <f t="shared" si="1"/>
        <v>-0.17685999908243638</v>
      </c>
      <c r="H12" s="84">
        <f t="shared" ref="H12:H66" si="5">IF(B12,E12/B12,0)</f>
        <v>1121.7338724778801</v>
      </c>
      <c r="I12" s="88">
        <f t="shared" ref="I12:I66" si="6">IF(C12,F12/C12,0)</f>
        <v>1057.5634553727941</v>
      </c>
      <c r="J12" s="485">
        <f t="shared" si="4"/>
        <v>6.0677604524889489E-2</v>
      </c>
    </row>
    <row r="13" spans="1:10">
      <c r="A13" s="430" t="s">
        <v>196</v>
      </c>
      <c r="B13" s="27">
        <f>整車!E13</f>
        <v>30505</v>
      </c>
      <c r="C13" s="86">
        <v>33299</v>
      </c>
      <c r="D13" s="485">
        <f t="shared" si="0"/>
        <v>-8.3906423616324818E-2</v>
      </c>
      <c r="E13" s="27">
        <f>整車!G13</f>
        <v>43588824</v>
      </c>
      <c r="F13" s="86">
        <v>56985857</v>
      </c>
      <c r="G13" s="485">
        <f t="shared" si="1"/>
        <v>-0.23509399884957422</v>
      </c>
      <c r="H13" s="84">
        <f t="shared" si="5"/>
        <v>1428.9075233568267</v>
      </c>
      <c r="I13" s="86">
        <f t="shared" si="6"/>
        <v>1711.3383885401963</v>
      </c>
      <c r="J13" s="485">
        <f t="shared" si="4"/>
        <v>-0.16503507843605872</v>
      </c>
    </row>
    <row r="14" spans="1:10">
      <c r="A14" s="430" t="s">
        <v>197</v>
      </c>
      <c r="B14" s="27">
        <f>整車!E14</f>
        <v>14472</v>
      </c>
      <c r="C14" s="86">
        <v>25713</v>
      </c>
      <c r="D14" s="485">
        <f t="shared" si="0"/>
        <v>-0.43717185859292967</v>
      </c>
      <c r="E14" s="27">
        <f>整車!G14</f>
        <v>10833437</v>
      </c>
      <c r="F14" s="86">
        <v>17161838</v>
      </c>
      <c r="G14" s="485">
        <f t="shared" si="1"/>
        <v>-0.3687484405807816</v>
      </c>
      <c r="H14" s="84">
        <f t="shared" si="5"/>
        <v>748.57911829740192</v>
      </c>
      <c r="I14" s="86">
        <f t="shared" si="6"/>
        <v>667.43818302026216</v>
      </c>
      <c r="J14" s="485">
        <f t="shared" si="4"/>
        <v>0.12157071222680779</v>
      </c>
    </row>
    <row r="15" spans="1:10">
      <c r="A15" s="431" t="s">
        <v>9</v>
      </c>
      <c r="B15" s="27">
        <f>整車!E15</f>
        <v>4281</v>
      </c>
      <c r="C15" s="86">
        <v>5107</v>
      </c>
      <c r="D15" s="485">
        <f t="shared" si="0"/>
        <v>-0.16173878989622087</v>
      </c>
      <c r="E15" s="27">
        <f>整車!G15</f>
        <v>7132888</v>
      </c>
      <c r="F15" s="86">
        <v>8543566</v>
      </c>
      <c r="G15" s="485">
        <f t="shared" si="1"/>
        <v>-0.16511583102418825</v>
      </c>
      <c r="H15" s="84">
        <f t="shared" si="5"/>
        <v>1666.1733239897221</v>
      </c>
      <c r="I15" s="86">
        <f t="shared" si="6"/>
        <v>1672.912864695516</v>
      </c>
      <c r="J15" s="485">
        <f t="shared" si="4"/>
        <v>-4.0286262650150017E-3</v>
      </c>
    </row>
    <row r="16" spans="1:10">
      <c r="A16" s="430" t="s">
        <v>198</v>
      </c>
      <c r="B16" s="27">
        <f>整車!E16</f>
        <v>5294</v>
      </c>
      <c r="C16" s="86">
        <v>3843</v>
      </c>
      <c r="D16" s="485">
        <f t="shared" si="0"/>
        <v>0.37756960707780379</v>
      </c>
      <c r="E16" s="27">
        <f>整車!G16</f>
        <v>9435980</v>
      </c>
      <c r="F16" s="86">
        <v>6005498</v>
      </c>
      <c r="G16" s="485">
        <f t="shared" si="1"/>
        <v>0.57122356880312009</v>
      </c>
      <c r="H16" s="84">
        <f t="shared" si="5"/>
        <v>1782.3913864752551</v>
      </c>
      <c r="I16" s="86">
        <f t="shared" si="6"/>
        <v>1562.7109029404112</v>
      </c>
      <c r="J16" s="485">
        <f t="shared" si="4"/>
        <v>0.14057653473940132</v>
      </c>
    </row>
    <row r="17" spans="1:10">
      <c r="A17" s="431" t="s">
        <v>10</v>
      </c>
      <c r="B17" s="27">
        <f>整車!E17</f>
        <v>3877</v>
      </c>
      <c r="C17" s="86">
        <v>5673</v>
      </c>
      <c r="D17" s="485">
        <f t="shared" si="0"/>
        <v>-0.31658734355720075</v>
      </c>
      <c r="E17" s="27">
        <f>整車!G17</f>
        <v>5323995</v>
      </c>
      <c r="F17" s="86">
        <v>8057621</v>
      </c>
      <c r="G17" s="485">
        <f t="shared" si="1"/>
        <v>-0.33925968967763565</v>
      </c>
      <c r="H17" s="84">
        <f t="shared" si="5"/>
        <v>1373.2254320350787</v>
      </c>
      <c r="I17" s="86">
        <f t="shared" si="6"/>
        <v>1420.3456724836947</v>
      </c>
      <c r="J17" s="485">
        <f t="shared" si="4"/>
        <v>-3.3175192040553698E-2</v>
      </c>
    </row>
    <row r="18" spans="1:10">
      <c r="A18" s="431" t="s">
        <v>11</v>
      </c>
      <c r="B18" s="27">
        <f>整車!E18</f>
        <v>8567</v>
      </c>
      <c r="C18" s="86">
        <v>10018</v>
      </c>
      <c r="D18" s="485">
        <f t="shared" si="0"/>
        <v>-0.14483928927929726</v>
      </c>
      <c r="E18" s="27">
        <f>整車!G18</f>
        <v>11938663</v>
      </c>
      <c r="F18" s="86">
        <v>9075301</v>
      </c>
      <c r="G18" s="485">
        <f t="shared" si="1"/>
        <v>0.31551151857111959</v>
      </c>
      <c r="H18" s="84">
        <f t="shared" si="5"/>
        <v>1393.5640247461188</v>
      </c>
      <c r="I18" s="86">
        <f t="shared" si="6"/>
        <v>905.89948093431826</v>
      </c>
      <c r="J18" s="485">
        <f t="shared" si="4"/>
        <v>0.53832081160796952</v>
      </c>
    </row>
    <row r="19" spans="1:10">
      <c r="A19" s="430" t="s">
        <v>199</v>
      </c>
      <c r="B19" s="27">
        <f>整車!E19</f>
        <v>4420</v>
      </c>
      <c r="C19" s="86">
        <v>5820</v>
      </c>
      <c r="D19" s="485">
        <f t="shared" si="0"/>
        <v>-0.24054982817869416</v>
      </c>
      <c r="E19" s="27">
        <f>整車!G19</f>
        <v>865629</v>
      </c>
      <c r="F19" s="86">
        <v>681073</v>
      </c>
      <c r="G19" s="485">
        <f t="shared" si="1"/>
        <v>0.27097829454405037</v>
      </c>
      <c r="H19" s="84">
        <f t="shared" si="5"/>
        <v>195.84366515837104</v>
      </c>
      <c r="I19" s="86">
        <f t="shared" si="6"/>
        <v>117.02285223367697</v>
      </c>
      <c r="J19" s="485">
        <f t="shared" si="4"/>
        <v>0.67355060503311615</v>
      </c>
    </row>
    <row r="20" spans="1:10">
      <c r="A20" s="431" t="s">
        <v>200</v>
      </c>
      <c r="B20" s="27">
        <f>整車!E20</f>
        <v>0</v>
      </c>
      <c r="C20" s="86">
        <v>3</v>
      </c>
      <c r="D20" s="485">
        <f t="shared" si="0"/>
        <v>-1</v>
      </c>
      <c r="E20" s="27">
        <f>整車!G20</f>
        <v>0</v>
      </c>
      <c r="F20" s="86">
        <v>7294</v>
      </c>
      <c r="G20" s="485">
        <f t="shared" si="1"/>
        <v>-1</v>
      </c>
      <c r="H20" s="84">
        <f t="shared" si="5"/>
        <v>0</v>
      </c>
      <c r="I20" s="86">
        <f t="shared" si="6"/>
        <v>2431.3333333333335</v>
      </c>
      <c r="J20" s="485">
        <f t="shared" si="4"/>
        <v>-1</v>
      </c>
    </row>
    <row r="21" spans="1:10">
      <c r="A21" s="430" t="s">
        <v>201</v>
      </c>
      <c r="B21" s="27">
        <f>整車!E21</f>
        <v>9</v>
      </c>
      <c r="C21" s="86">
        <v>34</v>
      </c>
      <c r="D21" s="485">
        <f t="shared" si="0"/>
        <v>-0.73529411764705888</v>
      </c>
      <c r="E21" s="27">
        <f>整車!G21</f>
        <v>30708</v>
      </c>
      <c r="F21" s="86">
        <v>5233</v>
      </c>
      <c r="G21" s="485">
        <f t="shared" si="1"/>
        <v>4.868144467800497</v>
      </c>
      <c r="H21" s="84">
        <f t="shared" si="5"/>
        <v>3412</v>
      </c>
      <c r="I21" s="86">
        <f t="shared" si="6"/>
        <v>153.91176470588235</v>
      </c>
      <c r="J21" s="485">
        <f t="shared" si="4"/>
        <v>21.168545767246322</v>
      </c>
    </row>
    <row r="22" spans="1:10">
      <c r="A22" s="431" t="s">
        <v>13</v>
      </c>
      <c r="B22" s="27">
        <f>整車!E22</f>
        <v>525</v>
      </c>
      <c r="C22" s="86">
        <v>0</v>
      </c>
      <c r="D22" s="485">
        <f t="shared" si="0"/>
        <v>0</v>
      </c>
      <c r="E22" s="27">
        <f>整車!G22</f>
        <v>323664</v>
      </c>
      <c r="F22" s="86">
        <v>0</v>
      </c>
      <c r="G22" s="485">
        <f t="shared" si="1"/>
        <v>0</v>
      </c>
      <c r="H22" s="84">
        <f t="shared" si="5"/>
        <v>616.50285714285712</v>
      </c>
      <c r="I22" s="86">
        <f t="shared" si="6"/>
        <v>0</v>
      </c>
      <c r="J22" s="485">
        <f t="shared" si="4"/>
        <v>0</v>
      </c>
    </row>
    <row r="23" spans="1:10">
      <c r="A23" s="431" t="s">
        <v>14</v>
      </c>
      <c r="B23" s="27">
        <f>整車!E23</f>
        <v>30</v>
      </c>
      <c r="C23" s="86">
        <v>0</v>
      </c>
      <c r="D23" s="485">
        <f t="shared" si="0"/>
        <v>0</v>
      </c>
      <c r="E23" s="27">
        <f>整車!G23</f>
        <v>80404</v>
      </c>
      <c r="F23" s="86">
        <v>0</v>
      </c>
      <c r="G23" s="485">
        <f t="shared" si="1"/>
        <v>0</v>
      </c>
      <c r="H23" s="84">
        <f t="shared" si="5"/>
        <v>2680.1333333333332</v>
      </c>
      <c r="I23" s="86">
        <f t="shared" si="6"/>
        <v>0</v>
      </c>
      <c r="J23" s="485">
        <f t="shared" si="4"/>
        <v>0</v>
      </c>
    </row>
    <row r="24" spans="1:10">
      <c r="A24" s="431" t="s">
        <v>15</v>
      </c>
      <c r="B24" s="27">
        <f>整車!E24</f>
        <v>5</v>
      </c>
      <c r="C24" s="86">
        <v>21</v>
      </c>
      <c r="D24" s="485">
        <f t="shared" si="0"/>
        <v>-0.76190476190476186</v>
      </c>
      <c r="E24" s="27">
        <f>整車!G24</f>
        <v>17136</v>
      </c>
      <c r="F24" s="86">
        <v>62075</v>
      </c>
      <c r="G24" s="485">
        <f t="shared" si="1"/>
        <v>-0.7239468385018123</v>
      </c>
      <c r="H24" s="84">
        <f t="shared" si="5"/>
        <v>3427.2</v>
      </c>
      <c r="I24" s="86">
        <f t="shared" si="6"/>
        <v>2955.9523809523807</v>
      </c>
      <c r="J24" s="485">
        <f t="shared" si="4"/>
        <v>0.15942327829238825</v>
      </c>
    </row>
    <row r="25" spans="1:10">
      <c r="A25" s="430" t="s">
        <v>202</v>
      </c>
      <c r="B25" s="27">
        <f>整車!E25</f>
        <v>2330</v>
      </c>
      <c r="C25" s="86">
        <v>8245</v>
      </c>
      <c r="D25" s="485">
        <f t="shared" si="0"/>
        <v>-0.71740448756822317</v>
      </c>
      <c r="E25" s="27">
        <f>整車!G25</f>
        <v>557121</v>
      </c>
      <c r="F25" s="86">
        <v>2806985</v>
      </c>
      <c r="G25" s="485">
        <f t="shared" si="1"/>
        <v>-0.80152334266125402</v>
      </c>
      <c r="H25" s="84">
        <f t="shared" si="5"/>
        <v>239.10772532188841</v>
      </c>
      <c r="I25" s="86">
        <f t="shared" si="6"/>
        <v>340.44693753790176</v>
      </c>
      <c r="J25" s="485">
        <f t="shared" si="4"/>
        <v>-0.29766521898799958</v>
      </c>
    </row>
    <row r="26" spans="1:10">
      <c r="A26" s="430" t="s">
        <v>203</v>
      </c>
      <c r="B26" s="27">
        <f>整車!E26</f>
        <v>0</v>
      </c>
      <c r="C26" s="86">
        <v>85</v>
      </c>
      <c r="D26" s="485">
        <f t="shared" si="0"/>
        <v>-1</v>
      </c>
      <c r="E26" s="27">
        <f>整車!G26</f>
        <v>0</v>
      </c>
      <c r="F26" s="86">
        <v>41047</v>
      </c>
      <c r="G26" s="485">
        <f t="shared" si="1"/>
        <v>-1</v>
      </c>
      <c r="H26" s="84">
        <f t="shared" si="5"/>
        <v>0</v>
      </c>
      <c r="I26" s="86">
        <f t="shared" si="6"/>
        <v>482.90588235294115</v>
      </c>
      <c r="J26" s="485">
        <f t="shared" si="4"/>
        <v>-1</v>
      </c>
    </row>
    <row r="27" spans="1:10">
      <c r="A27" s="432" t="s">
        <v>204</v>
      </c>
      <c r="B27" s="27">
        <f>整車!E27</f>
        <v>4142</v>
      </c>
      <c r="C27" s="86">
        <v>5294</v>
      </c>
      <c r="D27" s="485">
        <f t="shared" si="0"/>
        <v>-0.21760483566301472</v>
      </c>
      <c r="E27" s="27">
        <f>整車!G27</f>
        <v>2282948</v>
      </c>
      <c r="F27" s="86">
        <v>2739919</v>
      </c>
      <c r="G27" s="485">
        <f t="shared" si="1"/>
        <v>-0.16678266766280317</v>
      </c>
      <c r="H27" s="84">
        <f t="shared" si="5"/>
        <v>551.1704490584259</v>
      </c>
      <c r="I27" s="86">
        <f t="shared" si="6"/>
        <v>517.55175670570452</v>
      </c>
      <c r="J27" s="485">
        <f t="shared" si="4"/>
        <v>6.4957160162511018E-2</v>
      </c>
    </row>
    <row r="28" spans="1:10">
      <c r="A28" s="432" t="s">
        <v>205</v>
      </c>
      <c r="B28" s="27">
        <f>整車!E28</f>
        <v>4135</v>
      </c>
      <c r="C28" s="86">
        <v>3564</v>
      </c>
      <c r="D28" s="485">
        <f t="shared" si="0"/>
        <v>0.16021324354657687</v>
      </c>
      <c r="E28" s="27">
        <f>整車!G28</f>
        <v>2013450</v>
      </c>
      <c r="F28" s="86">
        <v>2059439</v>
      </c>
      <c r="G28" s="485">
        <f t="shared" si="1"/>
        <v>-2.2330838641008547E-2</v>
      </c>
      <c r="H28" s="84">
        <f t="shared" si="5"/>
        <v>486.9286577992745</v>
      </c>
      <c r="I28" s="86">
        <f t="shared" si="6"/>
        <v>577.84483726150393</v>
      </c>
      <c r="J28" s="485">
        <f t="shared" si="4"/>
        <v>-0.15733666479239525</v>
      </c>
    </row>
    <row r="29" spans="1:10">
      <c r="A29" s="431" t="s">
        <v>206</v>
      </c>
      <c r="B29" s="27">
        <f>整車!E29</f>
        <v>1014</v>
      </c>
      <c r="C29" s="86">
        <v>396</v>
      </c>
      <c r="D29" s="485">
        <f t="shared" si="0"/>
        <v>1.5606060606060606</v>
      </c>
      <c r="E29" s="27">
        <f>整車!G29</f>
        <v>598124</v>
      </c>
      <c r="F29" s="86">
        <v>289912</v>
      </c>
      <c r="G29" s="485">
        <f t="shared" si="1"/>
        <v>1.0631226027208256</v>
      </c>
      <c r="H29" s="84">
        <f t="shared" si="5"/>
        <v>589.86587771203153</v>
      </c>
      <c r="I29" s="86">
        <f t="shared" si="6"/>
        <v>732.10101010101005</v>
      </c>
      <c r="J29" s="485">
        <f t="shared" si="4"/>
        <v>-0.19428348059423375</v>
      </c>
    </row>
    <row r="30" spans="1:10">
      <c r="A30" s="431" t="s">
        <v>207</v>
      </c>
      <c r="B30" s="27">
        <f>整車!E30</f>
        <v>2</v>
      </c>
      <c r="C30" s="86">
        <v>0</v>
      </c>
      <c r="D30" s="485">
        <f t="shared" si="0"/>
        <v>0</v>
      </c>
      <c r="E30" s="27">
        <f>整車!G30</f>
        <v>6719</v>
      </c>
      <c r="F30" s="86">
        <v>0</v>
      </c>
      <c r="G30" s="485">
        <f t="shared" si="1"/>
        <v>0</v>
      </c>
      <c r="H30" s="84">
        <f t="shared" si="5"/>
        <v>3359.5</v>
      </c>
      <c r="I30" s="86">
        <f t="shared" si="6"/>
        <v>0</v>
      </c>
      <c r="J30" s="485">
        <f t="shared" si="4"/>
        <v>0</v>
      </c>
    </row>
    <row r="31" spans="1:10">
      <c r="A31" s="431" t="s">
        <v>16</v>
      </c>
      <c r="B31" s="27">
        <f>整車!E31</f>
        <v>113</v>
      </c>
      <c r="C31" s="86">
        <v>1189</v>
      </c>
      <c r="D31" s="485">
        <f t="shared" si="0"/>
        <v>-0.90496215306980654</v>
      </c>
      <c r="E31" s="366">
        <f>整車!G31</f>
        <v>214912</v>
      </c>
      <c r="F31" s="86">
        <v>1443195</v>
      </c>
      <c r="G31" s="485">
        <f t="shared" si="1"/>
        <v>-0.85108595858494518</v>
      </c>
      <c r="H31" s="84">
        <f t="shared" si="5"/>
        <v>1901.8761061946902</v>
      </c>
      <c r="I31" s="86">
        <f t="shared" si="6"/>
        <v>1213.78889823381</v>
      </c>
      <c r="J31" s="485">
        <f t="shared" si="4"/>
        <v>0.56689199329646145</v>
      </c>
    </row>
    <row r="32" spans="1:10">
      <c r="A32" s="431" t="s">
        <v>17</v>
      </c>
      <c r="B32" s="27">
        <f>整車!E32</f>
        <v>245</v>
      </c>
      <c r="C32" s="86">
        <v>0</v>
      </c>
      <c r="D32" s="485">
        <f t="shared" si="0"/>
        <v>0</v>
      </c>
      <c r="E32" s="27">
        <f>整車!G32</f>
        <v>57583</v>
      </c>
      <c r="F32" s="86">
        <v>0</v>
      </c>
      <c r="G32" s="485">
        <f t="shared" si="1"/>
        <v>0</v>
      </c>
      <c r="H32" s="84">
        <f t="shared" si="5"/>
        <v>235.03265306122449</v>
      </c>
      <c r="I32" s="86">
        <f t="shared" si="6"/>
        <v>0</v>
      </c>
      <c r="J32" s="485">
        <f t="shared" si="4"/>
        <v>0</v>
      </c>
    </row>
    <row r="33" spans="1:10">
      <c r="A33" s="431" t="s">
        <v>208</v>
      </c>
      <c r="B33" s="27">
        <f>整車!E33</f>
        <v>382</v>
      </c>
      <c r="C33" s="86">
        <v>815</v>
      </c>
      <c r="D33" s="485">
        <f t="shared" si="0"/>
        <v>-0.53128834355828225</v>
      </c>
      <c r="E33" s="27">
        <f>整車!G33</f>
        <v>187384</v>
      </c>
      <c r="F33" s="86">
        <v>216361</v>
      </c>
      <c r="G33" s="485">
        <f t="shared" si="1"/>
        <v>-0.13392894283165635</v>
      </c>
      <c r="H33" s="84">
        <f t="shared" si="5"/>
        <v>490.53403141361258</v>
      </c>
      <c r="I33" s="86">
        <f t="shared" si="6"/>
        <v>265.47361963190184</v>
      </c>
      <c r="J33" s="485">
        <f t="shared" si="4"/>
        <v>0.84776940207382223</v>
      </c>
    </row>
    <row r="34" spans="1:10">
      <c r="A34" s="431" t="s">
        <v>209</v>
      </c>
      <c r="B34" s="27">
        <f>整車!E34</f>
        <v>444</v>
      </c>
      <c r="C34" s="86">
        <v>36</v>
      </c>
      <c r="D34" s="485">
        <f t="shared" si="0"/>
        <v>11.333333333333334</v>
      </c>
      <c r="E34" s="27">
        <f>整車!G34</f>
        <v>149383</v>
      </c>
      <c r="F34" s="86">
        <v>7788</v>
      </c>
      <c r="G34" s="485">
        <f t="shared" si="1"/>
        <v>18.181176168464305</v>
      </c>
      <c r="H34" s="84">
        <f t="shared" si="5"/>
        <v>336.44819819819821</v>
      </c>
      <c r="I34" s="86">
        <f t="shared" si="6"/>
        <v>216.33333333333334</v>
      </c>
      <c r="J34" s="485">
        <f t="shared" si="4"/>
        <v>0.55523050014575437</v>
      </c>
    </row>
    <row r="35" spans="1:10">
      <c r="A35" s="431" t="s">
        <v>210</v>
      </c>
      <c r="B35" s="27">
        <f>整車!E35</f>
        <v>356</v>
      </c>
      <c r="C35" s="86">
        <v>373</v>
      </c>
      <c r="D35" s="485">
        <f t="shared" si="0"/>
        <v>-4.5576407506702415E-2</v>
      </c>
      <c r="E35" s="27">
        <f>整車!G35</f>
        <v>134206</v>
      </c>
      <c r="F35" s="86">
        <v>94077</v>
      </c>
      <c r="G35" s="485">
        <f t="shared" si="1"/>
        <v>0.42655484337298172</v>
      </c>
      <c r="H35" s="84">
        <f t="shared" si="5"/>
        <v>376.9831460674157</v>
      </c>
      <c r="I35" s="86">
        <f t="shared" si="6"/>
        <v>252.21715817694371</v>
      </c>
      <c r="J35" s="485">
        <f t="shared" si="4"/>
        <v>0.49467684432056774</v>
      </c>
    </row>
    <row r="36" spans="1:10">
      <c r="A36" s="431" t="s">
        <v>211</v>
      </c>
      <c r="B36" s="27">
        <f>整車!E36</f>
        <v>0</v>
      </c>
      <c r="C36" s="86">
        <v>128</v>
      </c>
      <c r="D36" s="485">
        <f t="shared" si="0"/>
        <v>-1</v>
      </c>
      <c r="E36" s="27">
        <f>整車!G36</f>
        <v>0</v>
      </c>
      <c r="F36" s="86">
        <v>17159</v>
      </c>
      <c r="G36" s="485">
        <f t="shared" si="1"/>
        <v>-1</v>
      </c>
      <c r="H36" s="84">
        <f t="shared" si="5"/>
        <v>0</v>
      </c>
      <c r="I36" s="86">
        <f t="shared" si="6"/>
        <v>134.0546875</v>
      </c>
      <c r="J36" s="485">
        <f t="shared" si="4"/>
        <v>-1</v>
      </c>
    </row>
    <row r="37" spans="1:10">
      <c r="A37" s="431" t="s">
        <v>212</v>
      </c>
      <c r="B37" s="27">
        <f>整車!E37</f>
        <v>0</v>
      </c>
      <c r="C37" s="86">
        <v>0</v>
      </c>
      <c r="D37" s="485">
        <f t="shared" si="0"/>
        <v>0</v>
      </c>
      <c r="E37" s="27">
        <f>整車!G37</f>
        <v>0</v>
      </c>
      <c r="F37" s="86">
        <v>0</v>
      </c>
      <c r="G37" s="485">
        <f t="shared" si="1"/>
        <v>0</v>
      </c>
      <c r="H37" s="84">
        <f t="shared" si="5"/>
        <v>0</v>
      </c>
      <c r="I37" s="86">
        <f t="shared" si="6"/>
        <v>0</v>
      </c>
      <c r="J37" s="485">
        <f t="shared" si="4"/>
        <v>0</v>
      </c>
    </row>
    <row r="38" spans="1:10">
      <c r="A38" s="431" t="s">
        <v>213</v>
      </c>
      <c r="B38" s="27">
        <f>整車!E38</f>
        <v>40</v>
      </c>
      <c r="C38" s="86">
        <v>110</v>
      </c>
      <c r="D38" s="485">
        <f t="shared" si="0"/>
        <v>-0.63636363636363635</v>
      </c>
      <c r="E38" s="27">
        <f>整車!G38</f>
        <v>4556</v>
      </c>
      <c r="F38" s="86">
        <v>19564</v>
      </c>
      <c r="G38" s="485">
        <f t="shared" si="1"/>
        <v>-0.76712328767123283</v>
      </c>
      <c r="H38" s="84">
        <f t="shared" si="5"/>
        <v>113.9</v>
      </c>
      <c r="I38" s="86">
        <f t="shared" si="6"/>
        <v>177.85454545454544</v>
      </c>
      <c r="J38" s="485">
        <f t="shared" si="4"/>
        <v>-0.35958904109589035</v>
      </c>
    </row>
    <row r="39" spans="1:10">
      <c r="A39" s="431" t="s">
        <v>18</v>
      </c>
      <c r="B39" s="27">
        <f>整車!E39</f>
        <v>256</v>
      </c>
      <c r="C39" s="86">
        <v>335</v>
      </c>
      <c r="D39" s="485">
        <f t="shared" si="0"/>
        <v>-0.23582089552238805</v>
      </c>
      <c r="E39" s="27">
        <f>整車!G39</f>
        <v>67715</v>
      </c>
      <c r="F39" s="86">
        <v>117992</v>
      </c>
      <c r="G39" s="485">
        <f t="shared" si="1"/>
        <v>-0.42610515967184215</v>
      </c>
      <c r="H39" s="84">
        <f t="shared" si="5"/>
        <v>264.51171875</v>
      </c>
      <c r="I39" s="86">
        <f t="shared" si="6"/>
        <v>352.21492537313435</v>
      </c>
      <c r="J39" s="485">
        <f t="shared" si="4"/>
        <v>-0.24900479878932474</v>
      </c>
    </row>
    <row r="40" spans="1:10">
      <c r="A40" s="30"/>
      <c r="B40" s="27"/>
      <c r="C40" s="87"/>
      <c r="D40" s="485"/>
      <c r="E40" s="27"/>
      <c r="F40" s="87"/>
      <c r="G40" s="485"/>
      <c r="H40" s="84"/>
      <c r="I40" s="87"/>
      <c r="J40" s="485"/>
    </row>
    <row r="41" spans="1:10" ht="16.149999999999999" customHeight="1">
      <c r="A41" s="36" t="s">
        <v>19</v>
      </c>
      <c r="B41" s="33">
        <f>SUM(B42:B45)</f>
        <v>5777</v>
      </c>
      <c r="C41" s="88">
        <v>13604</v>
      </c>
      <c r="D41" s="485">
        <f t="shared" si="0"/>
        <v>-0.57534548662158191</v>
      </c>
      <c r="E41" s="33">
        <f>SUM(E42:E45)</f>
        <v>5777508</v>
      </c>
      <c r="F41" s="88">
        <v>13246833</v>
      </c>
      <c r="G41" s="485">
        <f t="shared" si="1"/>
        <v>-0.56385741407021583</v>
      </c>
      <c r="H41" s="84">
        <f t="shared" si="5"/>
        <v>1000.0879349143154</v>
      </c>
      <c r="I41" s="88">
        <f t="shared" si="6"/>
        <v>973.74544251690679</v>
      </c>
      <c r="J41" s="485">
        <f t="shared" si="4"/>
        <v>2.705275038753387E-2</v>
      </c>
    </row>
    <row r="42" spans="1:10">
      <c r="A42" s="430" t="s">
        <v>214</v>
      </c>
      <c r="B42" s="27">
        <f>整車!E42</f>
        <v>2403</v>
      </c>
      <c r="C42" s="86">
        <v>5079</v>
      </c>
      <c r="D42" s="485">
        <f t="shared" si="0"/>
        <v>-0.52687536916715894</v>
      </c>
      <c r="E42" s="27">
        <f>整車!G42</f>
        <v>2613903</v>
      </c>
      <c r="F42" s="86">
        <v>7193086</v>
      </c>
      <c r="G42" s="485">
        <f t="shared" si="1"/>
        <v>-0.63660896032662473</v>
      </c>
      <c r="H42" s="84">
        <f t="shared" si="5"/>
        <v>1087.7665418227216</v>
      </c>
      <c r="I42" s="86">
        <f t="shared" si="6"/>
        <v>1416.2405985430203</v>
      </c>
      <c r="J42" s="485">
        <f t="shared" si="4"/>
        <v>-0.23193379504741038</v>
      </c>
    </row>
    <row r="43" spans="1:10">
      <c r="A43" s="430" t="s">
        <v>215</v>
      </c>
      <c r="B43" s="27">
        <f>整車!E43</f>
        <v>2734</v>
      </c>
      <c r="C43" s="86">
        <v>8521</v>
      </c>
      <c r="D43" s="485">
        <f t="shared" si="0"/>
        <v>-0.6791456401830771</v>
      </c>
      <c r="E43" s="27">
        <f>整車!G43</f>
        <v>3068287</v>
      </c>
      <c r="F43" s="86">
        <v>6047212</v>
      </c>
      <c r="G43" s="485">
        <f t="shared" si="1"/>
        <v>-0.4926113058381284</v>
      </c>
      <c r="H43" s="84">
        <f t="shared" si="5"/>
        <v>1122.2702999268472</v>
      </c>
      <c r="I43" s="86">
        <f t="shared" si="6"/>
        <v>709.68337049642059</v>
      </c>
      <c r="J43" s="485">
        <f t="shared" si="4"/>
        <v>0.5813676162960163</v>
      </c>
    </row>
    <row r="44" spans="1:10">
      <c r="A44" s="430" t="s">
        <v>216</v>
      </c>
      <c r="B44" s="27">
        <f>整車!E44</f>
        <v>640</v>
      </c>
      <c r="C44" s="86">
        <v>4</v>
      </c>
      <c r="D44" s="485">
        <f t="shared" si="0"/>
        <v>159</v>
      </c>
      <c r="E44" s="27">
        <f>整車!G44</f>
        <v>95318</v>
      </c>
      <c r="F44" s="86">
        <v>6535</v>
      </c>
      <c r="G44" s="485">
        <f t="shared" si="1"/>
        <v>13.585768936495793</v>
      </c>
      <c r="H44" s="84">
        <f t="shared" si="5"/>
        <v>148.93437499999999</v>
      </c>
      <c r="I44" s="86">
        <f t="shared" si="6"/>
        <v>1633.75</v>
      </c>
      <c r="J44" s="485">
        <f t="shared" si="4"/>
        <v>-0.90883894414690125</v>
      </c>
    </row>
    <row r="45" spans="1:10">
      <c r="A45" s="30" t="s">
        <v>20</v>
      </c>
      <c r="B45" s="27">
        <f>整車!E45</f>
        <v>0</v>
      </c>
      <c r="C45" s="86">
        <v>0</v>
      </c>
      <c r="D45" s="485">
        <f t="shared" si="0"/>
        <v>0</v>
      </c>
      <c r="E45" s="27">
        <f>整車!G45</f>
        <v>0</v>
      </c>
      <c r="F45" s="86">
        <v>0</v>
      </c>
      <c r="G45" s="485">
        <f t="shared" si="1"/>
        <v>0</v>
      </c>
      <c r="H45" s="84">
        <f t="shared" si="5"/>
        <v>0</v>
      </c>
      <c r="I45" s="86">
        <f t="shared" si="6"/>
        <v>0</v>
      </c>
      <c r="J45" s="485">
        <f t="shared" si="4"/>
        <v>0</v>
      </c>
    </row>
    <row r="46" spans="1:10" ht="17.45" customHeight="1">
      <c r="A46" s="30"/>
      <c r="B46" s="27"/>
      <c r="C46" s="87"/>
      <c r="D46" s="485"/>
      <c r="E46" s="27"/>
      <c r="F46" s="87"/>
      <c r="G46" s="485"/>
      <c r="H46" s="84"/>
      <c r="I46" s="87"/>
      <c r="J46" s="485"/>
    </row>
    <row r="47" spans="1:10">
      <c r="A47" s="36" t="s">
        <v>21</v>
      </c>
      <c r="B47" s="33">
        <f>SUM(B48:B65)</f>
        <v>67921</v>
      </c>
      <c r="C47" s="88">
        <v>108226</v>
      </c>
      <c r="D47" s="485">
        <f t="shared" si="0"/>
        <v>-0.37241513129931808</v>
      </c>
      <c r="E47" s="33">
        <f>SUM(E48:E65)</f>
        <v>79455342</v>
      </c>
      <c r="F47" s="88">
        <v>126240272</v>
      </c>
      <c r="G47" s="485">
        <f t="shared" si="1"/>
        <v>-0.37060225915863043</v>
      </c>
      <c r="H47" s="84">
        <f t="shared" si="5"/>
        <v>1169.8199673149688</v>
      </c>
      <c r="I47" s="88">
        <f t="shared" si="6"/>
        <v>1166.4505017278657</v>
      </c>
      <c r="J47" s="485">
        <f t="shared" si="4"/>
        <v>2.8886485814116872E-3</v>
      </c>
    </row>
    <row r="48" spans="1:10">
      <c r="A48" s="460" t="s">
        <v>157</v>
      </c>
      <c r="B48" s="27">
        <f>整車!E48</f>
        <v>17325</v>
      </c>
      <c r="C48" s="86">
        <v>21253</v>
      </c>
      <c r="D48" s="485">
        <f>IF(C48,(B48-C48)/C48,0)</f>
        <v>-0.18482096645179505</v>
      </c>
      <c r="E48" s="27">
        <f>整車!G48</f>
        <v>16702871</v>
      </c>
      <c r="F48" s="86">
        <v>20842918</v>
      </c>
      <c r="G48" s="485">
        <f t="shared" si="1"/>
        <v>-0.19863087308600455</v>
      </c>
      <c r="H48" s="84">
        <f t="shared" si="5"/>
        <v>964.09067821067822</v>
      </c>
      <c r="I48" s="86">
        <f>IF(C48,F48/C48,0)</f>
        <v>980.70474756504962</v>
      </c>
      <c r="J48" s="485">
        <f t="shared" si="4"/>
        <v>-1.6940949246571677E-2</v>
      </c>
    </row>
    <row r="49" spans="1:10">
      <c r="A49" s="430" t="s">
        <v>217</v>
      </c>
      <c r="B49" s="27">
        <f>整車!E49</f>
        <v>6192</v>
      </c>
      <c r="C49" s="86">
        <v>18036</v>
      </c>
      <c r="D49" s="485">
        <f>IF(C49,(B49-C49)/C49,0)</f>
        <v>-0.65668662674650702</v>
      </c>
      <c r="E49" s="27">
        <f>整車!G49</f>
        <v>5148979</v>
      </c>
      <c r="F49" s="86">
        <v>13659557</v>
      </c>
      <c r="G49" s="485">
        <f t="shared" si="1"/>
        <v>-0.62304934193693107</v>
      </c>
      <c r="H49" s="84">
        <f t="shared" si="5"/>
        <v>831.55345607235142</v>
      </c>
      <c r="I49" s="86">
        <f>IF(C49,F49/C49,0)</f>
        <v>757.3495786205367</v>
      </c>
      <c r="J49" s="485">
        <f t="shared" si="4"/>
        <v>9.7978370288357833E-2</v>
      </c>
    </row>
    <row r="50" spans="1:10">
      <c r="A50" s="283" t="s">
        <v>218</v>
      </c>
      <c r="B50" s="27">
        <f>整車!E50</f>
        <v>1274</v>
      </c>
      <c r="C50" s="86">
        <v>739</v>
      </c>
      <c r="D50" s="485">
        <f t="shared" si="0"/>
        <v>0.72395128552097432</v>
      </c>
      <c r="E50" s="27">
        <f>整車!G50</f>
        <v>1072871</v>
      </c>
      <c r="F50" s="86">
        <v>644196</v>
      </c>
      <c r="G50" s="485">
        <f t="shared" si="1"/>
        <v>0.66544188414706085</v>
      </c>
      <c r="H50" s="84">
        <f t="shared" si="5"/>
        <v>842.12794348508635</v>
      </c>
      <c r="I50" s="86">
        <f t="shared" si="6"/>
        <v>871.71312584573752</v>
      </c>
      <c r="J50" s="485">
        <f t="shared" si="4"/>
        <v>-3.3939126856610748E-2</v>
      </c>
    </row>
    <row r="51" spans="1:10">
      <c r="A51" s="430" t="s">
        <v>219</v>
      </c>
      <c r="B51" s="27">
        <f>整車!E51</f>
        <v>909</v>
      </c>
      <c r="C51" s="86">
        <v>803</v>
      </c>
      <c r="D51" s="485">
        <f t="shared" si="0"/>
        <v>0.13200498132004981</v>
      </c>
      <c r="E51" s="27">
        <f>整車!G51</f>
        <v>2060729</v>
      </c>
      <c r="F51" s="86">
        <v>1262945</v>
      </c>
      <c r="G51" s="485">
        <f t="shared" si="1"/>
        <v>0.63168546532113434</v>
      </c>
      <c r="H51" s="84">
        <f t="shared" si="5"/>
        <v>2267.0286028602859</v>
      </c>
      <c r="I51" s="86">
        <f t="shared" si="6"/>
        <v>1572.7833125778332</v>
      </c>
      <c r="J51" s="485">
        <f t="shared" si="4"/>
        <v>0.44141191270942881</v>
      </c>
    </row>
    <row r="52" spans="1:10">
      <c r="A52" s="431" t="s">
        <v>22</v>
      </c>
      <c r="B52" s="27">
        <f>整車!E52</f>
        <v>833</v>
      </c>
      <c r="C52" s="86">
        <v>299</v>
      </c>
      <c r="D52" s="485">
        <f t="shared" si="0"/>
        <v>1.785953177257525</v>
      </c>
      <c r="E52" s="27">
        <f>整車!G52</f>
        <v>1377073</v>
      </c>
      <c r="F52" s="86">
        <v>450101</v>
      </c>
      <c r="G52" s="485">
        <f t="shared" si="1"/>
        <v>2.0594755399343705</v>
      </c>
      <c r="H52" s="84">
        <f t="shared" si="5"/>
        <v>1653.1488595438175</v>
      </c>
      <c r="I52" s="86">
        <f t="shared" si="6"/>
        <v>1505.3545150501673</v>
      </c>
      <c r="J52" s="485">
        <f t="shared" si="4"/>
        <v>9.8179095366598634E-2</v>
      </c>
    </row>
    <row r="53" spans="1:10">
      <c r="A53" s="430" t="s">
        <v>220</v>
      </c>
      <c r="B53" s="27">
        <f>整車!E53</f>
        <v>868</v>
      </c>
      <c r="C53" s="86">
        <v>989</v>
      </c>
      <c r="D53" s="485">
        <f t="shared" si="0"/>
        <v>-0.12234580384226491</v>
      </c>
      <c r="E53" s="27">
        <f>整車!G53</f>
        <v>1268010</v>
      </c>
      <c r="F53" s="86">
        <v>1031012</v>
      </c>
      <c r="G53" s="485">
        <f t="shared" si="1"/>
        <v>0.22986929347088103</v>
      </c>
      <c r="H53" s="84">
        <f t="shared" si="5"/>
        <v>1460.8410138248848</v>
      </c>
      <c r="I53" s="86">
        <f t="shared" si="6"/>
        <v>1042.479271991911</v>
      </c>
      <c r="J53" s="485">
        <f t="shared" si="4"/>
        <v>0.40131420650080807</v>
      </c>
    </row>
    <row r="54" spans="1:10">
      <c r="A54" s="431" t="s">
        <v>221</v>
      </c>
      <c r="B54" s="27">
        <f>整車!E54</f>
        <v>13561</v>
      </c>
      <c r="C54" s="86">
        <v>8903</v>
      </c>
      <c r="D54" s="485">
        <f t="shared" si="0"/>
        <v>0.52319442884420986</v>
      </c>
      <c r="E54" s="27">
        <f>整車!G54</f>
        <v>10664355</v>
      </c>
      <c r="F54" s="86">
        <v>10934153</v>
      </c>
      <c r="G54" s="485">
        <f t="shared" si="1"/>
        <v>-2.4674796484007496E-2</v>
      </c>
      <c r="H54" s="84">
        <f t="shared" si="5"/>
        <v>786.39886439053168</v>
      </c>
      <c r="I54" s="86">
        <f t="shared" si="6"/>
        <v>1228.1425362237449</v>
      </c>
      <c r="J54" s="485">
        <f t="shared" si="4"/>
        <v>-0.35968436790038483</v>
      </c>
    </row>
    <row r="55" spans="1:10">
      <c r="A55" s="431" t="s">
        <v>23</v>
      </c>
      <c r="B55" s="27">
        <f>整車!E55</f>
        <v>1071</v>
      </c>
      <c r="C55" s="86">
        <v>68</v>
      </c>
      <c r="D55" s="485">
        <f t="shared" si="0"/>
        <v>14.75</v>
      </c>
      <c r="E55" s="27">
        <f>整車!G55</f>
        <v>960238</v>
      </c>
      <c r="F55" s="86">
        <v>153458</v>
      </c>
      <c r="G55" s="485">
        <f t="shared" si="1"/>
        <v>5.2573342543236583</v>
      </c>
      <c r="H55" s="84">
        <f t="shared" si="5"/>
        <v>896.58076563958912</v>
      </c>
      <c r="I55" s="86">
        <f t="shared" si="6"/>
        <v>2256.7352941176468</v>
      </c>
      <c r="J55" s="485">
        <f t="shared" si="4"/>
        <v>-0.60270893623341848</v>
      </c>
    </row>
    <row r="56" spans="1:10">
      <c r="A56" s="431" t="s">
        <v>222</v>
      </c>
      <c r="B56" s="27">
        <f>整車!E56</f>
        <v>15463</v>
      </c>
      <c r="C56" s="86">
        <v>44606</v>
      </c>
      <c r="D56" s="485">
        <f t="shared" si="0"/>
        <v>-0.65334259965027131</v>
      </c>
      <c r="E56" s="27">
        <f>整車!G56</f>
        <v>24442096</v>
      </c>
      <c r="F56" s="86">
        <v>58680410</v>
      </c>
      <c r="G56" s="485">
        <f t="shared" si="1"/>
        <v>-0.58347094030188273</v>
      </c>
      <c r="H56" s="84">
        <f t="shared" si="5"/>
        <v>1580.6826618379357</v>
      </c>
      <c r="I56" s="86">
        <f t="shared" si="6"/>
        <v>1315.5272833251131</v>
      </c>
      <c r="J56" s="485">
        <f t="shared" si="4"/>
        <v>0.20155825110872549</v>
      </c>
    </row>
    <row r="57" spans="1:10">
      <c r="A57" s="433" t="s">
        <v>223</v>
      </c>
      <c r="B57" s="27">
        <f>整車!E57</f>
        <v>4326</v>
      </c>
      <c r="C57" s="86">
        <v>5193</v>
      </c>
      <c r="D57" s="485">
        <f t="shared" si="0"/>
        <v>-0.16695551704217215</v>
      </c>
      <c r="E57" s="27">
        <f>整車!G57</f>
        <v>7208045</v>
      </c>
      <c r="F57" s="86">
        <v>7963958</v>
      </c>
      <c r="G57" s="485">
        <f t="shared" si="1"/>
        <v>-9.4916748681999577E-2</v>
      </c>
      <c r="H57" s="84">
        <f t="shared" si="5"/>
        <v>1666.2147480351364</v>
      </c>
      <c r="I57" s="86">
        <f t="shared" si="6"/>
        <v>1533.5948392066243</v>
      </c>
      <c r="J57" s="485">
        <f t="shared" si="4"/>
        <v>8.6476496554409643E-2</v>
      </c>
    </row>
    <row r="58" spans="1:10">
      <c r="A58" s="431" t="s">
        <v>24</v>
      </c>
      <c r="B58" s="27">
        <f>整車!E58</f>
        <v>741</v>
      </c>
      <c r="C58" s="86">
        <v>2721</v>
      </c>
      <c r="D58" s="485">
        <f t="shared" si="0"/>
        <v>-0.72767364939360524</v>
      </c>
      <c r="E58" s="27">
        <f>整車!G58</f>
        <v>331381</v>
      </c>
      <c r="F58" s="86">
        <v>3068459</v>
      </c>
      <c r="G58" s="485">
        <f t="shared" si="1"/>
        <v>-0.89200409717059936</v>
      </c>
      <c r="H58" s="84">
        <f t="shared" si="5"/>
        <v>447.20782726045883</v>
      </c>
      <c r="I58" s="86">
        <f t="shared" si="6"/>
        <v>1127.6953325983095</v>
      </c>
      <c r="J58" s="485">
        <f t="shared" si="4"/>
        <v>-0.60343204912442749</v>
      </c>
    </row>
    <row r="59" spans="1:10">
      <c r="A59" s="431" t="s">
        <v>25</v>
      </c>
      <c r="B59" s="27">
        <f>整車!E59</f>
        <v>0</v>
      </c>
      <c r="C59" s="86">
        <v>151</v>
      </c>
      <c r="D59" s="485">
        <f t="shared" si="0"/>
        <v>-1</v>
      </c>
      <c r="E59" s="27">
        <f>整車!G59</f>
        <v>0</v>
      </c>
      <c r="F59" s="86">
        <v>63160</v>
      </c>
      <c r="G59" s="485">
        <f t="shared" si="1"/>
        <v>-1</v>
      </c>
      <c r="H59" s="84">
        <f t="shared" si="5"/>
        <v>0</v>
      </c>
      <c r="I59" s="86">
        <f t="shared" si="6"/>
        <v>418.27814569536423</v>
      </c>
      <c r="J59" s="485">
        <f t="shared" si="4"/>
        <v>-1</v>
      </c>
    </row>
    <row r="60" spans="1:10">
      <c r="A60" s="431" t="s">
        <v>26</v>
      </c>
      <c r="B60" s="27">
        <f>整車!E60</f>
        <v>1873</v>
      </c>
      <c r="C60" s="86">
        <v>1053</v>
      </c>
      <c r="D60" s="485">
        <f t="shared" si="0"/>
        <v>0.77872744539411209</v>
      </c>
      <c r="E60" s="27">
        <f>整車!G60</f>
        <v>1947995</v>
      </c>
      <c r="F60" s="86">
        <v>1454020</v>
      </c>
      <c r="G60" s="485">
        <f t="shared" si="1"/>
        <v>0.33973054015763193</v>
      </c>
      <c r="H60" s="84">
        <f t="shared" si="5"/>
        <v>1040.0400427122263</v>
      </c>
      <c r="I60" s="86">
        <f t="shared" si="6"/>
        <v>1380.8357075023741</v>
      </c>
      <c r="J60" s="485">
        <f t="shared" si="4"/>
        <v>-0.24680391949493521</v>
      </c>
    </row>
    <row r="61" spans="1:10">
      <c r="A61" s="432" t="s">
        <v>224</v>
      </c>
      <c r="B61" s="27">
        <f>整車!E61</f>
        <v>1060</v>
      </c>
      <c r="C61" s="86">
        <v>1174</v>
      </c>
      <c r="D61" s="485">
        <f t="shared" si="0"/>
        <v>-9.7103918228279393E-2</v>
      </c>
      <c r="E61" s="27">
        <f>整車!G61</f>
        <v>2226651</v>
      </c>
      <c r="F61" s="86">
        <v>2271213</v>
      </c>
      <c r="G61" s="485">
        <f t="shared" si="1"/>
        <v>-1.9620352648562683E-2</v>
      </c>
      <c r="H61" s="84">
        <f t="shared" si="5"/>
        <v>2100.6141509433965</v>
      </c>
      <c r="I61" s="86">
        <f t="shared" si="6"/>
        <v>1934.5936967632026</v>
      </c>
      <c r="J61" s="485">
        <f t="shared" si="4"/>
        <v>8.5816703764705279E-2</v>
      </c>
    </row>
    <row r="62" spans="1:10">
      <c r="A62" s="431" t="s">
        <v>27</v>
      </c>
      <c r="B62" s="27">
        <f>整車!E62</f>
        <v>1837</v>
      </c>
      <c r="C62" s="86">
        <v>1178</v>
      </c>
      <c r="D62" s="485">
        <f t="shared" si="0"/>
        <v>0.55942275042444822</v>
      </c>
      <c r="E62" s="27">
        <f>整車!G62</f>
        <v>3304520</v>
      </c>
      <c r="F62" s="86">
        <v>1818864</v>
      </c>
      <c r="G62" s="485">
        <f t="shared" si="1"/>
        <v>0.81680433501350291</v>
      </c>
      <c r="H62" s="84">
        <f t="shared" si="5"/>
        <v>1798.86771910724</v>
      </c>
      <c r="I62" s="86">
        <f t="shared" si="6"/>
        <v>1544.0271646859082</v>
      </c>
      <c r="J62" s="485">
        <f t="shared" si="4"/>
        <v>0.16504926872395559</v>
      </c>
    </row>
    <row r="63" spans="1:10">
      <c r="A63" s="286" t="s">
        <v>225</v>
      </c>
      <c r="B63" s="27">
        <f>整車!E63</f>
        <v>2</v>
      </c>
      <c r="C63" s="86">
        <v>127</v>
      </c>
      <c r="D63" s="485">
        <f t="shared" si="0"/>
        <v>-0.98425196850393704</v>
      </c>
      <c r="E63" s="27">
        <f>整車!G63</f>
        <v>9725</v>
      </c>
      <c r="F63" s="86">
        <v>147878</v>
      </c>
      <c r="G63" s="485">
        <f t="shared" si="1"/>
        <v>-0.93423632994765959</v>
      </c>
      <c r="H63" s="84">
        <f t="shared" si="5"/>
        <v>4862.5</v>
      </c>
      <c r="I63" s="86">
        <f t="shared" si="6"/>
        <v>1164.3937007874015</v>
      </c>
      <c r="J63" s="485">
        <f t="shared" si="4"/>
        <v>3.1759930483236185</v>
      </c>
    </row>
    <row r="64" spans="1:10">
      <c r="A64" s="431" t="s">
        <v>28</v>
      </c>
      <c r="B64" s="27">
        <f>整車!E64</f>
        <v>168</v>
      </c>
      <c r="C64" s="86">
        <v>471</v>
      </c>
      <c r="D64" s="485">
        <f t="shared" si="0"/>
        <v>-0.64331210191082799</v>
      </c>
      <c r="E64" s="27">
        <f>整車!G64</f>
        <v>284364</v>
      </c>
      <c r="F64" s="86">
        <v>929918</v>
      </c>
      <c r="G64" s="485">
        <f t="shared" si="1"/>
        <v>-0.69420529552068033</v>
      </c>
      <c r="H64" s="84">
        <f t="shared" si="5"/>
        <v>1692.6428571428571</v>
      </c>
      <c r="I64" s="86">
        <f t="shared" si="6"/>
        <v>1974.348195329087</v>
      </c>
      <c r="J64" s="485">
        <f t="shared" si="4"/>
        <v>-0.1426827035133359</v>
      </c>
    </row>
    <row r="65" spans="1:10">
      <c r="A65" s="286" t="s">
        <v>226</v>
      </c>
      <c r="B65" s="27">
        <f>整車!E65</f>
        <v>418</v>
      </c>
      <c r="C65" s="86">
        <v>462</v>
      </c>
      <c r="D65" s="485">
        <f t="shared" si="0"/>
        <v>-9.5238095238095233E-2</v>
      </c>
      <c r="E65" s="27">
        <f>整車!G65</f>
        <v>445439</v>
      </c>
      <c r="F65" s="86">
        <v>864052</v>
      </c>
      <c r="G65" s="485">
        <f t="shared" si="1"/>
        <v>-0.48447662872141956</v>
      </c>
      <c r="H65" s="84">
        <f t="shared" si="5"/>
        <v>1065.6435406698565</v>
      </c>
      <c r="I65" s="86">
        <f t="shared" si="6"/>
        <v>1870.2424242424242</v>
      </c>
      <c r="J65" s="485">
        <f t="shared" si="4"/>
        <v>-0.43021101069209527</v>
      </c>
    </row>
    <row r="66" spans="1:10">
      <c r="A66" s="30" t="s">
        <v>29</v>
      </c>
      <c r="B66" s="27">
        <f>B67-B47-B41-B12-B7</f>
        <v>4954</v>
      </c>
      <c r="C66" s="86">
        <v>6509</v>
      </c>
      <c r="D66" s="485">
        <f t="shared" si="0"/>
        <v>-0.23889998463665693</v>
      </c>
      <c r="E66" s="27">
        <f>E67-E47-E41-E12-E7</f>
        <v>6878729</v>
      </c>
      <c r="F66" s="86">
        <v>10178443</v>
      </c>
      <c r="G66" s="485">
        <f t="shared" si="1"/>
        <v>-0.3241865185077914</v>
      </c>
      <c r="H66" s="84">
        <f t="shared" si="5"/>
        <v>1388.5201857085183</v>
      </c>
      <c r="I66" s="86">
        <f t="shared" si="6"/>
        <v>1563.7491166077739</v>
      </c>
      <c r="J66" s="485">
        <f t="shared" si="4"/>
        <v>-0.11205693358240103</v>
      </c>
    </row>
    <row r="67" spans="1:10">
      <c r="A67" s="32" t="s">
        <v>398</v>
      </c>
      <c r="B67" s="33">
        <f>整車!E67</f>
        <v>284765</v>
      </c>
      <c r="C67" s="86">
        <v>371932</v>
      </c>
      <c r="D67" s="485">
        <f t="shared" si="0"/>
        <v>-0.23436273297269394</v>
      </c>
      <c r="E67" s="33">
        <f>整車!G67</f>
        <v>288070880</v>
      </c>
      <c r="F67" s="86">
        <v>413193616</v>
      </c>
      <c r="G67" s="485">
        <f t="shared" si="1"/>
        <v>-0.30281865729503432</v>
      </c>
      <c r="H67" s="84">
        <f t="shared" ref="H67:I67" si="7">E67/B67</f>
        <v>1011.6091514055449</v>
      </c>
      <c r="I67" s="86">
        <f t="shared" si="7"/>
        <v>1110.9386016798769</v>
      </c>
      <c r="J67" s="485">
        <f t="shared" si="4"/>
        <v>-8.9410386968400896E-2</v>
      </c>
    </row>
    <row r="68" spans="1:10">
      <c r="A68" s="93"/>
      <c r="B68" s="94"/>
      <c r="C68" s="95"/>
      <c r="D68" s="96"/>
      <c r="E68" s="94"/>
      <c r="F68" s="95"/>
      <c r="G68" s="97"/>
      <c r="H68" s="91"/>
      <c r="I68" s="95"/>
      <c r="J68" s="92"/>
    </row>
    <row r="69" spans="1:10">
      <c r="A69" s="98" t="s">
        <v>148</v>
      </c>
      <c r="B69" s="99"/>
      <c r="C69" s="100"/>
      <c r="D69" s="101"/>
      <c r="E69" s="99"/>
      <c r="F69" s="100"/>
      <c r="G69" s="102"/>
      <c r="H69" s="91"/>
      <c r="I69" s="100"/>
      <c r="J69" s="92"/>
    </row>
    <row r="70" spans="1:10">
      <c r="A70" s="67" t="s">
        <v>499</v>
      </c>
      <c r="B70" s="8" t="s">
        <v>455</v>
      </c>
      <c r="C70" s="531" t="s">
        <v>464</v>
      </c>
      <c r="D70" s="69" t="s">
        <v>153</v>
      </c>
      <c r="E70" s="8" t="s">
        <v>455</v>
      </c>
      <c r="F70" s="531" t="s">
        <v>464</v>
      </c>
      <c r="G70" s="71" t="s">
        <v>154</v>
      </c>
      <c r="H70" s="8" t="s">
        <v>455</v>
      </c>
      <c r="I70" s="531" t="s">
        <v>457</v>
      </c>
      <c r="J70" s="72" t="s">
        <v>35</v>
      </c>
    </row>
    <row r="71" spans="1:10">
      <c r="A71" s="46"/>
      <c r="B71" s="103" t="s">
        <v>31</v>
      </c>
      <c r="C71" s="533" t="s">
        <v>31</v>
      </c>
      <c r="D71" s="427" t="s">
        <v>1</v>
      </c>
      <c r="E71" s="48" t="s">
        <v>32</v>
      </c>
      <c r="F71" s="533" t="s">
        <v>32</v>
      </c>
      <c r="G71" s="428" t="s">
        <v>1</v>
      </c>
      <c r="H71" s="75" t="s">
        <v>33</v>
      </c>
      <c r="I71" s="533" t="s">
        <v>106</v>
      </c>
      <c r="J71" s="427" t="s">
        <v>1</v>
      </c>
    </row>
    <row r="72" spans="1:10">
      <c r="A72" s="32" t="s">
        <v>30</v>
      </c>
      <c r="B72" s="33">
        <f>整車!E72</f>
        <v>11420</v>
      </c>
      <c r="C72" s="86">
        <v>8545</v>
      </c>
      <c r="D72" s="83">
        <f>(B72-C72)/C72</f>
        <v>0.33645406670567585</v>
      </c>
      <c r="E72" s="33">
        <f>整車!G72</f>
        <v>3714411</v>
      </c>
      <c r="F72" s="86">
        <v>2564647</v>
      </c>
      <c r="G72" s="90">
        <f>(E72-F72)/F72</f>
        <v>0.44831276974959905</v>
      </c>
      <c r="H72" s="84">
        <f>E72/B72</f>
        <v>325.25490367775831</v>
      </c>
      <c r="I72" s="86">
        <f>F72/C72</f>
        <v>300.13423054417785</v>
      </c>
      <c r="J72" s="89">
        <f>(H72-I72)/I72</f>
        <v>8.3698127627874319E-2</v>
      </c>
    </row>
    <row r="73" spans="1:10" ht="7.5" customHeight="1">
      <c r="A73" s="104"/>
      <c r="B73" s="105"/>
      <c r="C73" s="39"/>
      <c r="D73" s="105"/>
      <c r="E73" s="105"/>
      <c r="F73" s="39"/>
      <c r="G73" s="105"/>
      <c r="H73" s="105"/>
      <c r="I73" s="39"/>
      <c r="J73" s="105"/>
    </row>
    <row r="74" spans="1:10" s="105" customFormat="1">
      <c r="A74" s="515" t="s">
        <v>459</v>
      </c>
      <c r="B74" s="13"/>
      <c r="C74" s="534"/>
      <c r="D74" s="57"/>
      <c r="E74" s="13"/>
      <c r="F74" s="534"/>
      <c r="G74" s="57"/>
      <c r="H74" s="5"/>
      <c r="I74" s="534"/>
      <c r="J74" s="5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7" t="s">
        <v>147</v>
      </c>
      <c r="B1" s="368"/>
      <c r="C1" s="368"/>
      <c r="D1" s="368"/>
      <c r="E1" s="368"/>
      <c r="F1" s="368"/>
      <c r="G1" s="368"/>
      <c r="H1" s="368"/>
      <c r="I1" s="368"/>
      <c r="J1" s="369"/>
      <c r="K1" s="370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>
      <c r="A2" s="371" t="s">
        <v>227</v>
      </c>
      <c r="B2" s="368"/>
      <c r="C2" s="368"/>
      <c r="D2" s="368"/>
      <c r="E2" s="368"/>
      <c r="F2" s="368"/>
      <c r="G2" s="368"/>
      <c r="H2" s="368"/>
      <c r="I2" s="368"/>
      <c r="J2" s="369"/>
      <c r="K2" s="370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</row>
    <row r="3" spans="1:27">
      <c r="A3" s="372" t="s">
        <v>116</v>
      </c>
      <c r="B3" s="368"/>
      <c r="C3" s="368"/>
      <c r="D3" s="368"/>
      <c r="E3" s="368"/>
      <c r="F3" s="368"/>
      <c r="G3" s="368"/>
      <c r="H3" s="368"/>
      <c r="I3" s="368"/>
      <c r="J3" s="369"/>
      <c r="K3" s="370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</row>
    <row r="4" spans="1:27">
      <c r="A4" s="372" t="s">
        <v>117</v>
      </c>
      <c r="B4" s="368"/>
      <c r="C4" s="368"/>
      <c r="D4" s="368"/>
      <c r="E4" s="368"/>
      <c r="F4" s="368"/>
      <c r="G4" s="368"/>
      <c r="H4" s="368"/>
      <c r="I4" s="368"/>
      <c r="J4" s="369"/>
      <c r="K4" s="370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</row>
    <row r="5" spans="1:27">
      <c r="A5" s="373" t="s">
        <v>118</v>
      </c>
      <c r="B5" s="368"/>
      <c r="C5" s="368"/>
      <c r="D5" s="368"/>
      <c r="E5" s="368"/>
      <c r="F5" s="368"/>
      <c r="G5" s="368"/>
      <c r="H5" s="368"/>
      <c r="I5" s="368"/>
      <c r="J5" s="369"/>
      <c r="K5" s="370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</row>
    <row r="6" spans="1:27">
      <c r="A6" s="374"/>
      <c r="B6" s="375" t="s">
        <v>119</v>
      </c>
      <c r="C6" s="376"/>
      <c r="D6" s="375" t="s">
        <v>120</v>
      </c>
      <c r="E6" s="376"/>
      <c r="F6" s="375" t="s">
        <v>121</v>
      </c>
      <c r="G6" s="376"/>
      <c r="H6" s="375" t="s">
        <v>122</v>
      </c>
      <c r="I6" s="376"/>
      <c r="J6" s="377" t="s">
        <v>123</v>
      </c>
      <c r="K6" s="378"/>
      <c r="L6" s="375" t="s">
        <v>124</v>
      </c>
      <c r="M6" s="376"/>
      <c r="N6" s="375" t="s">
        <v>125</v>
      </c>
      <c r="O6" s="376"/>
      <c r="P6" s="375" t="s">
        <v>126</v>
      </c>
      <c r="Q6" s="376"/>
      <c r="R6" s="375" t="s">
        <v>127</v>
      </c>
      <c r="S6" s="376"/>
      <c r="T6" s="375" t="s">
        <v>128</v>
      </c>
      <c r="U6" s="376"/>
      <c r="V6" s="375" t="s">
        <v>129</v>
      </c>
      <c r="W6" s="376"/>
      <c r="X6" s="375" t="s">
        <v>130</v>
      </c>
      <c r="Y6" s="376"/>
      <c r="Z6" s="375" t="s">
        <v>102</v>
      </c>
      <c r="AA6" s="376"/>
    </row>
    <row r="7" spans="1:27">
      <c r="A7" s="379" t="s">
        <v>131</v>
      </c>
      <c r="B7" s="380" t="s">
        <v>132</v>
      </c>
      <c r="C7" s="380" t="s">
        <v>133</v>
      </c>
      <c r="D7" s="380" t="s">
        <v>134</v>
      </c>
      <c r="E7" s="380" t="s">
        <v>135</v>
      </c>
      <c r="F7" s="380" t="s">
        <v>134</v>
      </c>
      <c r="G7" s="380" t="s">
        <v>135</v>
      </c>
      <c r="H7" s="380" t="s">
        <v>134</v>
      </c>
      <c r="I7" s="380" t="s">
        <v>135</v>
      </c>
      <c r="J7" s="381" t="s">
        <v>134</v>
      </c>
      <c r="K7" s="382" t="s">
        <v>135</v>
      </c>
      <c r="L7" s="380" t="s">
        <v>134</v>
      </c>
      <c r="M7" s="380" t="s">
        <v>135</v>
      </c>
      <c r="N7" s="380" t="s">
        <v>134</v>
      </c>
      <c r="O7" s="380" t="s">
        <v>135</v>
      </c>
      <c r="P7" s="380" t="s">
        <v>134</v>
      </c>
      <c r="Q7" s="380" t="s">
        <v>135</v>
      </c>
      <c r="R7" s="380" t="s">
        <v>134</v>
      </c>
      <c r="S7" s="380" t="s">
        <v>135</v>
      </c>
      <c r="T7" s="380" t="s">
        <v>134</v>
      </c>
      <c r="U7" s="380" t="s">
        <v>135</v>
      </c>
      <c r="V7" s="380" t="s">
        <v>134</v>
      </c>
      <c r="W7" s="380" t="s">
        <v>135</v>
      </c>
      <c r="X7" s="380" t="s">
        <v>134</v>
      </c>
      <c r="Y7" s="380" t="s">
        <v>135</v>
      </c>
      <c r="Z7" s="380" t="s">
        <v>134</v>
      </c>
      <c r="AA7" s="380" t="s">
        <v>135</v>
      </c>
    </row>
    <row r="8" spans="1:27">
      <c r="A8" s="383"/>
      <c r="B8" s="384"/>
      <c r="C8" s="384"/>
      <c r="D8" s="384"/>
      <c r="E8" s="384"/>
      <c r="F8" s="384"/>
      <c r="G8" s="384"/>
      <c r="H8" s="384"/>
      <c r="I8" s="384"/>
      <c r="J8" s="385"/>
      <c r="K8" s="386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</row>
    <row r="9" spans="1:27">
      <c r="A9" s="387" t="s">
        <v>102</v>
      </c>
      <c r="B9" s="388">
        <f t="shared" ref="B9:Y9" si="0">B11+B36+B85+B97+B102+B136+B151+B189</f>
        <v>149387</v>
      </c>
      <c r="C9" s="388">
        <f t="shared" si="0"/>
        <v>83642274</v>
      </c>
      <c r="D9" s="388">
        <f t="shared" si="0"/>
        <v>134859</v>
      </c>
      <c r="E9" s="388">
        <f t="shared" si="0"/>
        <v>77838400</v>
      </c>
      <c r="F9" s="388">
        <f t="shared" si="0"/>
        <v>116197</v>
      </c>
      <c r="G9" s="388">
        <f t="shared" si="0"/>
        <v>70981672</v>
      </c>
      <c r="H9" s="388">
        <f>H11+H36+H85+H97+H102+H136+H151+H189</f>
        <v>96180</v>
      </c>
      <c r="I9" s="388">
        <f t="shared" si="0"/>
        <v>53927495</v>
      </c>
      <c r="J9" s="389">
        <f t="shared" si="0"/>
        <v>135293</v>
      </c>
      <c r="K9" s="390">
        <f t="shared" si="0"/>
        <v>86108621</v>
      </c>
      <c r="L9" s="388">
        <f t="shared" si="0"/>
        <v>137464</v>
      </c>
      <c r="M9" s="388">
        <f t="shared" si="0"/>
        <v>97259100</v>
      </c>
      <c r="N9" s="388">
        <f t="shared" si="0"/>
        <v>135636</v>
      </c>
      <c r="O9" s="388">
        <f>O11+O36+O85+O97+O102+O136+O151+O189</f>
        <v>113137191</v>
      </c>
      <c r="P9" s="388">
        <f t="shared" ref="P9:Q9" si="1">P11+P36+P85+P97+P102+P136+P151+P189</f>
        <v>180175</v>
      </c>
      <c r="Q9" s="388">
        <f t="shared" si="1"/>
        <v>130469911</v>
      </c>
      <c r="R9" s="388">
        <f t="shared" si="0"/>
        <v>138272</v>
      </c>
      <c r="S9" s="388">
        <f t="shared" si="0"/>
        <v>91374787</v>
      </c>
      <c r="T9" s="388">
        <f t="shared" si="0"/>
        <v>158604</v>
      </c>
      <c r="U9" s="388">
        <f t="shared" si="0"/>
        <v>99046159</v>
      </c>
      <c r="V9" s="388">
        <f>V11+V36+V85+V97+V102+V136+V151+V189</f>
        <v>154200</v>
      </c>
      <c r="W9" s="388">
        <f>W11+W36+W85+W97+W102+W136+W151+W189</f>
        <v>91747985</v>
      </c>
      <c r="X9" s="388">
        <f t="shared" si="0"/>
        <v>162659</v>
      </c>
      <c r="Y9" s="388">
        <f t="shared" si="0"/>
        <v>102455347</v>
      </c>
      <c r="Z9" s="388">
        <f>SUM(B9,D9,F9,H9,J9,L9,N9,P9,R9,T9,V9,X9)</f>
        <v>1698926</v>
      </c>
      <c r="AA9" s="388">
        <f>SUM(C9,E9,G9,I9,K9,M9,O9,Q9,S9,U9,W9,Y9)</f>
        <v>1097988942</v>
      </c>
    </row>
    <row r="10" spans="1:27">
      <c r="A10" s="391"/>
      <c r="B10" s="392"/>
      <c r="C10" s="392"/>
      <c r="D10" s="392"/>
      <c r="E10" s="392"/>
      <c r="F10" s="392"/>
      <c r="G10" s="392"/>
      <c r="H10" s="392"/>
      <c r="I10" s="392"/>
      <c r="J10" s="385"/>
      <c r="K10" s="386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</row>
    <row r="11" spans="1:27">
      <c r="A11" s="393" t="s">
        <v>136</v>
      </c>
      <c r="B11" s="394">
        <f t="shared" ref="B11:Y11" si="2">SUM(B12:B34)</f>
        <v>9822</v>
      </c>
      <c r="C11" s="394">
        <f t="shared" si="2"/>
        <v>7689072</v>
      </c>
      <c r="D11" s="394">
        <f t="shared" si="2"/>
        <v>13182</v>
      </c>
      <c r="E11" s="394">
        <f t="shared" si="2"/>
        <v>9988636</v>
      </c>
      <c r="F11" s="394">
        <f t="shared" si="2"/>
        <v>12924</v>
      </c>
      <c r="G11" s="394">
        <f t="shared" si="2"/>
        <v>10303881</v>
      </c>
      <c r="H11" s="394">
        <f t="shared" si="2"/>
        <v>8794</v>
      </c>
      <c r="I11" s="394">
        <f t="shared" si="2"/>
        <v>7937732</v>
      </c>
      <c r="J11" s="395">
        <f t="shared" si="2"/>
        <v>14153</v>
      </c>
      <c r="K11" s="396">
        <f>SUM(K12:K34)</f>
        <v>9985367</v>
      </c>
      <c r="L11" s="394">
        <f t="shared" si="2"/>
        <v>13721</v>
      </c>
      <c r="M11" s="394">
        <f t="shared" si="2"/>
        <v>10777159</v>
      </c>
      <c r="N11" s="394">
        <f t="shared" si="2"/>
        <v>17223</v>
      </c>
      <c r="O11" s="394">
        <f t="shared" si="2"/>
        <v>14149868</v>
      </c>
      <c r="P11" s="394">
        <f t="shared" si="2"/>
        <v>16854</v>
      </c>
      <c r="Q11" s="394">
        <f t="shared" si="2"/>
        <v>16948467</v>
      </c>
      <c r="R11" s="394">
        <f t="shared" si="2"/>
        <v>13693</v>
      </c>
      <c r="S11" s="394">
        <f t="shared" si="2"/>
        <v>11152146</v>
      </c>
      <c r="T11" s="394">
        <f t="shared" si="2"/>
        <v>11159</v>
      </c>
      <c r="U11" s="394">
        <f t="shared" si="2"/>
        <v>10364638</v>
      </c>
      <c r="V11" s="394">
        <f>SUM(V12:V34)</f>
        <v>11101</v>
      </c>
      <c r="W11" s="394">
        <f>SUM(W12:W34)</f>
        <v>10615154</v>
      </c>
      <c r="X11" s="394">
        <f t="shared" si="2"/>
        <v>15058</v>
      </c>
      <c r="Y11" s="394">
        <f t="shared" si="2"/>
        <v>14072707</v>
      </c>
      <c r="Z11" s="394">
        <f t="shared" ref="Z11:Z34" si="3">SUM(B11,D11,F11,H11,J11,L11,N11,P11,R11,T11,V11,X11)</f>
        <v>157684</v>
      </c>
      <c r="AA11" s="394">
        <f t="shared" ref="AA11:AA34" si="4">SUM(C11,E11,G11,I11,K11,M11,O11,Q11,S11,U11,W11,Y11)</f>
        <v>133984827</v>
      </c>
    </row>
    <row r="12" spans="1:27">
      <c r="A12" s="397" t="s">
        <v>217</v>
      </c>
      <c r="B12" s="398">
        <v>6052</v>
      </c>
      <c r="C12" s="398">
        <v>4259214</v>
      </c>
      <c r="D12" s="398">
        <v>7754</v>
      </c>
      <c r="E12" s="398">
        <v>4910425</v>
      </c>
      <c r="F12" s="398">
        <v>5600</v>
      </c>
      <c r="G12" s="398">
        <v>3312180</v>
      </c>
      <c r="H12" s="398">
        <v>3341</v>
      </c>
      <c r="I12" s="398">
        <v>2434783</v>
      </c>
      <c r="J12" s="399">
        <v>6917</v>
      </c>
      <c r="K12" s="400">
        <v>3550152</v>
      </c>
      <c r="L12" s="398">
        <v>4508</v>
      </c>
      <c r="M12" s="398">
        <v>3172221</v>
      </c>
      <c r="N12" s="398">
        <v>8345</v>
      </c>
      <c r="O12" s="398">
        <v>5467381</v>
      </c>
      <c r="P12" s="398">
        <v>6542</v>
      </c>
      <c r="Q12" s="398">
        <v>5892377</v>
      </c>
      <c r="R12" s="398">
        <v>4607</v>
      </c>
      <c r="S12" s="398">
        <v>2424966</v>
      </c>
      <c r="T12" s="398">
        <v>3933</v>
      </c>
      <c r="U12" s="398">
        <v>2807435</v>
      </c>
      <c r="V12" s="398">
        <f>_xlfn.IFNA(VLOOKUP(A12,[3]進出口值表查詢結果!$C$11:$F$68,4,0),-[4]整車!$B$22)</f>
        <v>4019</v>
      </c>
      <c r="W12" s="398">
        <f>_xlfn.IFNA(VLOOKUP(A12,[3]進出口值表查詢結果!$C$11:$F$68,3,0),-[4]整車!$B$22)</f>
        <v>3259963</v>
      </c>
      <c r="X12" s="398">
        <f>_xlfn.IFNA(VLOOKUP(A12,[5]進出口值表查詢結果!$C$11:$F$68,4,0),-[4]整車!$B$22)</f>
        <v>5220</v>
      </c>
      <c r="Y12" s="398">
        <f>_xlfn.IFNA(VLOOKUP(A12,[5]進出口值表查詢結果!$C$11:$F$68,3,0),-[4]整車!$B$22)</f>
        <v>3196394</v>
      </c>
      <c r="Z12" s="392">
        <f t="shared" si="3"/>
        <v>66838</v>
      </c>
      <c r="AA12" s="392">
        <f t="shared" si="4"/>
        <v>44687491</v>
      </c>
    </row>
    <row r="13" spans="1:27">
      <c r="A13" s="397" t="s">
        <v>228</v>
      </c>
      <c r="B13" s="398">
        <v>179</v>
      </c>
      <c r="C13" s="398">
        <v>131656</v>
      </c>
      <c r="D13" s="398">
        <v>274</v>
      </c>
      <c r="E13" s="398">
        <v>366955</v>
      </c>
      <c r="F13" s="398">
        <v>379</v>
      </c>
      <c r="G13" s="398">
        <v>326020</v>
      </c>
      <c r="H13" s="398">
        <v>412</v>
      </c>
      <c r="I13" s="398">
        <v>690860</v>
      </c>
      <c r="J13" s="399">
        <v>564</v>
      </c>
      <c r="K13" s="400">
        <v>591178</v>
      </c>
      <c r="L13" s="398">
        <v>419</v>
      </c>
      <c r="M13" s="398">
        <v>628920</v>
      </c>
      <c r="N13" s="398">
        <v>900</v>
      </c>
      <c r="O13" s="398">
        <v>1147430</v>
      </c>
      <c r="P13" s="398">
        <v>1146</v>
      </c>
      <c r="Q13" s="398">
        <v>1244090</v>
      </c>
      <c r="R13" s="398">
        <v>1102</v>
      </c>
      <c r="S13" s="398">
        <v>984782</v>
      </c>
      <c r="T13" s="398">
        <v>754</v>
      </c>
      <c r="U13" s="398">
        <v>962823</v>
      </c>
      <c r="V13" s="398">
        <f>_xlfn.IFNA(VLOOKUP(A13,[3]進出口值表查詢結果!$C$11:$F$68,4,0),-[4]整車!$B$22)</f>
        <v>856</v>
      </c>
      <c r="W13" s="398">
        <f>_xlfn.IFNA(VLOOKUP(A13,[3]進出口值表查詢結果!$C$11:$F$68,3,0),-[4]整車!$B$22)</f>
        <v>955426</v>
      </c>
      <c r="X13" s="398">
        <f>_xlfn.IFNA(VLOOKUP(A13,[5]進出口值表查詢結果!$C$11:$F$68,4,0),-[4]整車!$B$22)</f>
        <v>1391</v>
      </c>
      <c r="Y13" s="398">
        <f>_xlfn.IFNA(VLOOKUP(A13,[5]進出口值表查詢結果!$C$11:$F$68,3,0),-[4]整車!$B$22)</f>
        <v>1781279</v>
      </c>
      <c r="Z13" s="392">
        <f t="shared" si="3"/>
        <v>8376</v>
      </c>
      <c r="AA13" s="392">
        <f t="shared" si="4"/>
        <v>9811419</v>
      </c>
    </row>
    <row r="14" spans="1:27">
      <c r="A14" s="434" t="s">
        <v>229</v>
      </c>
      <c r="B14" s="398">
        <v>524</v>
      </c>
      <c r="C14" s="398">
        <v>127658</v>
      </c>
      <c r="D14" s="398">
        <v>549</v>
      </c>
      <c r="E14" s="398">
        <v>126180</v>
      </c>
      <c r="F14" s="398">
        <v>710</v>
      </c>
      <c r="G14" s="398">
        <v>174742</v>
      </c>
      <c r="H14" s="398">
        <v>864</v>
      </c>
      <c r="I14" s="398">
        <v>362370</v>
      </c>
      <c r="J14" s="399">
        <v>1603</v>
      </c>
      <c r="K14" s="400">
        <v>677515</v>
      </c>
      <c r="L14" s="398">
        <v>1216</v>
      </c>
      <c r="M14" s="398">
        <v>120579</v>
      </c>
      <c r="N14" s="398">
        <v>1021</v>
      </c>
      <c r="O14" s="398">
        <v>611528</v>
      </c>
      <c r="P14" s="398">
        <v>1131</v>
      </c>
      <c r="Q14" s="398">
        <v>586618</v>
      </c>
      <c r="R14" s="398">
        <v>1515</v>
      </c>
      <c r="S14" s="398">
        <v>914097</v>
      </c>
      <c r="T14" s="398">
        <v>818</v>
      </c>
      <c r="U14" s="398">
        <v>265715</v>
      </c>
      <c r="V14" s="398">
        <f>_xlfn.IFNA(VLOOKUP(A14,[3]進出口值表查詢結果!$C$11:$F$68,4,0),-[4]整車!$B$22)</f>
        <v>695</v>
      </c>
      <c r="W14" s="398">
        <f>_xlfn.IFNA(VLOOKUP(A14,[3]進出口值表查詢結果!$C$11:$F$68,3,0),-[4]整車!$B$22)</f>
        <v>379724</v>
      </c>
      <c r="X14" s="398">
        <f>_xlfn.IFNA(VLOOKUP(A14,[5]進出口值表查詢結果!$C$11:$F$68,4,0),-[4]整車!$B$22)</f>
        <v>456</v>
      </c>
      <c r="Y14" s="398">
        <f>_xlfn.IFNA(VLOOKUP(A14,[5]進出口值表查詢結果!$C$11:$F$68,3,0),-[4]整車!$B$22)</f>
        <v>425334</v>
      </c>
      <c r="Z14" s="392">
        <f t="shared" si="3"/>
        <v>11102</v>
      </c>
      <c r="AA14" s="392">
        <f t="shared" si="4"/>
        <v>4772060</v>
      </c>
    </row>
    <row r="15" spans="1:27">
      <c r="A15" s="434" t="s">
        <v>166</v>
      </c>
      <c r="B15" s="398">
        <v>65</v>
      </c>
      <c r="C15" s="398">
        <v>102167</v>
      </c>
      <c r="D15" s="398">
        <v>153</v>
      </c>
      <c r="E15" s="398">
        <v>198502</v>
      </c>
      <c r="F15" s="398">
        <v>171</v>
      </c>
      <c r="G15" s="398">
        <v>186525</v>
      </c>
      <c r="H15" s="398">
        <v>62</v>
      </c>
      <c r="I15" s="398">
        <v>69195</v>
      </c>
      <c r="J15" s="399">
        <v>111</v>
      </c>
      <c r="K15" s="400">
        <v>71668</v>
      </c>
      <c r="L15" s="398">
        <v>156</v>
      </c>
      <c r="M15" s="398">
        <v>125402</v>
      </c>
      <c r="N15" s="398">
        <v>167</v>
      </c>
      <c r="O15" s="398">
        <v>258485</v>
      </c>
      <c r="P15" s="398">
        <v>211</v>
      </c>
      <c r="Q15" s="398">
        <v>238597</v>
      </c>
      <c r="R15" s="398">
        <v>601</v>
      </c>
      <c r="S15" s="398">
        <v>371230</v>
      </c>
      <c r="T15" s="398">
        <v>212</v>
      </c>
      <c r="U15" s="398">
        <v>237659</v>
      </c>
      <c r="V15" s="398">
        <f>_xlfn.IFNA(VLOOKUP(A15,[3]進出口值表查詢結果!$C$11:$F$68,4,0),-[4]整車!$B$22)</f>
        <v>156</v>
      </c>
      <c r="W15" s="398">
        <f>_xlfn.IFNA(VLOOKUP(A15,[3]進出口值表查詢結果!$C$11:$F$68,3,0),-[4]整車!$B$22)</f>
        <v>243778</v>
      </c>
      <c r="X15" s="398">
        <f>_xlfn.IFNA(VLOOKUP(A15,[5]進出口值表查詢結果!$C$11:$F$68,4,0),-[4]整車!$B$22)</f>
        <v>452</v>
      </c>
      <c r="Y15" s="398">
        <f>_xlfn.IFNA(VLOOKUP(A15,[5]進出口值表查詢結果!$C$11:$F$68,3,0),-[4]整車!$B$22)</f>
        <v>279986</v>
      </c>
      <c r="Z15" s="392">
        <f t="shared" si="3"/>
        <v>2517</v>
      </c>
      <c r="AA15" s="392">
        <f t="shared" si="4"/>
        <v>2383194</v>
      </c>
    </row>
    <row r="16" spans="1:27">
      <c r="A16" s="435" t="s">
        <v>172</v>
      </c>
      <c r="B16" s="398">
        <v>1307</v>
      </c>
      <c r="C16" s="398">
        <v>1817059</v>
      </c>
      <c r="D16" s="398">
        <v>1950</v>
      </c>
      <c r="E16" s="398">
        <v>2185577</v>
      </c>
      <c r="F16" s="398">
        <v>2367</v>
      </c>
      <c r="G16" s="398">
        <v>2674246</v>
      </c>
      <c r="H16" s="398">
        <v>2201</v>
      </c>
      <c r="I16" s="398">
        <v>1979400</v>
      </c>
      <c r="J16" s="399">
        <v>2682</v>
      </c>
      <c r="K16" s="400">
        <v>2461078</v>
      </c>
      <c r="L16" s="398">
        <v>2380</v>
      </c>
      <c r="M16" s="398">
        <v>2624768</v>
      </c>
      <c r="N16" s="398">
        <v>2747</v>
      </c>
      <c r="O16" s="398">
        <v>2999359</v>
      </c>
      <c r="P16" s="398">
        <v>3612</v>
      </c>
      <c r="Q16" s="398">
        <v>4516165</v>
      </c>
      <c r="R16" s="398">
        <v>2996</v>
      </c>
      <c r="S16" s="398">
        <v>3713824</v>
      </c>
      <c r="T16" s="398">
        <v>2056</v>
      </c>
      <c r="U16" s="398">
        <v>2891152</v>
      </c>
      <c r="V16" s="398">
        <f>_xlfn.IFNA(VLOOKUP(A16,[3]進出口值表查詢結果!$C$11:$F$68,4,0),-[4]整車!$B$22)</f>
        <v>1790</v>
      </c>
      <c r="W16" s="398">
        <f>_xlfn.IFNA(VLOOKUP(A16,[3]進出口值表查詢結果!$C$11:$F$68,3,0),-[4]整車!$B$22)</f>
        <v>2212342</v>
      </c>
      <c r="X16" s="398">
        <f>_xlfn.IFNA(VLOOKUP(A16,[5]進出口值表查詢結果!$C$11:$F$68,4,0),-[4]整車!$B$22)</f>
        <v>1546</v>
      </c>
      <c r="Y16" s="398">
        <f>_xlfn.IFNA(VLOOKUP(A16,[5]進出口值表查詢結果!$C$11:$F$68,3,0),-[4]整車!$B$22)</f>
        <v>1984044</v>
      </c>
      <c r="Z16" s="392">
        <f t="shared" si="3"/>
        <v>27634</v>
      </c>
      <c r="AA16" s="392">
        <f t="shared" si="4"/>
        <v>32059014</v>
      </c>
    </row>
    <row r="17" spans="1:27">
      <c r="A17" s="434" t="s">
        <v>175</v>
      </c>
      <c r="B17" s="398">
        <v>196</v>
      </c>
      <c r="C17" s="398">
        <v>159614</v>
      </c>
      <c r="D17" s="398">
        <v>25</v>
      </c>
      <c r="E17" s="398">
        <v>14125</v>
      </c>
      <c r="F17" s="398">
        <v>272</v>
      </c>
      <c r="G17" s="398">
        <v>324659</v>
      </c>
      <c r="H17" s="398">
        <v>6</v>
      </c>
      <c r="I17" s="398">
        <v>198</v>
      </c>
      <c r="J17" s="399">
        <v>392</v>
      </c>
      <c r="K17" s="400">
        <v>442301</v>
      </c>
      <c r="L17" s="398">
        <v>213</v>
      </c>
      <c r="M17" s="398">
        <v>334619</v>
      </c>
      <c r="N17" s="398">
        <v>471</v>
      </c>
      <c r="O17" s="398">
        <v>520823</v>
      </c>
      <c r="P17" s="398">
        <v>373</v>
      </c>
      <c r="Q17" s="398">
        <v>455099</v>
      </c>
      <c r="R17" s="398">
        <v>34</v>
      </c>
      <c r="S17" s="398">
        <v>38452</v>
      </c>
      <c r="T17" s="398">
        <v>10</v>
      </c>
      <c r="U17" s="398">
        <v>4200</v>
      </c>
      <c r="V17" s="398">
        <f>_xlfn.IFNA(VLOOKUP(A17,[3]進出口值表查詢結果!$C$11:$F$68,4,0),-[4]整車!$B$22)</f>
        <v>34</v>
      </c>
      <c r="W17" s="398">
        <f>_xlfn.IFNA(VLOOKUP(A17,[3]進出口值表查詢結果!$C$11:$F$68,3,0),-[4]整車!$B$22)</f>
        <v>42910</v>
      </c>
      <c r="X17" s="398">
        <f>_xlfn.IFNA(VLOOKUP(A17,[5]進出口值表查詢結果!$C$11:$F$68,4,0),-[4]整車!$B$22)</f>
        <v>823</v>
      </c>
      <c r="Y17" s="398">
        <f>_xlfn.IFNA(VLOOKUP(A17,[5]進出口值表查詢結果!$C$11:$F$68,3,0),-[4]整車!$B$22)</f>
        <v>958153</v>
      </c>
      <c r="Z17" s="392">
        <f t="shared" si="3"/>
        <v>2849</v>
      </c>
      <c r="AA17" s="392">
        <f t="shared" si="4"/>
        <v>3295153</v>
      </c>
    </row>
    <row r="18" spans="1:27">
      <c r="A18" s="434" t="s">
        <v>177</v>
      </c>
      <c r="B18" s="398">
        <v>246</v>
      </c>
      <c r="C18" s="398">
        <v>218428</v>
      </c>
      <c r="D18" s="398">
        <v>112</v>
      </c>
      <c r="E18" s="398">
        <v>127248</v>
      </c>
      <c r="F18" s="398">
        <v>145</v>
      </c>
      <c r="G18" s="398">
        <v>175938</v>
      </c>
      <c r="H18" s="398">
        <v>76</v>
      </c>
      <c r="I18" s="398">
        <v>84167</v>
      </c>
      <c r="J18" s="399">
        <v>231</v>
      </c>
      <c r="K18" s="400">
        <v>292647</v>
      </c>
      <c r="L18" s="398">
        <v>225</v>
      </c>
      <c r="M18" s="398">
        <v>233311</v>
      </c>
      <c r="N18" s="398">
        <v>442</v>
      </c>
      <c r="O18" s="398">
        <v>515923</v>
      </c>
      <c r="P18" s="398">
        <v>635</v>
      </c>
      <c r="Q18" s="398">
        <v>666047</v>
      </c>
      <c r="R18" s="398">
        <v>372</v>
      </c>
      <c r="S18" s="398">
        <v>415965</v>
      </c>
      <c r="T18" s="398">
        <v>793</v>
      </c>
      <c r="U18" s="398">
        <v>698930</v>
      </c>
      <c r="V18" s="398">
        <f>_xlfn.IFNA(VLOOKUP(A18,[3]進出口值表查詢結果!$C$11:$F$68,4,0),-[4]整車!$B$22)</f>
        <v>332</v>
      </c>
      <c r="W18" s="398">
        <f>_xlfn.IFNA(VLOOKUP(A18,[3]進出口值表查詢結果!$C$11:$F$68,3,0),-[4]整車!$B$22)</f>
        <v>417088</v>
      </c>
      <c r="X18" s="398">
        <f>_xlfn.IFNA(VLOOKUP(A18,[5]進出口值表查詢結果!$C$11:$F$68,4,0),-[4]整車!$B$22)</f>
        <v>830</v>
      </c>
      <c r="Y18" s="398">
        <f>_xlfn.IFNA(VLOOKUP(A18,[5]進出口值表查詢結果!$C$11:$F$68,3,0),-[4]整車!$B$22)</f>
        <v>1167495</v>
      </c>
      <c r="Z18" s="392">
        <f t="shared" si="3"/>
        <v>4439</v>
      </c>
      <c r="AA18" s="392">
        <f t="shared" si="4"/>
        <v>5013187</v>
      </c>
    </row>
    <row r="19" spans="1:27">
      <c r="A19" s="434" t="s">
        <v>176</v>
      </c>
      <c r="B19" s="398">
        <v>38</v>
      </c>
      <c r="C19" s="398">
        <v>34255</v>
      </c>
      <c r="D19" s="398">
        <v>114</v>
      </c>
      <c r="E19" s="398">
        <v>142072</v>
      </c>
      <c r="F19" s="398">
        <v>47</v>
      </c>
      <c r="G19" s="398">
        <v>88748</v>
      </c>
      <c r="H19" s="398">
        <v>116</v>
      </c>
      <c r="I19" s="398">
        <v>179464</v>
      </c>
      <c r="J19" s="399">
        <v>134</v>
      </c>
      <c r="K19" s="400">
        <v>160240</v>
      </c>
      <c r="L19" s="398">
        <v>114</v>
      </c>
      <c r="M19" s="398">
        <v>167091</v>
      </c>
      <c r="N19" s="398">
        <v>103</v>
      </c>
      <c r="O19" s="398">
        <v>156524</v>
      </c>
      <c r="P19" s="398">
        <v>60</v>
      </c>
      <c r="Q19" s="398">
        <v>89867</v>
      </c>
      <c r="R19" s="398">
        <v>291</v>
      </c>
      <c r="S19" s="398">
        <v>452957</v>
      </c>
      <c r="T19" s="398">
        <v>157</v>
      </c>
      <c r="U19" s="398">
        <v>198796</v>
      </c>
      <c r="V19" s="398">
        <f>_xlfn.IFNA(VLOOKUP(A19,[3]進出口值表查詢結果!$C$11:$F$68,4,0),-[4]整車!$B$22)</f>
        <v>161</v>
      </c>
      <c r="W19" s="398">
        <f>_xlfn.IFNA(VLOOKUP(A19,[3]進出口值表查詢結果!$C$11:$F$68,3,0),-[4]整車!$B$22)</f>
        <v>332513</v>
      </c>
      <c r="X19" s="398">
        <f>_xlfn.IFNA(VLOOKUP(A19,[5]進出口值表查詢結果!$C$11:$F$68,4,0),-[4]整車!$B$22)</f>
        <v>82</v>
      </c>
      <c r="Y19" s="398">
        <f>_xlfn.IFNA(VLOOKUP(A19,[5]進出口值表查詢結果!$C$11:$F$68,3,0),-[4]整車!$B$22)</f>
        <v>135445</v>
      </c>
      <c r="Z19" s="392">
        <f t="shared" si="3"/>
        <v>1417</v>
      </c>
      <c r="AA19" s="392">
        <f t="shared" si="4"/>
        <v>2137972</v>
      </c>
    </row>
    <row r="20" spans="1:27">
      <c r="A20" s="434" t="s">
        <v>231</v>
      </c>
      <c r="B20" s="398">
        <v>0</v>
      </c>
      <c r="C20" s="398">
        <v>0</v>
      </c>
      <c r="D20" s="398">
        <v>62</v>
      </c>
      <c r="E20" s="398">
        <v>80913</v>
      </c>
      <c r="F20" s="398">
        <v>0</v>
      </c>
      <c r="G20" s="398"/>
      <c r="H20" s="398">
        <v>0</v>
      </c>
      <c r="I20" s="398">
        <v>0</v>
      </c>
      <c r="J20" s="399">
        <v>14</v>
      </c>
      <c r="K20" s="400">
        <v>18143</v>
      </c>
      <c r="L20" s="398">
        <v>0</v>
      </c>
      <c r="M20" s="398">
        <v>0</v>
      </c>
      <c r="N20" s="398">
        <v>0</v>
      </c>
      <c r="O20" s="398">
        <v>0</v>
      </c>
      <c r="P20" s="398">
        <v>0</v>
      </c>
      <c r="Q20" s="398">
        <v>0</v>
      </c>
      <c r="R20" s="398">
        <v>0</v>
      </c>
      <c r="S20" s="398">
        <v>0</v>
      </c>
      <c r="T20" s="398"/>
      <c r="U20" s="398"/>
      <c r="V20" s="398">
        <f>_xlfn.IFNA(VLOOKUP(A20,[3]進出口值表查詢結果!$C$11:$F$68,4,0),-[4]整車!$B$22)</f>
        <v>0</v>
      </c>
      <c r="W20" s="398">
        <f>_xlfn.IFNA(VLOOKUP(A20,[3]進出口值表查詢結果!$C$11:$F$68,3,0),-[4]整車!$B$22)</f>
        <v>0</v>
      </c>
      <c r="X20" s="398">
        <f>_xlfn.IFNA(VLOOKUP(A20,[5]進出口值表查詢結果!$C$11:$F$68,4,0),-[4]整車!$B$22)</f>
        <v>0</v>
      </c>
      <c r="Y20" s="398">
        <f>_xlfn.IFNA(VLOOKUP(A20,[5]進出口值表查詢結果!$C$11:$F$68,3,0),-[4]整車!$B$22)</f>
        <v>0</v>
      </c>
      <c r="Z20" s="392">
        <f t="shared" si="3"/>
        <v>76</v>
      </c>
      <c r="AA20" s="392">
        <f t="shared" si="4"/>
        <v>99056</v>
      </c>
    </row>
    <row r="21" spans="1:27">
      <c r="A21" s="434" t="s">
        <v>187</v>
      </c>
      <c r="B21" s="398">
        <v>367</v>
      </c>
      <c r="C21" s="398">
        <v>213697</v>
      </c>
      <c r="D21" s="398">
        <v>458</v>
      </c>
      <c r="E21" s="398">
        <v>230710</v>
      </c>
      <c r="F21" s="398">
        <v>165</v>
      </c>
      <c r="G21" s="398">
        <v>82941</v>
      </c>
      <c r="H21" s="398">
        <v>35</v>
      </c>
      <c r="I21" s="398">
        <v>4203</v>
      </c>
      <c r="J21" s="399">
        <v>74</v>
      </c>
      <c r="K21" s="400">
        <v>16703</v>
      </c>
      <c r="L21" s="398">
        <v>938</v>
      </c>
      <c r="M21" s="398">
        <v>178622</v>
      </c>
      <c r="N21" s="398">
        <v>107</v>
      </c>
      <c r="O21" s="398">
        <v>7169</v>
      </c>
      <c r="P21" s="398">
        <v>364</v>
      </c>
      <c r="Q21" s="398">
        <v>13151</v>
      </c>
      <c r="R21" s="398">
        <v>211</v>
      </c>
      <c r="S21" s="398">
        <v>139301</v>
      </c>
      <c r="T21" s="398">
        <v>291</v>
      </c>
      <c r="U21" s="398">
        <v>151421</v>
      </c>
      <c r="V21" s="398">
        <f>_xlfn.IFNA(VLOOKUP(A21,[3]進出口值表查詢結果!$C$11:$F$68,4,0),-[4]整車!$B$22)</f>
        <v>884</v>
      </c>
      <c r="W21" s="398">
        <f>_xlfn.IFNA(VLOOKUP(A21,[3]進出口值表查詢結果!$C$11:$F$68,3,0),-[4]整車!$B$22)</f>
        <v>377477</v>
      </c>
      <c r="X21" s="398">
        <f>_xlfn.IFNA(VLOOKUP(A21,[5]進出口值表查詢結果!$C$11:$F$68,4,0),-[4]整車!$B$22)</f>
        <v>872</v>
      </c>
      <c r="Y21" s="398">
        <f>_xlfn.IFNA(VLOOKUP(A21,[5]進出口值表查詢結果!$C$11:$F$68,3,0),-[4]整車!$B$22)</f>
        <v>486108</v>
      </c>
      <c r="Z21" s="392">
        <f t="shared" si="3"/>
        <v>4766</v>
      </c>
      <c r="AA21" s="392">
        <f t="shared" si="4"/>
        <v>1901503</v>
      </c>
    </row>
    <row r="22" spans="1:27">
      <c r="A22" s="434" t="s">
        <v>232</v>
      </c>
      <c r="B22" s="398">
        <v>0</v>
      </c>
      <c r="C22" s="398">
        <v>0</v>
      </c>
      <c r="D22" s="398"/>
      <c r="E22" s="398"/>
      <c r="F22" s="398">
        <v>0</v>
      </c>
      <c r="G22" s="398"/>
      <c r="H22" s="398">
        <v>0</v>
      </c>
      <c r="I22" s="398">
        <v>0</v>
      </c>
      <c r="J22" s="399">
        <v>0</v>
      </c>
      <c r="K22" s="402" t="s">
        <v>56</v>
      </c>
      <c r="L22" s="398">
        <v>0</v>
      </c>
      <c r="M22" s="398">
        <v>0</v>
      </c>
      <c r="N22" s="398">
        <v>0</v>
      </c>
      <c r="O22" s="398">
        <v>0</v>
      </c>
      <c r="P22" s="398">
        <v>0</v>
      </c>
      <c r="Q22" s="398">
        <v>0</v>
      </c>
      <c r="R22" s="398">
        <v>0</v>
      </c>
      <c r="S22" s="398">
        <v>0</v>
      </c>
      <c r="T22" s="398"/>
      <c r="U22" s="398"/>
      <c r="V22" s="398">
        <f>_xlfn.IFNA(VLOOKUP(A22,[3]進出口值表查詢結果!$C$11:$F$68,4,0),-[4]整車!$B$22)</f>
        <v>0</v>
      </c>
      <c r="W22" s="398">
        <f>_xlfn.IFNA(VLOOKUP(A22,[3]進出口值表查詢結果!$C$11:$F$68,3,0),-[4]整車!$B$22)</f>
        <v>0</v>
      </c>
      <c r="X22" s="398">
        <f>_xlfn.IFNA(VLOOKUP(A22,[5]進出口值表查詢結果!$C$11:$F$68,4,0),-[4]整車!$B$22)</f>
        <v>0</v>
      </c>
      <c r="Y22" s="398">
        <f>_xlfn.IFNA(VLOOKUP(A22,[5]進出口值表查詢結果!$C$11:$F$68,3,0),-[4]整車!$B$22)</f>
        <v>0</v>
      </c>
      <c r="Z22" s="392">
        <f t="shared" si="3"/>
        <v>0</v>
      </c>
      <c r="AA22" s="392">
        <f t="shared" si="4"/>
        <v>0</v>
      </c>
    </row>
    <row r="23" spans="1:27">
      <c r="A23" s="434" t="s">
        <v>174</v>
      </c>
      <c r="B23" s="398">
        <v>4</v>
      </c>
      <c r="C23" s="398">
        <v>12662</v>
      </c>
      <c r="D23" s="398">
        <v>36</v>
      </c>
      <c r="E23" s="398">
        <v>33578</v>
      </c>
      <c r="F23" s="398">
        <v>0</v>
      </c>
      <c r="G23" s="398"/>
      <c r="H23" s="398">
        <v>0</v>
      </c>
      <c r="I23" s="398">
        <v>0</v>
      </c>
      <c r="J23" s="399" t="s">
        <v>56</v>
      </c>
      <c r="K23" s="402" t="s">
        <v>56</v>
      </c>
      <c r="L23" s="398">
        <v>12</v>
      </c>
      <c r="M23" s="398">
        <v>40985</v>
      </c>
      <c r="N23" s="398">
        <v>11</v>
      </c>
      <c r="O23" s="398">
        <v>18898</v>
      </c>
      <c r="P23" s="398">
        <v>15</v>
      </c>
      <c r="Q23" s="398">
        <v>18841</v>
      </c>
      <c r="R23" s="398">
        <v>0</v>
      </c>
      <c r="S23" s="398">
        <v>0</v>
      </c>
      <c r="T23" s="398">
        <v>4</v>
      </c>
      <c r="U23" s="398">
        <v>8709</v>
      </c>
      <c r="V23" s="398">
        <f>_xlfn.IFNA(VLOOKUP(A23,[3]進出口值表查詢結果!$C$11:$F$68,4,0),-[4]整車!$B$22)</f>
        <v>0</v>
      </c>
      <c r="W23" s="398">
        <f>_xlfn.IFNA(VLOOKUP(A23,[3]進出口值表查詢結果!$C$11:$F$68,3,0),-[4]整車!$B$22)</f>
        <v>0</v>
      </c>
      <c r="X23" s="398">
        <f>_xlfn.IFNA(VLOOKUP(A23,[5]進出口值表查詢結果!$C$11:$F$68,4,0),-[4]整車!$B$22)</f>
        <v>23</v>
      </c>
      <c r="Y23" s="398">
        <f>_xlfn.IFNA(VLOOKUP(A23,[5]進出口值表查詢結果!$C$11:$F$68,3,0),-[4]整車!$B$22)</f>
        <v>41742</v>
      </c>
      <c r="Z23" s="392">
        <f t="shared" si="3"/>
        <v>105</v>
      </c>
      <c r="AA23" s="392">
        <f t="shared" si="4"/>
        <v>175415</v>
      </c>
    </row>
    <row r="24" spans="1:27">
      <c r="A24" s="434" t="s">
        <v>233</v>
      </c>
      <c r="B24" s="398">
        <v>0</v>
      </c>
      <c r="C24" s="398">
        <v>0</v>
      </c>
      <c r="D24" s="398"/>
      <c r="E24" s="398"/>
      <c r="F24" s="398">
        <v>0</v>
      </c>
      <c r="G24" s="398"/>
      <c r="H24" s="398">
        <v>0</v>
      </c>
      <c r="I24" s="398">
        <v>0</v>
      </c>
      <c r="J24" s="399">
        <v>1</v>
      </c>
      <c r="K24" s="400">
        <v>2606</v>
      </c>
      <c r="L24" s="398">
        <v>0</v>
      </c>
      <c r="M24" s="392">
        <v>0</v>
      </c>
      <c r="N24" s="398">
        <v>0</v>
      </c>
      <c r="O24" s="398">
        <v>0</v>
      </c>
      <c r="P24" s="398">
        <v>0</v>
      </c>
      <c r="Q24" s="398">
        <v>0</v>
      </c>
      <c r="R24" s="398">
        <v>0</v>
      </c>
      <c r="S24" s="398">
        <v>0</v>
      </c>
      <c r="T24" s="398"/>
      <c r="U24" s="398"/>
      <c r="V24" s="398">
        <f>_xlfn.IFNA(VLOOKUP(A24,[3]進出口值表查詢結果!$C$11:$F$68,4,0),-[4]整車!$B$22)</f>
        <v>0</v>
      </c>
      <c r="W24" s="398">
        <f>_xlfn.IFNA(VLOOKUP(A24,[3]進出口值表查詢結果!$C$11:$F$68,3,0),-[4]整車!$B$22)</f>
        <v>0</v>
      </c>
      <c r="X24" s="398">
        <f>_xlfn.IFNA(VLOOKUP(A24,[5]進出口值表查詢結果!$C$11:$F$68,4,0),-[4]整車!$B$22)</f>
        <v>0</v>
      </c>
      <c r="Y24" s="398">
        <f>_xlfn.IFNA(VLOOKUP(A24,[5]進出口值表查詢結果!$C$11:$F$68,3,0),-[4]整車!$B$22)</f>
        <v>0</v>
      </c>
      <c r="Z24" s="392">
        <f t="shared" si="3"/>
        <v>1</v>
      </c>
      <c r="AA24" s="392">
        <f t="shared" si="4"/>
        <v>2606</v>
      </c>
    </row>
    <row r="25" spans="1:27">
      <c r="A25" s="434" t="s">
        <v>234</v>
      </c>
      <c r="B25" s="398">
        <v>0</v>
      </c>
      <c r="C25" s="398">
        <v>0</v>
      </c>
      <c r="D25" s="398"/>
      <c r="E25" s="398"/>
      <c r="F25" s="398">
        <v>0</v>
      </c>
      <c r="G25" s="398"/>
      <c r="H25" s="398">
        <v>0</v>
      </c>
      <c r="I25" s="398">
        <v>0</v>
      </c>
      <c r="J25" s="399" t="s">
        <v>56</v>
      </c>
      <c r="K25" s="402" t="s">
        <v>56</v>
      </c>
      <c r="L25" s="398">
        <v>0</v>
      </c>
      <c r="M25" s="398">
        <v>0</v>
      </c>
      <c r="N25" s="398">
        <v>0</v>
      </c>
      <c r="O25" s="398">
        <v>0</v>
      </c>
      <c r="P25" s="398">
        <v>0</v>
      </c>
      <c r="Q25" s="398">
        <v>0</v>
      </c>
      <c r="R25" s="398">
        <v>0</v>
      </c>
      <c r="S25" s="398">
        <v>0</v>
      </c>
      <c r="T25" s="398"/>
      <c r="U25" s="398"/>
      <c r="V25" s="398">
        <f>_xlfn.IFNA(VLOOKUP(A25,[3]進出口值表查詢結果!$C$11:$F$68,4,0),-[4]整車!$B$22)</f>
        <v>0</v>
      </c>
      <c r="W25" s="398">
        <f>_xlfn.IFNA(VLOOKUP(A25,[3]進出口值表查詢結果!$C$11:$F$68,3,0),-[4]整車!$B$22)</f>
        <v>0</v>
      </c>
      <c r="X25" s="398">
        <f>_xlfn.IFNA(VLOOKUP(A25,[5]進出口值表查詢結果!$C$11:$F$68,4,0),-[4]整車!$B$22)</f>
        <v>0</v>
      </c>
      <c r="Y25" s="398">
        <f>_xlfn.IFNA(VLOOKUP(A25,[5]進出口值表查詢結果!$C$11:$F$68,3,0),-[4]整車!$B$22)</f>
        <v>0</v>
      </c>
      <c r="Z25" s="392">
        <f t="shared" si="3"/>
        <v>0</v>
      </c>
      <c r="AA25" s="392">
        <f t="shared" si="4"/>
        <v>0</v>
      </c>
    </row>
    <row r="26" spans="1:27">
      <c r="A26" s="434" t="s">
        <v>235</v>
      </c>
      <c r="B26" s="398">
        <v>0</v>
      </c>
      <c r="C26" s="398">
        <v>0</v>
      </c>
      <c r="D26" s="398"/>
      <c r="E26" s="398"/>
      <c r="F26" s="398">
        <v>10</v>
      </c>
      <c r="G26" s="398">
        <v>9226</v>
      </c>
      <c r="H26" s="398">
        <v>0</v>
      </c>
      <c r="I26" s="398">
        <v>0</v>
      </c>
      <c r="J26" s="399" t="s">
        <v>56</v>
      </c>
      <c r="K26" s="402" t="s">
        <v>56</v>
      </c>
      <c r="L26" s="398">
        <v>2</v>
      </c>
      <c r="M26" s="398">
        <v>536</v>
      </c>
      <c r="N26" s="398">
        <v>0</v>
      </c>
      <c r="O26" s="398">
        <v>0</v>
      </c>
      <c r="P26" s="398">
        <v>34</v>
      </c>
      <c r="Q26" s="398">
        <v>17452</v>
      </c>
      <c r="R26" s="398">
        <v>0</v>
      </c>
      <c r="S26" s="398">
        <v>0</v>
      </c>
      <c r="T26" s="398">
        <v>10</v>
      </c>
      <c r="U26" s="398">
        <v>9501</v>
      </c>
      <c r="V26" s="398">
        <f>_xlfn.IFNA(VLOOKUP(A26,[3]進出口值表查詢結果!$C$11:$F$68,4,0),-[4]整車!$B$22)</f>
        <v>0</v>
      </c>
      <c r="W26" s="398">
        <f>_xlfn.IFNA(VLOOKUP(A26,[3]進出口值表查詢結果!$C$11:$F$68,3,0),-[4]整車!$B$22)</f>
        <v>0</v>
      </c>
      <c r="X26" s="398">
        <f>_xlfn.IFNA(VLOOKUP(A26,[5]進出口值表查詢結果!$C$11:$F$68,4,0),-[4]整車!$B$22)</f>
        <v>0</v>
      </c>
      <c r="Y26" s="398">
        <f>_xlfn.IFNA(VLOOKUP(A26,[5]進出口值表查詢結果!$C$11:$F$68,3,0),-[4]整車!$B$22)</f>
        <v>0</v>
      </c>
      <c r="Z26" s="392">
        <f t="shared" si="3"/>
        <v>56</v>
      </c>
      <c r="AA26" s="392">
        <f t="shared" si="4"/>
        <v>36715</v>
      </c>
    </row>
    <row r="27" spans="1:27">
      <c r="A27" s="434" t="s">
        <v>193</v>
      </c>
      <c r="B27" s="398">
        <v>12</v>
      </c>
      <c r="C27" s="398">
        <v>11363</v>
      </c>
      <c r="D27" s="398">
        <v>156</v>
      </c>
      <c r="E27" s="398">
        <v>136343</v>
      </c>
      <c r="F27" s="398">
        <v>53</v>
      </c>
      <c r="G27" s="398">
        <v>48024</v>
      </c>
      <c r="H27" s="398">
        <v>0</v>
      </c>
      <c r="I27" s="398">
        <v>0</v>
      </c>
      <c r="J27" s="399">
        <v>62</v>
      </c>
      <c r="K27" s="400">
        <v>51087</v>
      </c>
      <c r="L27" s="398">
        <v>0</v>
      </c>
      <c r="M27" s="398">
        <v>0</v>
      </c>
      <c r="N27" s="398">
        <v>53</v>
      </c>
      <c r="O27" s="398">
        <v>53415</v>
      </c>
      <c r="P27" s="398">
        <v>125</v>
      </c>
      <c r="Q27" s="398">
        <v>148830</v>
      </c>
      <c r="R27" s="398">
        <v>20</v>
      </c>
      <c r="S27" s="398">
        <v>19056</v>
      </c>
      <c r="T27" s="398">
        <v>26</v>
      </c>
      <c r="U27" s="398">
        <v>35077</v>
      </c>
      <c r="V27" s="398">
        <f>_xlfn.IFNA(VLOOKUP(A27,[3]進出口值表查詢結果!$C$11:$F$68,4,0),-[4]整車!$B$22)</f>
        <v>6</v>
      </c>
      <c r="W27" s="398">
        <f>_xlfn.IFNA(VLOOKUP(A27,[3]進出口值表查詢結果!$C$11:$F$68,3,0),-[4]整車!$B$22)</f>
        <v>6932</v>
      </c>
      <c r="X27" s="398">
        <f>_xlfn.IFNA(VLOOKUP(A27,[5]進出口值表查詢結果!$C$11:$F$68,4,0),-[4]整車!$B$22)</f>
        <v>211</v>
      </c>
      <c r="Y27" s="398">
        <f>_xlfn.IFNA(VLOOKUP(A27,[5]進出口值表查詢結果!$C$11:$F$68,3,0),-[4]整車!$B$22)</f>
        <v>156683</v>
      </c>
      <c r="Z27" s="392">
        <f t="shared" si="3"/>
        <v>724</v>
      </c>
      <c r="AA27" s="392">
        <f t="shared" si="4"/>
        <v>666810</v>
      </c>
    </row>
    <row r="28" spans="1:27">
      <c r="A28" s="434" t="s">
        <v>236</v>
      </c>
      <c r="B28" s="398">
        <v>0</v>
      </c>
      <c r="C28" s="398">
        <v>0</v>
      </c>
      <c r="D28" s="398"/>
      <c r="E28" s="398"/>
      <c r="F28" s="398">
        <v>0</v>
      </c>
      <c r="G28" s="398"/>
      <c r="H28" s="398">
        <v>0</v>
      </c>
      <c r="I28" s="398">
        <v>0</v>
      </c>
      <c r="J28" s="399" t="s">
        <v>56</v>
      </c>
      <c r="K28" s="402" t="s">
        <v>56</v>
      </c>
      <c r="L28" s="398">
        <v>0</v>
      </c>
      <c r="M28" s="398">
        <v>0</v>
      </c>
      <c r="N28" s="398">
        <v>0</v>
      </c>
      <c r="O28" s="398">
        <v>0</v>
      </c>
      <c r="P28" s="398">
        <v>0</v>
      </c>
      <c r="Q28" s="398">
        <v>0</v>
      </c>
      <c r="R28" s="398">
        <v>0</v>
      </c>
      <c r="S28" s="398">
        <v>0</v>
      </c>
      <c r="T28" s="398"/>
      <c r="U28" s="398"/>
      <c r="V28" s="398">
        <f>_xlfn.IFNA(VLOOKUP(A28,[3]進出口值表查詢結果!$C$11:$F$68,4,0),-[4]整車!$B$22)</f>
        <v>0</v>
      </c>
      <c r="W28" s="398">
        <f>_xlfn.IFNA(VLOOKUP(A28,[3]進出口值表查詢結果!$C$11:$F$68,3,0),-[4]整車!$B$22)</f>
        <v>0</v>
      </c>
      <c r="X28" s="398">
        <f>_xlfn.IFNA(VLOOKUP(A28,[5]進出口值表查詢結果!$C$11:$F$68,4,0),-[4]整車!$B$22)</f>
        <v>0</v>
      </c>
      <c r="Y28" s="398">
        <f>_xlfn.IFNA(VLOOKUP(A28,[5]進出口值表查詢結果!$C$11:$F$68,3,0),-[4]整車!$B$22)</f>
        <v>0</v>
      </c>
      <c r="Z28" s="392">
        <f t="shared" si="3"/>
        <v>0</v>
      </c>
      <c r="AA28" s="392">
        <f t="shared" si="4"/>
        <v>0</v>
      </c>
    </row>
    <row r="29" spans="1:27">
      <c r="A29" s="434" t="s">
        <v>163</v>
      </c>
      <c r="B29" s="398">
        <v>832</v>
      </c>
      <c r="C29" s="398">
        <v>601299</v>
      </c>
      <c r="D29" s="398">
        <v>1474</v>
      </c>
      <c r="E29" s="398">
        <v>1335375</v>
      </c>
      <c r="F29" s="398">
        <v>2575</v>
      </c>
      <c r="G29" s="398">
        <v>2824860</v>
      </c>
      <c r="H29" s="398">
        <v>1590</v>
      </c>
      <c r="I29" s="398">
        <v>2035410</v>
      </c>
      <c r="J29" s="399">
        <v>1368</v>
      </c>
      <c r="K29" s="402">
        <v>1650049</v>
      </c>
      <c r="L29" s="398">
        <v>3338</v>
      </c>
      <c r="M29" s="398">
        <v>3123497</v>
      </c>
      <c r="N29" s="398">
        <v>2847</v>
      </c>
      <c r="O29" s="398">
        <v>2378126</v>
      </c>
      <c r="P29" s="398">
        <v>2606</v>
      </c>
      <c r="Q29" s="398">
        <v>3061333</v>
      </c>
      <c r="R29" s="398">
        <v>1944</v>
      </c>
      <c r="S29" s="398">
        <v>1677516</v>
      </c>
      <c r="T29" s="398">
        <v>2095</v>
      </c>
      <c r="U29" s="398">
        <v>2093220</v>
      </c>
      <c r="V29" s="398">
        <f>_xlfn.IFNA(VLOOKUP(A29,[3]進出口值表查詢結果!$C$11:$F$68,4,0),-[4]整車!$B$22)</f>
        <v>2168</v>
      </c>
      <c r="W29" s="398">
        <f>_xlfn.IFNA(VLOOKUP(A29,[3]進出口值表查詢結果!$C$11:$F$68,3,0),-[4]整車!$B$22)</f>
        <v>2387001</v>
      </c>
      <c r="X29" s="398">
        <f>_xlfn.IFNA(VLOOKUP(A29,[5]進出口值表查詢結果!$C$11:$F$68,4,0),-[4]整車!$B$22)</f>
        <v>3104</v>
      </c>
      <c r="Y29" s="398">
        <f>_xlfn.IFNA(VLOOKUP(A29,[5]進出口值表查詢結果!$C$11:$F$68,3,0),-[4]整車!$B$22)</f>
        <v>3401926</v>
      </c>
      <c r="Z29" s="392">
        <f t="shared" si="3"/>
        <v>25941</v>
      </c>
      <c r="AA29" s="392">
        <f t="shared" si="4"/>
        <v>26569612</v>
      </c>
    </row>
    <row r="30" spans="1:27">
      <c r="A30" s="436" t="s">
        <v>238</v>
      </c>
      <c r="B30" s="392">
        <v>0</v>
      </c>
      <c r="C30" s="392">
        <v>0</v>
      </c>
      <c r="D30" s="392"/>
      <c r="E30" s="392"/>
      <c r="F30" s="392">
        <v>0</v>
      </c>
      <c r="G30" s="392"/>
      <c r="H30" s="392">
        <v>0</v>
      </c>
      <c r="I30" s="392">
        <v>0</v>
      </c>
      <c r="J30" s="385" t="s">
        <v>56</v>
      </c>
      <c r="K30" s="402" t="s">
        <v>56</v>
      </c>
      <c r="L30" s="392">
        <v>0</v>
      </c>
      <c r="M30" s="392">
        <v>0</v>
      </c>
      <c r="N30" s="392">
        <v>0</v>
      </c>
      <c r="O30" s="392">
        <v>0</v>
      </c>
      <c r="P30" s="392">
        <v>0</v>
      </c>
      <c r="Q30" s="392">
        <v>0</v>
      </c>
      <c r="R30" s="392">
        <v>0</v>
      </c>
      <c r="S30" s="392">
        <v>0</v>
      </c>
      <c r="T30" s="392"/>
      <c r="U30" s="392"/>
      <c r="V30" s="398">
        <f>_xlfn.IFNA(VLOOKUP(A30,[3]進出口值表查詢結果!$C$11:$F$68,4,0),-[4]整車!$B$22)</f>
        <v>0</v>
      </c>
      <c r="W30" s="398">
        <f>_xlfn.IFNA(VLOOKUP(A30,[3]進出口值表查詢結果!$C$11:$F$68,3,0),-[4]整車!$B$22)</f>
        <v>0</v>
      </c>
      <c r="X30" s="398">
        <f>_xlfn.IFNA(VLOOKUP(A30,[5]進出口值表查詢結果!$C$11:$F$68,4,0),-[4]整車!$B$22)</f>
        <v>0</v>
      </c>
      <c r="Y30" s="398">
        <f>_xlfn.IFNA(VLOOKUP(A30,[5]進出口值表查詢結果!$C$11:$F$68,3,0),-[4]整車!$B$22)</f>
        <v>0</v>
      </c>
      <c r="Z30" s="392">
        <f t="shared" si="3"/>
        <v>0</v>
      </c>
      <c r="AA30" s="392">
        <f t="shared" si="4"/>
        <v>0</v>
      </c>
    </row>
    <row r="31" spans="1:27">
      <c r="A31" s="434" t="s">
        <v>239</v>
      </c>
      <c r="B31" s="392">
        <v>0</v>
      </c>
      <c r="C31" s="392">
        <v>0</v>
      </c>
      <c r="D31" s="398"/>
      <c r="E31" s="398"/>
      <c r="F31" s="398">
        <v>0</v>
      </c>
      <c r="G31" s="398"/>
      <c r="H31" s="398">
        <v>0</v>
      </c>
      <c r="I31" s="398">
        <v>0</v>
      </c>
      <c r="J31" s="399"/>
      <c r="K31" s="402" t="s">
        <v>56</v>
      </c>
      <c r="L31" s="398">
        <v>0</v>
      </c>
      <c r="M31" s="398">
        <v>0</v>
      </c>
      <c r="N31" s="398">
        <v>0</v>
      </c>
      <c r="O31" s="398">
        <v>0</v>
      </c>
      <c r="P31" s="392">
        <v>0</v>
      </c>
      <c r="Q31" s="392">
        <v>0</v>
      </c>
      <c r="R31" s="392">
        <v>0</v>
      </c>
      <c r="S31" s="392">
        <v>0</v>
      </c>
      <c r="T31" s="398"/>
      <c r="U31" s="398"/>
      <c r="V31" s="398">
        <f>_xlfn.IFNA(VLOOKUP(A31,[3]進出口值表查詢結果!$C$11:$F$68,4,0),-[4]整車!$B$22)</f>
        <v>0</v>
      </c>
      <c r="W31" s="398">
        <f>_xlfn.IFNA(VLOOKUP(A31,[3]進出口值表查詢結果!$C$11:$F$68,3,0),-[4]整車!$B$22)</f>
        <v>0</v>
      </c>
      <c r="X31" s="398">
        <f>_xlfn.IFNA(VLOOKUP(A31,[5]進出口值表查詢結果!$C$11:$F$68,4,0),-[4]整車!$B$22)</f>
        <v>0</v>
      </c>
      <c r="Y31" s="398">
        <f>_xlfn.IFNA(VLOOKUP(A31,[5]進出口值表查詢結果!$C$11:$F$68,3,0),-[4]整車!$B$22)</f>
        <v>0</v>
      </c>
      <c r="Z31" s="392">
        <f t="shared" si="3"/>
        <v>0</v>
      </c>
      <c r="AA31" s="392">
        <f t="shared" si="4"/>
        <v>0</v>
      </c>
    </row>
    <row r="32" spans="1:27">
      <c r="A32" s="434" t="s">
        <v>240</v>
      </c>
      <c r="B32" s="392">
        <v>0</v>
      </c>
      <c r="C32" s="392">
        <v>0</v>
      </c>
      <c r="D32" s="398"/>
      <c r="E32" s="398"/>
      <c r="F32" s="398">
        <v>0</v>
      </c>
      <c r="G32" s="398"/>
      <c r="H32" s="398">
        <v>2</v>
      </c>
      <c r="I32" s="398">
        <v>3147</v>
      </c>
      <c r="J32" s="399" t="s">
        <v>56</v>
      </c>
      <c r="K32" s="402" t="s">
        <v>56</v>
      </c>
      <c r="L32" s="398">
        <v>0</v>
      </c>
      <c r="M32" s="398">
        <v>0</v>
      </c>
      <c r="N32" s="398">
        <v>9</v>
      </c>
      <c r="O32" s="398">
        <v>14807</v>
      </c>
      <c r="P32" s="392">
        <v>0</v>
      </c>
      <c r="Q32" s="392">
        <v>0</v>
      </c>
      <c r="R32" s="392">
        <v>0</v>
      </c>
      <c r="S32" s="392">
        <v>0</v>
      </c>
      <c r="T32" s="398"/>
      <c r="U32" s="398"/>
      <c r="V32" s="398">
        <f>_xlfn.IFNA(VLOOKUP(A32,[3]進出口值表查詢結果!$C$11:$F$68,4,0),-[4]整車!$B$22)</f>
        <v>0</v>
      </c>
      <c r="W32" s="398">
        <f>_xlfn.IFNA(VLOOKUP(A32,[3]進出口值表查詢結果!$C$11:$F$68,3,0),-[4]整車!$B$22)</f>
        <v>0</v>
      </c>
      <c r="X32" s="398">
        <f>_xlfn.IFNA(VLOOKUP(A32,[5]進出口值表查詢結果!$C$11:$F$68,4,0),-[4]整車!$B$22)</f>
        <v>12</v>
      </c>
      <c r="Y32" s="398">
        <f>_xlfn.IFNA(VLOOKUP(A32,[5]進出口值表查詢結果!$C$11:$F$68,3,0),-[4]整車!$B$22)</f>
        <v>16410</v>
      </c>
      <c r="Z32" s="392">
        <f t="shared" si="3"/>
        <v>23</v>
      </c>
      <c r="AA32" s="392">
        <f t="shared" si="4"/>
        <v>34364</v>
      </c>
    </row>
    <row r="33" spans="1:27">
      <c r="A33" s="434" t="s">
        <v>241</v>
      </c>
      <c r="B33" s="392">
        <v>0</v>
      </c>
      <c r="C33" s="392">
        <v>0</v>
      </c>
      <c r="D33" s="398">
        <v>65</v>
      </c>
      <c r="E33" s="398">
        <v>100633</v>
      </c>
      <c r="F33" s="392">
        <v>430</v>
      </c>
      <c r="G33" s="398">
        <v>75772</v>
      </c>
      <c r="H33" s="398">
        <v>89</v>
      </c>
      <c r="I33" s="398">
        <v>94535</v>
      </c>
      <c r="J33" s="399" t="s">
        <v>56</v>
      </c>
      <c r="K33" s="402" t="s">
        <v>56</v>
      </c>
      <c r="L33" s="398">
        <v>0</v>
      </c>
      <c r="M33" s="398">
        <v>0</v>
      </c>
      <c r="N33" s="398">
        <v>0</v>
      </c>
      <c r="O33" s="398">
        <v>0</v>
      </c>
      <c r="P33" s="392">
        <v>0</v>
      </c>
      <c r="Q33" s="392">
        <v>0</v>
      </c>
      <c r="R33" s="392">
        <v>0</v>
      </c>
      <c r="S33" s="392">
        <v>0</v>
      </c>
      <c r="T33" s="398"/>
      <c r="U33" s="398"/>
      <c r="V33" s="398">
        <f>_xlfn.IFNA(VLOOKUP(A33,[3]進出口值表查詢結果!$C$11:$F$68,4,0),-[4]整車!$B$22)</f>
        <v>0</v>
      </c>
      <c r="W33" s="398">
        <f>_xlfn.IFNA(VLOOKUP(A33,[3]進出口值表查詢結果!$C$11:$F$68,3,0),-[4]整車!$B$22)</f>
        <v>0</v>
      </c>
      <c r="X33" s="398">
        <f>_xlfn.IFNA(VLOOKUP(A33,[5]進出口值表查詢結果!$C$11:$F$68,4,0),-[4]整車!$B$22)</f>
        <v>36</v>
      </c>
      <c r="Y33" s="398">
        <f>_xlfn.IFNA(VLOOKUP(A33,[5]進出口值表查詢結果!$C$11:$F$68,3,0),-[4]整車!$B$22)</f>
        <v>41708</v>
      </c>
      <c r="Z33" s="398">
        <f t="shared" si="3"/>
        <v>620</v>
      </c>
      <c r="AA33" s="398">
        <f t="shared" si="4"/>
        <v>312648</v>
      </c>
    </row>
    <row r="34" spans="1:27">
      <c r="A34" s="434" t="s">
        <v>242</v>
      </c>
      <c r="B34" s="392">
        <v>0</v>
      </c>
      <c r="C34" s="392">
        <v>0</v>
      </c>
      <c r="D34" s="398"/>
      <c r="E34" s="398"/>
      <c r="F34" s="398">
        <v>0</v>
      </c>
      <c r="G34" s="398"/>
      <c r="H34" s="398">
        <v>0</v>
      </c>
      <c r="I34" s="398">
        <v>0</v>
      </c>
      <c r="J34" s="399" t="s">
        <v>56</v>
      </c>
      <c r="K34" s="402" t="s">
        <v>56</v>
      </c>
      <c r="L34" s="398">
        <v>200</v>
      </c>
      <c r="M34" s="398">
        <v>26608</v>
      </c>
      <c r="N34" s="398">
        <v>0</v>
      </c>
      <c r="O34" s="398">
        <v>0</v>
      </c>
      <c r="P34" s="392">
        <v>0</v>
      </c>
      <c r="Q34" s="392">
        <v>0</v>
      </c>
      <c r="R34" s="392">
        <v>0</v>
      </c>
      <c r="S34" s="392">
        <v>0</v>
      </c>
      <c r="T34" s="398"/>
      <c r="U34" s="398"/>
      <c r="V34" s="398">
        <f>_xlfn.IFNA(VLOOKUP(A34,[3]進出口值表查詢結果!$C$11:$F$68,4,0),-[4]整車!$B$22)</f>
        <v>0</v>
      </c>
      <c r="W34" s="398">
        <f>_xlfn.IFNA(VLOOKUP(A34,[3]進出口值表查詢結果!$C$11:$F$68,3,0),-[4]整車!$B$22)</f>
        <v>0</v>
      </c>
      <c r="X34" s="398">
        <f>_xlfn.IFNA(VLOOKUP(A34,[5]進出口值表查詢結果!$C$11:$F$68,4,0),-[4]整車!$B$22)</f>
        <v>0</v>
      </c>
      <c r="Y34" s="398">
        <f>_xlfn.IFNA(VLOOKUP(A34,[5]進出口值表查詢結果!$C$11:$F$68,3,0),-[4]整車!$B$22)</f>
        <v>0</v>
      </c>
      <c r="Z34" s="398">
        <f t="shared" si="3"/>
        <v>200</v>
      </c>
      <c r="AA34" s="398">
        <f t="shared" si="4"/>
        <v>26608</v>
      </c>
    </row>
    <row r="35" spans="1:27">
      <c r="A35" s="391"/>
      <c r="B35" s="392"/>
      <c r="C35" s="392"/>
      <c r="D35" s="392"/>
      <c r="E35" s="392"/>
      <c r="F35" s="392"/>
      <c r="G35" s="392"/>
      <c r="H35" s="392"/>
      <c r="I35" s="392"/>
      <c r="J35" s="385"/>
      <c r="K35" s="386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</row>
    <row r="36" spans="1:27">
      <c r="A36" s="404" t="s">
        <v>137</v>
      </c>
      <c r="B36" s="405">
        <f t="shared" ref="B36:Y36" si="5">B38+B68+B75</f>
        <v>79424</v>
      </c>
      <c r="C36" s="405">
        <f t="shared" si="5"/>
        <v>35612604</v>
      </c>
      <c r="D36" s="405">
        <f t="shared" si="5"/>
        <v>64213</v>
      </c>
      <c r="E36" s="405">
        <f t="shared" si="5"/>
        <v>30491608</v>
      </c>
      <c r="F36" s="405">
        <f t="shared" si="5"/>
        <v>54696</v>
      </c>
      <c r="G36" s="405">
        <f t="shared" si="5"/>
        <v>29542744</v>
      </c>
      <c r="H36" s="405">
        <f t="shared" si="5"/>
        <v>39009</v>
      </c>
      <c r="I36" s="405">
        <f t="shared" si="5"/>
        <v>19973565</v>
      </c>
      <c r="J36" s="406">
        <f t="shared" si="5"/>
        <v>44931</v>
      </c>
      <c r="K36" s="407">
        <f>K38+K68+K75</f>
        <v>28357229</v>
      </c>
      <c r="L36" s="405">
        <f t="shared" si="5"/>
        <v>51038</v>
      </c>
      <c r="M36" s="405">
        <f t="shared" si="5"/>
        <v>32305965</v>
      </c>
      <c r="N36" s="405">
        <f t="shared" si="5"/>
        <v>44856</v>
      </c>
      <c r="O36" s="405">
        <f t="shared" si="5"/>
        <v>35121669</v>
      </c>
      <c r="P36" s="405">
        <f t="shared" si="5"/>
        <v>69496</v>
      </c>
      <c r="Q36" s="405">
        <f t="shared" si="5"/>
        <v>46505146</v>
      </c>
      <c r="R36" s="405">
        <f t="shared" si="5"/>
        <v>46124</v>
      </c>
      <c r="S36" s="405">
        <f t="shared" si="5"/>
        <v>32297052</v>
      </c>
      <c r="T36" s="405">
        <f t="shared" si="5"/>
        <v>63488</v>
      </c>
      <c r="U36" s="405">
        <f t="shared" si="5"/>
        <v>38464858</v>
      </c>
      <c r="V36" s="405">
        <f>V38+V68+V75</f>
        <v>52331</v>
      </c>
      <c r="W36" s="405">
        <f>W38+W68+W75</f>
        <v>31078138</v>
      </c>
      <c r="X36" s="405">
        <f t="shared" si="5"/>
        <v>64845</v>
      </c>
      <c r="Y36" s="405">
        <f t="shared" si="5"/>
        <v>39655701</v>
      </c>
      <c r="Z36" s="405">
        <f>SUM(B36,D36,F36,H36,J36,L36,N36,P36,R36,T36,V36,X36)</f>
        <v>674451</v>
      </c>
      <c r="AA36" s="405">
        <f>SUM(C36,E36,G36,I36,K36,M36,O36,Q36,S36,U36,W36,Y36)</f>
        <v>399406279</v>
      </c>
    </row>
    <row r="37" spans="1:27">
      <c r="A37" s="391"/>
      <c r="B37" s="392"/>
      <c r="C37" s="392"/>
      <c r="D37" s="392"/>
      <c r="E37" s="392"/>
      <c r="F37" s="392"/>
      <c r="G37" s="392"/>
      <c r="H37" s="392"/>
      <c r="I37" s="392"/>
      <c r="J37" s="385"/>
      <c r="K37" s="386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</row>
    <row r="38" spans="1:27">
      <c r="A38" s="408" t="s">
        <v>8</v>
      </c>
      <c r="B38" s="409">
        <f t="shared" ref="B38:Y38" si="6">SUM(B39:B66)</f>
        <v>71602</v>
      </c>
      <c r="C38" s="409">
        <f t="shared" si="6"/>
        <v>31042061</v>
      </c>
      <c r="D38" s="409">
        <f t="shared" si="6"/>
        <v>57938</v>
      </c>
      <c r="E38" s="409">
        <f t="shared" si="6"/>
        <v>27066923</v>
      </c>
      <c r="F38" s="409">
        <f t="shared" si="6"/>
        <v>50036</v>
      </c>
      <c r="G38" s="409">
        <f t="shared" si="6"/>
        <v>26756451</v>
      </c>
      <c r="H38" s="409">
        <f t="shared" si="6"/>
        <v>35898</v>
      </c>
      <c r="I38" s="409">
        <f t="shared" si="6"/>
        <v>18239616</v>
      </c>
      <c r="J38" s="410">
        <f t="shared" si="6"/>
        <v>42641</v>
      </c>
      <c r="K38" s="411">
        <f>SUM(K39:K66)</f>
        <v>26690377</v>
      </c>
      <c r="L38" s="409">
        <f t="shared" si="6"/>
        <v>48143</v>
      </c>
      <c r="M38" s="409">
        <f t="shared" si="6"/>
        <v>30331535</v>
      </c>
      <c r="N38" s="409">
        <f t="shared" si="6"/>
        <v>41659</v>
      </c>
      <c r="O38" s="409">
        <f t="shared" si="6"/>
        <v>32356018</v>
      </c>
      <c r="P38" s="409">
        <f t="shared" si="6"/>
        <v>67372</v>
      </c>
      <c r="Q38" s="409">
        <f t="shared" si="6"/>
        <v>44304841</v>
      </c>
      <c r="R38" s="409">
        <f t="shared" si="6"/>
        <v>44242</v>
      </c>
      <c r="S38" s="409">
        <f t="shared" si="6"/>
        <v>30263800</v>
      </c>
      <c r="T38" s="409">
        <f t="shared" si="6"/>
        <v>58319</v>
      </c>
      <c r="U38" s="409">
        <f t="shared" si="6"/>
        <v>35452809</v>
      </c>
      <c r="V38" s="409">
        <f>SUM(V39:V66)</f>
        <v>49253</v>
      </c>
      <c r="W38" s="409">
        <f>SUM(W39:W66)</f>
        <v>28348880</v>
      </c>
      <c r="X38" s="409">
        <f t="shared" si="6"/>
        <v>58138</v>
      </c>
      <c r="Y38" s="409">
        <f t="shared" si="6"/>
        <v>33913506</v>
      </c>
      <c r="Z38" s="409">
        <f t="shared" ref="Z38:Z66" si="7">SUM(B38,D38,F38,H38,J38,L38,N38,P38,R38,T38,V38,X38)</f>
        <v>625241</v>
      </c>
      <c r="AA38" s="409">
        <f t="shared" ref="AA38:AA66" si="8">SUM(C38,E38,G38,I38,K38,M38,O38,Q38,S38,U38,W38,Y38)</f>
        <v>364766817</v>
      </c>
    </row>
    <row r="39" spans="1:27">
      <c r="A39" s="434" t="s">
        <v>156</v>
      </c>
      <c r="B39" s="398">
        <v>9455</v>
      </c>
      <c r="C39" s="398">
        <v>8098805</v>
      </c>
      <c r="D39" s="398">
        <v>5899</v>
      </c>
      <c r="E39" s="398">
        <v>4489009</v>
      </c>
      <c r="F39" s="398">
        <v>11184</v>
      </c>
      <c r="G39" s="398">
        <v>11101791</v>
      </c>
      <c r="H39" s="398">
        <v>7475</v>
      </c>
      <c r="I39" s="398">
        <v>8873601</v>
      </c>
      <c r="J39" s="399">
        <v>12869</v>
      </c>
      <c r="K39" s="400">
        <v>13913534</v>
      </c>
      <c r="L39" s="398">
        <v>14682</v>
      </c>
      <c r="M39" s="398">
        <v>14178313</v>
      </c>
      <c r="N39" s="398">
        <v>14082</v>
      </c>
      <c r="O39" s="398">
        <v>14946790</v>
      </c>
      <c r="P39" s="398">
        <v>17288</v>
      </c>
      <c r="Q39" s="398">
        <v>20932370</v>
      </c>
      <c r="R39" s="398">
        <v>13841</v>
      </c>
      <c r="S39" s="398">
        <v>14623372</v>
      </c>
      <c r="T39" s="398">
        <v>14781</v>
      </c>
      <c r="U39" s="398">
        <v>14961515</v>
      </c>
      <c r="V39" s="398">
        <f>_xlfn.IFNA(VLOOKUP(A39,[3]進出口值表查詢結果!$C$11:$F$68,4,0),-[4]整車!$B$22)</f>
        <v>14525</v>
      </c>
      <c r="W39" s="398">
        <f>_xlfn.IFNA(VLOOKUP(A39,[3]進出口值表查詢結果!$C$11:$F$68,3,0),-[4]整車!$B$22)</f>
        <v>13590883</v>
      </c>
      <c r="X39" s="398">
        <f>_xlfn.IFNA(VLOOKUP(A39,[5]進出口值表查詢結果!$C$11:$F$68,4,0),-[4]整車!$B$22)</f>
        <v>15792</v>
      </c>
      <c r="Y39" s="398">
        <f>_xlfn.IFNA(VLOOKUP(A39,[5]進出口值表查詢結果!$C$11:$F$68,3,0),-[4]整車!$B$22)</f>
        <v>15201155</v>
      </c>
      <c r="Z39" s="392">
        <f t="shared" si="7"/>
        <v>151873</v>
      </c>
      <c r="AA39" s="392">
        <f t="shared" si="8"/>
        <v>154911138</v>
      </c>
    </row>
    <row r="40" spans="1:27">
      <c r="A40" s="434" t="s">
        <v>159</v>
      </c>
      <c r="B40" s="398">
        <v>6408</v>
      </c>
      <c r="C40" s="398">
        <v>3502900</v>
      </c>
      <c r="D40" s="398">
        <v>12057</v>
      </c>
      <c r="E40" s="398">
        <v>3128315</v>
      </c>
      <c r="F40" s="398">
        <v>8271</v>
      </c>
      <c r="G40" s="398">
        <v>2563956</v>
      </c>
      <c r="H40" s="398">
        <v>4864</v>
      </c>
      <c r="I40" s="398">
        <v>1321695</v>
      </c>
      <c r="J40" s="399">
        <v>2458</v>
      </c>
      <c r="K40" s="400">
        <v>672571</v>
      </c>
      <c r="L40" s="398">
        <v>2556</v>
      </c>
      <c r="M40" s="398">
        <v>1168366</v>
      </c>
      <c r="N40" s="398">
        <v>4316</v>
      </c>
      <c r="O40" s="398">
        <v>1533943</v>
      </c>
      <c r="P40" s="398">
        <v>4965</v>
      </c>
      <c r="Q40" s="398">
        <v>2104096</v>
      </c>
      <c r="R40" s="398">
        <v>3366</v>
      </c>
      <c r="S40" s="398">
        <v>1847351</v>
      </c>
      <c r="T40" s="398">
        <v>3654</v>
      </c>
      <c r="U40" s="398">
        <v>1456075</v>
      </c>
      <c r="V40" s="398">
        <f>_xlfn.IFNA(VLOOKUP(A40,[3]進出口值表查詢結果!$C$11:$F$68,4,0),-[4]整車!$B$22)</f>
        <v>5797</v>
      </c>
      <c r="W40" s="398">
        <f>_xlfn.IFNA(VLOOKUP(A40,[3]進出口值表查詢結果!$C$11:$F$68,3,0),-[4]整車!$B$22)</f>
        <v>1411961</v>
      </c>
      <c r="X40" s="398">
        <f>_xlfn.IFNA(VLOOKUP(A40,[5]進出口值表查詢結果!$C$11:$F$68,4,0),-[4]整車!$B$22)</f>
        <v>5920</v>
      </c>
      <c r="Y40" s="398">
        <f>_xlfn.IFNA(VLOOKUP(A40,[5]進出口值表查詢結果!$C$11:$F$68,3,0),-[4]整車!$B$22)</f>
        <v>1991602</v>
      </c>
      <c r="Z40" s="392">
        <f t="shared" si="7"/>
        <v>64632</v>
      </c>
      <c r="AA40" s="392">
        <f t="shared" si="8"/>
        <v>22702831</v>
      </c>
    </row>
    <row r="41" spans="1:27">
      <c r="A41" s="434" t="s">
        <v>173</v>
      </c>
      <c r="B41" s="398">
        <v>1316</v>
      </c>
      <c r="C41" s="398">
        <v>717427</v>
      </c>
      <c r="D41" s="398">
        <v>911</v>
      </c>
      <c r="E41" s="398">
        <v>709326</v>
      </c>
      <c r="F41" s="398">
        <v>1777</v>
      </c>
      <c r="G41" s="398">
        <v>1217722</v>
      </c>
      <c r="H41" s="398">
        <v>547</v>
      </c>
      <c r="I41" s="398">
        <v>1236471</v>
      </c>
      <c r="J41" s="399">
        <v>504</v>
      </c>
      <c r="K41" s="400">
        <v>997393</v>
      </c>
      <c r="L41" s="398">
        <v>1828</v>
      </c>
      <c r="M41" s="398">
        <v>1782072</v>
      </c>
      <c r="N41" s="398">
        <v>858</v>
      </c>
      <c r="O41" s="398">
        <v>1473021</v>
      </c>
      <c r="P41" s="398">
        <v>1248</v>
      </c>
      <c r="Q41" s="398">
        <v>1567705</v>
      </c>
      <c r="R41" s="398">
        <v>1489</v>
      </c>
      <c r="S41" s="398">
        <v>1445890</v>
      </c>
      <c r="T41" s="398">
        <v>1319</v>
      </c>
      <c r="U41" s="398">
        <v>1108193</v>
      </c>
      <c r="V41" s="398">
        <f>_xlfn.IFNA(VLOOKUP(A41,[3]進出口值表查詢結果!$C$11:$F$68,4,0),-[4]整車!$B$22)</f>
        <v>1769</v>
      </c>
      <c r="W41" s="398">
        <f>_xlfn.IFNA(VLOOKUP(A41,[3]進出口值表查詢結果!$C$11:$F$68,3,0),-[4]整車!$B$22)</f>
        <v>798510</v>
      </c>
      <c r="X41" s="398">
        <f>_xlfn.IFNA(VLOOKUP(A41,[5]進出口值表查詢結果!$C$11:$F$68,4,0),-[4]整車!$B$22)</f>
        <v>2665</v>
      </c>
      <c r="Y41" s="398">
        <f>_xlfn.IFNA(VLOOKUP(A41,[5]進出口值表查詢結果!$C$11:$F$68,3,0),-[4]整車!$B$22)</f>
        <v>1213680</v>
      </c>
      <c r="Z41" s="392">
        <f t="shared" si="7"/>
        <v>16231</v>
      </c>
      <c r="AA41" s="392">
        <f t="shared" si="8"/>
        <v>14267410</v>
      </c>
    </row>
    <row r="42" spans="1:27">
      <c r="A42" s="434" t="s">
        <v>157</v>
      </c>
      <c r="B42" s="398">
        <v>17706</v>
      </c>
      <c r="C42" s="398">
        <v>5035525</v>
      </c>
      <c r="D42" s="398">
        <v>6240</v>
      </c>
      <c r="E42" s="398">
        <v>3784977</v>
      </c>
      <c r="F42" s="398">
        <v>9566</v>
      </c>
      <c r="G42" s="398">
        <v>2935879</v>
      </c>
      <c r="H42" s="398">
        <v>6503</v>
      </c>
      <c r="I42" s="398">
        <v>3044684</v>
      </c>
      <c r="J42" s="399">
        <v>5112</v>
      </c>
      <c r="K42" s="400">
        <v>3224993</v>
      </c>
      <c r="L42" s="398">
        <v>13471</v>
      </c>
      <c r="M42" s="398">
        <v>4417423</v>
      </c>
      <c r="N42" s="398">
        <v>11009</v>
      </c>
      <c r="O42" s="398">
        <v>4729278</v>
      </c>
      <c r="P42" s="398">
        <v>33998</v>
      </c>
      <c r="Q42" s="398">
        <v>11641642</v>
      </c>
      <c r="R42" s="398">
        <v>15962</v>
      </c>
      <c r="S42" s="398">
        <v>6253943</v>
      </c>
      <c r="T42" s="398">
        <v>18510</v>
      </c>
      <c r="U42" s="398">
        <v>8270668</v>
      </c>
      <c r="V42" s="398">
        <f>_xlfn.IFNA(VLOOKUP(A42,[3]進出口值表查詢結果!$C$11:$F$68,4,0),-[4]整車!$B$22)</f>
        <v>12194</v>
      </c>
      <c r="W42" s="398">
        <f>_xlfn.IFNA(VLOOKUP(A42,[3]進出口值表查詢結果!$C$11:$F$68,3,0),-[4]整車!$B$22)</f>
        <v>5955460</v>
      </c>
      <c r="X42" s="398">
        <f>_xlfn.IFNA(VLOOKUP(A42,[5]進出口值表查詢結果!$C$11:$F$68,4,0),-[4]整車!$B$22)</f>
        <v>14217</v>
      </c>
      <c r="Y42" s="398">
        <f>_xlfn.IFNA(VLOOKUP(A42,[5]進出口值表查詢結果!$C$11:$F$68,3,0),-[4]整車!$B$22)</f>
        <v>5372669</v>
      </c>
      <c r="Z42" s="392">
        <f t="shared" si="7"/>
        <v>164488</v>
      </c>
      <c r="AA42" s="392">
        <f t="shared" si="8"/>
        <v>64667141</v>
      </c>
    </row>
    <row r="43" spans="1:27">
      <c r="A43" s="434" t="s">
        <v>165</v>
      </c>
      <c r="B43" s="398">
        <v>1251</v>
      </c>
      <c r="C43" s="398">
        <v>1143718</v>
      </c>
      <c r="D43" s="398">
        <v>1214</v>
      </c>
      <c r="E43" s="398">
        <v>1514756</v>
      </c>
      <c r="F43" s="398">
        <v>1275</v>
      </c>
      <c r="G43" s="398">
        <v>1300366</v>
      </c>
      <c r="H43" s="398">
        <v>85</v>
      </c>
      <c r="I43" s="398">
        <v>106062</v>
      </c>
      <c r="J43" s="399">
        <v>889</v>
      </c>
      <c r="K43" s="400">
        <v>1214599</v>
      </c>
      <c r="L43" s="398">
        <v>1601</v>
      </c>
      <c r="M43" s="398">
        <v>1668970</v>
      </c>
      <c r="N43" s="398">
        <v>925</v>
      </c>
      <c r="O43" s="398">
        <v>1104904</v>
      </c>
      <c r="P43" s="398">
        <v>519</v>
      </c>
      <c r="Q43" s="398">
        <v>835276</v>
      </c>
      <c r="R43" s="398">
        <v>1150</v>
      </c>
      <c r="S43" s="398">
        <v>1209512</v>
      </c>
      <c r="T43" s="398">
        <v>2343</v>
      </c>
      <c r="U43" s="398">
        <v>2166095</v>
      </c>
      <c r="V43" s="398">
        <f>_xlfn.IFNA(VLOOKUP(A43,[3]進出口值表查詢結果!$C$11:$F$68,4,0),-[4]整車!$B$22)</f>
        <v>1094</v>
      </c>
      <c r="W43" s="398">
        <f>_xlfn.IFNA(VLOOKUP(A43,[3]進出口值表查詢結果!$C$11:$F$68,3,0),-[4]整車!$B$22)</f>
        <v>1193068</v>
      </c>
      <c r="X43" s="398">
        <f>_xlfn.IFNA(VLOOKUP(A43,[5]進出口值表查詢結果!$C$11:$F$68,4,0),-[4]整車!$B$22)</f>
        <v>680</v>
      </c>
      <c r="Y43" s="398">
        <f>_xlfn.IFNA(VLOOKUP(A43,[5]進出口值表查詢結果!$C$11:$F$68,3,0),-[4]整車!$B$22)</f>
        <v>895521</v>
      </c>
      <c r="Z43" s="392">
        <f t="shared" si="7"/>
        <v>13026</v>
      </c>
      <c r="AA43" s="392">
        <f t="shared" si="8"/>
        <v>14352847</v>
      </c>
    </row>
    <row r="44" spans="1:27">
      <c r="A44" s="397" t="s">
        <v>246</v>
      </c>
      <c r="B44" s="398">
        <v>1462</v>
      </c>
      <c r="C44" s="398">
        <v>1150648</v>
      </c>
      <c r="D44" s="398">
        <v>1170</v>
      </c>
      <c r="E44" s="398">
        <v>1065890</v>
      </c>
      <c r="F44" s="398">
        <v>328</v>
      </c>
      <c r="G44" s="398">
        <v>441720</v>
      </c>
      <c r="H44" s="398">
        <v>198</v>
      </c>
      <c r="I44" s="398">
        <v>604272</v>
      </c>
      <c r="J44" s="399">
        <v>824</v>
      </c>
      <c r="K44" s="400">
        <v>1298798</v>
      </c>
      <c r="L44" s="398">
        <v>1079</v>
      </c>
      <c r="M44" s="398">
        <v>1208211</v>
      </c>
      <c r="N44" s="398">
        <v>807</v>
      </c>
      <c r="O44" s="398">
        <v>1002195</v>
      </c>
      <c r="P44" s="398">
        <v>796</v>
      </c>
      <c r="Q44" s="398">
        <v>1264047</v>
      </c>
      <c r="R44" s="398">
        <v>605</v>
      </c>
      <c r="S44" s="398">
        <v>956624</v>
      </c>
      <c r="T44" s="398">
        <v>1343</v>
      </c>
      <c r="U44" s="398">
        <v>1450743</v>
      </c>
      <c r="V44" s="398">
        <f>_xlfn.IFNA(VLOOKUP(A44,[3]進出口值表查詢結果!$C$11:$F$68,4,0),-[4]整車!$B$22)</f>
        <v>1030</v>
      </c>
      <c r="W44" s="398">
        <f>_xlfn.IFNA(VLOOKUP(A44,[3]進出口值表查詢結果!$C$11:$F$68,3,0),-[4]整車!$B$22)</f>
        <v>1221871</v>
      </c>
      <c r="X44" s="398">
        <f>_xlfn.IFNA(VLOOKUP(A44,[5]進出口值表查詢結果!$C$11:$F$68,4,0),-[4]整車!$B$22)</f>
        <v>1914</v>
      </c>
      <c r="Y44" s="398">
        <f>_xlfn.IFNA(VLOOKUP(A44,[5]進出口值表查詢結果!$C$11:$F$68,3,0),-[4]整車!$B$22)</f>
        <v>2462982</v>
      </c>
      <c r="Z44" s="392">
        <f t="shared" si="7"/>
        <v>11556</v>
      </c>
      <c r="AA44" s="392">
        <f t="shared" si="8"/>
        <v>14128001</v>
      </c>
    </row>
    <row r="45" spans="1:27">
      <c r="A45" s="434" t="s">
        <v>183</v>
      </c>
      <c r="B45" s="398">
        <v>8259</v>
      </c>
      <c r="C45" s="398">
        <v>7055116</v>
      </c>
      <c r="D45" s="398">
        <v>7827</v>
      </c>
      <c r="E45" s="398">
        <v>8311625</v>
      </c>
      <c r="F45" s="398">
        <v>5451</v>
      </c>
      <c r="G45" s="398">
        <v>4815102</v>
      </c>
      <c r="H45" s="398">
        <v>1437</v>
      </c>
      <c r="I45" s="398">
        <v>897615</v>
      </c>
      <c r="J45" s="399">
        <v>6587</v>
      </c>
      <c r="K45" s="400">
        <v>3549849</v>
      </c>
      <c r="L45" s="398">
        <v>5956</v>
      </c>
      <c r="M45" s="398">
        <v>4372019</v>
      </c>
      <c r="N45" s="398">
        <v>6178</v>
      </c>
      <c r="O45" s="398">
        <v>5869574</v>
      </c>
      <c r="P45" s="398">
        <v>5911</v>
      </c>
      <c r="Q45" s="398">
        <v>4858793</v>
      </c>
      <c r="R45" s="398">
        <v>4741</v>
      </c>
      <c r="S45" s="398">
        <v>2750680</v>
      </c>
      <c r="T45" s="398">
        <v>8165</v>
      </c>
      <c r="U45" s="398">
        <v>3665783</v>
      </c>
      <c r="V45" s="398">
        <f>_xlfn.IFNA(VLOOKUP(A45,[3]進出口值表查詢結果!$C$11:$F$68,4,0),-[4]整車!$B$22)</f>
        <v>4599</v>
      </c>
      <c r="W45" s="398">
        <f>_xlfn.IFNA(VLOOKUP(A45,[3]進出口值表查詢結果!$C$11:$F$68,3,0),-[4]整車!$B$22)</f>
        <v>2448875</v>
      </c>
      <c r="X45" s="398">
        <f>_xlfn.IFNA(VLOOKUP(A45,[5]進出口值表查詢結果!$C$11:$F$68,4,0),-[4]整車!$B$22)</f>
        <v>6519</v>
      </c>
      <c r="Y45" s="398">
        <f>_xlfn.IFNA(VLOOKUP(A45,[5]進出口值表查詢結果!$C$11:$F$68,3,0),-[4]整車!$B$22)</f>
        <v>4708366</v>
      </c>
      <c r="Z45" s="392">
        <f t="shared" si="7"/>
        <v>71630</v>
      </c>
      <c r="AA45" s="392">
        <f t="shared" si="8"/>
        <v>53303397</v>
      </c>
    </row>
    <row r="46" spans="1:27">
      <c r="A46" s="434" t="s">
        <v>160</v>
      </c>
      <c r="B46" s="398">
        <v>2698</v>
      </c>
      <c r="C46" s="398">
        <v>337022</v>
      </c>
      <c r="D46" s="398">
        <v>4227</v>
      </c>
      <c r="E46" s="398">
        <v>590807</v>
      </c>
      <c r="F46" s="398">
        <v>1385</v>
      </c>
      <c r="G46" s="398">
        <v>364355</v>
      </c>
      <c r="H46" s="398">
        <v>2867</v>
      </c>
      <c r="I46" s="398">
        <v>160451</v>
      </c>
      <c r="J46" s="399">
        <v>493</v>
      </c>
      <c r="K46" s="400">
        <v>68059</v>
      </c>
      <c r="L46" s="398">
        <v>3511</v>
      </c>
      <c r="M46" s="398">
        <v>345274</v>
      </c>
      <c r="N46" s="412">
        <v>616</v>
      </c>
      <c r="O46" s="412">
        <v>145435</v>
      </c>
      <c r="P46" s="398">
        <v>252</v>
      </c>
      <c r="Q46" s="398">
        <v>50525</v>
      </c>
      <c r="R46" s="398">
        <v>1078</v>
      </c>
      <c r="S46" s="398">
        <v>229756</v>
      </c>
      <c r="T46" s="398">
        <v>2600</v>
      </c>
      <c r="U46" s="398">
        <v>425508</v>
      </c>
      <c r="V46" s="398">
        <f>_xlfn.IFNA(VLOOKUP(A46,[3]進出口值表查詢結果!$C$11:$F$68,4,0),-[4]整車!$B$22)</f>
        <v>2376</v>
      </c>
      <c r="W46" s="398">
        <f>_xlfn.IFNA(VLOOKUP(A46,[3]進出口值表查詢結果!$C$11:$F$68,3,0),-[4]整車!$B$22)</f>
        <v>357540</v>
      </c>
      <c r="X46" s="398">
        <f>_xlfn.IFNA(VLOOKUP(A46,[5]進出口值表查詢結果!$C$11:$F$68,4,0),-[4]整車!$B$22)</f>
        <v>3399</v>
      </c>
      <c r="Y46" s="398">
        <f>_xlfn.IFNA(VLOOKUP(A46,[5]進出口值表查詢結果!$C$11:$F$68,3,0),-[4]整車!$B$22)</f>
        <v>252100</v>
      </c>
      <c r="Z46" s="392">
        <f t="shared" si="7"/>
        <v>25502</v>
      </c>
      <c r="AA46" s="392">
        <f t="shared" si="8"/>
        <v>3326832</v>
      </c>
    </row>
    <row r="47" spans="1:27">
      <c r="A47" s="434" t="s">
        <v>186</v>
      </c>
      <c r="B47" s="398">
        <v>0</v>
      </c>
      <c r="C47" s="398">
        <v>0</v>
      </c>
      <c r="D47" s="398"/>
      <c r="E47" s="398"/>
      <c r="F47" s="398">
        <v>0</v>
      </c>
      <c r="G47" s="398"/>
      <c r="H47" s="398">
        <v>0</v>
      </c>
      <c r="I47" s="398">
        <v>0</v>
      </c>
      <c r="J47" s="399">
        <v>17</v>
      </c>
      <c r="K47" s="400">
        <v>30939</v>
      </c>
      <c r="L47" s="398">
        <v>0</v>
      </c>
      <c r="M47" s="398">
        <v>0</v>
      </c>
      <c r="N47" s="398">
        <v>0</v>
      </c>
      <c r="O47" s="398">
        <v>0</v>
      </c>
      <c r="P47" s="398">
        <v>0</v>
      </c>
      <c r="Q47" s="398">
        <v>0</v>
      </c>
      <c r="R47" s="398">
        <v>0</v>
      </c>
      <c r="S47" s="398">
        <v>0</v>
      </c>
      <c r="T47" s="398"/>
      <c r="U47" s="398"/>
      <c r="V47" s="398">
        <f>_xlfn.IFNA(VLOOKUP(A47,[3]進出口值表查詢結果!$C$11:$F$68,4,0),-[4]整車!$B$22)</f>
        <v>13</v>
      </c>
      <c r="W47" s="398">
        <f>_xlfn.IFNA(VLOOKUP(A47,[3]進出口值表查詢結果!$C$11:$F$68,3,0),-[4]整車!$B$22)</f>
        <v>30641</v>
      </c>
      <c r="X47" s="398">
        <f>_xlfn.IFNA(VLOOKUP(A47,[5]進出口值表查詢結果!$C$11:$F$68,4,0),-[4]整車!$B$22)</f>
        <v>0</v>
      </c>
      <c r="Y47" s="398">
        <f>_xlfn.IFNA(VLOOKUP(A47,[5]進出口值表查詢結果!$C$11:$F$68,3,0),-[4]整車!$B$22)</f>
        <v>0</v>
      </c>
      <c r="Z47" s="392">
        <f t="shared" si="7"/>
        <v>30</v>
      </c>
      <c r="AA47" s="392">
        <f t="shared" si="8"/>
        <v>61580</v>
      </c>
    </row>
    <row r="48" spans="1:27">
      <c r="A48" s="434" t="s">
        <v>249</v>
      </c>
      <c r="B48" s="398">
        <v>1496</v>
      </c>
      <c r="C48" s="398">
        <v>75974</v>
      </c>
      <c r="D48" s="398">
        <v>887</v>
      </c>
      <c r="E48" s="398">
        <v>76782</v>
      </c>
      <c r="F48" s="398">
        <v>282</v>
      </c>
      <c r="G48" s="398">
        <v>34683</v>
      </c>
      <c r="H48" s="398">
        <v>243</v>
      </c>
      <c r="I48" s="398">
        <v>59854</v>
      </c>
      <c r="J48" s="399">
        <v>2854</v>
      </c>
      <c r="K48" s="400">
        <v>111627</v>
      </c>
      <c r="L48" s="398">
        <v>292</v>
      </c>
      <c r="M48" s="398">
        <v>40717</v>
      </c>
      <c r="N48" s="412">
        <v>50</v>
      </c>
      <c r="O48" s="412">
        <v>7437</v>
      </c>
      <c r="P48" s="398">
        <v>0</v>
      </c>
      <c r="Q48" s="398">
        <v>0</v>
      </c>
      <c r="R48" s="398">
        <v>63</v>
      </c>
      <c r="S48" s="398">
        <v>7337</v>
      </c>
      <c r="T48" s="398">
        <v>110</v>
      </c>
      <c r="U48" s="398">
        <v>19242</v>
      </c>
      <c r="V48" s="398">
        <f>_xlfn.IFNA(VLOOKUP(A48,[3]進出口值表查詢結果!$C$11:$F$68,4,0),-[4]整車!$B$22)</f>
        <v>2810</v>
      </c>
      <c r="W48" s="398">
        <f>_xlfn.IFNA(VLOOKUP(A48,[3]進出口值表查詢結果!$C$11:$F$68,3,0),-[4]整車!$B$22)</f>
        <v>115217</v>
      </c>
      <c r="X48" s="398">
        <f>_xlfn.IFNA(VLOOKUP(A48,[5]進出口值表查詢結果!$C$11:$F$68,4,0),-[4]整車!$B$22)</f>
        <v>233</v>
      </c>
      <c r="Y48" s="398">
        <f>_xlfn.IFNA(VLOOKUP(A48,[5]進出口值表查詢結果!$C$11:$F$68,3,0),-[4]整車!$B$22)</f>
        <v>49405</v>
      </c>
      <c r="Z48" s="392">
        <f t="shared" si="7"/>
        <v>9320</v>
      </c>
      <c r="AA48" s="392">
        <f t="shared" si="8"/>
        <v>598275</v>
      </c>
    </row>
    <row r="49" spans="1:27">
      <c r="A49" s="434" t="s">
        <v>189</v>
      </c>
      <c r="B49" s="398">
        <v>0</v>
      </c>
      <c r="C49" s="398">
        <v>0</v>
      </c>
      <c r="D49" s="398"/>
      <c r="E49" s="398"/>
      <c r="F49" s="398">
        <v>0</v>
      </c>
      <c r="G49" s="398"/>
      <c r="H49" s="398">
        <v>0</v>
      </c>
      <c r="I49" s="398">
        <v>0</v>
      </c>
      <c r="J49" s="399" t="s">
        <v>56</v>
      </c>
      <c r="K49" s="402" t="s">
        <v>56</v>
      </c>
      <c r="L49" s="398">
        <v>0</v>
      </c>
      <c r="M49" s="398">
        <v>0</v>
      </c>
      <c r="N49" s="398">
        <v>0</v>
      </c>
      <c r="O49" s="398">
        <v>0</v>
      </c>
      <c r="P49" s="398">
        <v>1103</v>
      </c>
      <c r="Q49" s="398">
        <v>149812</v>
      </c>
      <c r="R49" s="398">
        <v>0</v>
      </c>
      <c r="S49" s="398">
        <v>0</v>
      </c>
      <c r="T49" s="398">
        <v>1020</v>
      </c>
      <c r="U49" s="398">
        <v>82719</v>
      </c>
      <c r="V49" s="398">
        <f>_xlfn.IFNA(VLOOKUP(A49,[3]進出口值表查詢結果!$C$11:$F$68,4,0),-[4]整車!$B$22)</f>
        <v>250</v>
      </c>
      <c r="W49" s="398">
        <f>_xlfn.IFNA(VLOOKUP(A49,[3]進出口值表查詢結果!$C$11:$F$68,3,0),-[4]整車!$B$22)</f>
        <v>40485</v>
      </c>
      <c r="X49" s="398">
        <f>_xlfn.IFNA(VLOOKUP(A49,[5]進出口值表查詢結果!$C$11:$F$68,4,0),-[4]整車!$B$22)</f>
        <v>0</v>
      </c>
      <c r="Y49" s="398">
        <f>_xlfn.IFNA(VLOOKUP(A49,[5]進出口值表查詢結果!$C$11:$F$68,3,0),-[4]整車!$B$22)</f>
        <v>0</v>
      </c>
      <c r="Z49" s="392">
        <f t="shared" si="7"/>
        <v>2373</v>
      </c>
      <c r="AA49" s="392">
        <f t="shared" si="8"/>
        <v>273016</v>
      </c>
    </row>
    <row r="50" spans="1:27">
      <c r="A50" s="434" t="s">
        <v>250</v>
      </c>
      <c r="B50" s="398">
        <v>0</v>
      </c>
      <c r="C50" s="398">
        <v>0</v>
      </c>
      <c r="D50" s="398"/>
      <c r="E50" s="398"/>
      <c r="F50" s="398">
        <v>41</v>
      </c>
      <c r="G50" s="398">
        <v>46233</v>
      </c>
      <c r="H50" s="398">
        <v>0</v>
      </c>
      <c r="I50" s="398">
        <v>0</v>
      </c>
      <c r="J50" s="399">
        <v>78</v>
      </c>
      <c r="K50" s="402">
        <v>136719</v>
      </c>
      <c r="L50" s="398">
        <v>73</v>
      </c>
      <c r="M50" s="398">
        <v>111226</v>
      </c>
      <c r="N50" s="412">
        <v>42</v>
      </c>
      <c r="O50" s="412">
        <v>82995</v>
      </c>
      <c r="P50" s="398">
        <v>76</v>
      </c>
      <c r="Q50" s="398">
        <v>189800</v>
      </c>
      <c r="R50" s="398">
        <v>3</v>
      </c>
      <c r="S50" s="398">
        <v>18037</v>
      </c>
      <c r="T50" s="398"/>
      <c r="U50" s="398"/>
      <c r="V50" s="398">
        <f>_xlfn.IFNA(VLOOKUP(A50,[3]進出口值表查詢結果!$C$11:$F$68,4,0),-[4]整車!$B$22)</f>
        <v>0</v>
      </c>
      <c r="W50" s="398">
        <f>_xlfn.IFNA(VLOOKUP(A50,[3]進出口值表查詢結果!$C$11:$F$68,3,0),-[4]整車!$B$22)</f>
        <v>0</v>
      </c>
      <c r="X50" s="398">
        <f>_xlfn.IFNA(VLOOKUP(A50,[5]進出口值表查詢結果!$C$11:$F$68,4,0),-[4]整車!$B$22)</f>
        <v>0</v>
      </c>
      <c r="Y50" s="398">
        <f>_xlfn.IFNA(VLOOKUP(A50,[5]進出口值表查詢結果!$C$11:$F$68,3,0),-[4]整車!$B$22)</f>
        <v>0</v>
      </c>
      <c r="Z50" s="392">
        <f t="shared" si="7"/>
        <v>313</v>
      </c>
      <c r="AA50" s="392">
        <f t="shared" si="8"/>
        <v>585010</v>
      </c>
    </row>
    <row r="51" spans="1:27">
      <c r="A51" s="434" t="s">
        <v>181</v>
      </c>
      <c r="B51" s="398">
        <v>201</v>
      </c>
      <c r="C51" s="398">
        <v>272709</v>
      </c>
      <c r="D51" s="398"/>
      <c r="E51" s="398"/>
      <c r="F51" s="398">
        <v>0</v>
      </c>
      <c r="G51" s="398"/>
      <c r="H51" s="398">
        <v>32</v>
      </c>
      <c r="I51" s="398">
        <v>33620</v>
      </c>
      <c r="J51" s="399">
        <v>101</v>
      </c>
      <c r="K51" s="402">
        <v>102138</v>
      </c>
      <c r="L51" s="398">
        <v>63</v>
      </c>
      <c r="M51" s="398">
        <v>100302</v>
      </c>
      <c r="N51" s="412">
        <v>9</v>
      </c>
      <c r="O51" s="412">
        <v>13320</v>
      </c>
      <c r="P51" s="398">
        <v>0</v>
      </c>
      <c r="Q51" s="398">
        <v>0</v>
      </c>
      <c r="R51" s="398">
        <v>78</v>
      </c>
      <c r="S51" s="398">
        <v>157745</v>
      </c>
      <c r="T51" s="398"/>
      <c r="U51" s="398"/>
      <c r="V51" s="398">
        <f>_xlfn.IFNA(VLOOKUP(A51,[3]進出口值表查詢結果!$C$11:$F$68,4,0),-[4]整車!$B$22)</f>
        <v>149</v>
      </c>
      <c r="W51" s="398">
        <f>_xlfn.IFNA(VLOOKUP(A51,[3]進出口值表查詢結果!$C$11:$F$68,3,0),-[4]整車!$B$22)</f>
        <v>101179</v>
      </c>
      <c r="X51" s="398">
        <f>_xlfn.IFNA(VLOOKUP(A51,[5]進出口值表查詢結果!$C$11:$F$68,4,0),-[4]整車!$B$22)</f>
        <v>177</v>
      </c>
      <c r="Y51" s="398">
        <f>_xlfn.IFNA(VLOOKUP(A51,[5]進出口值表查詢結果!$C$11:$F$68,3,0),-[4]整車!$B$22)</f>
        <v>208957</v>
      </c>
      <c r="Z51" s="392">
        <f t="shared" si="7"/>
        <v>810</v>
      </c>
      <c r="AA51" s="392">
        <f t="shared" si="8"/>
        <v>989970</v>
      </c>
    </row>
    <row r="52" spans="1:27">
      <c r="A52" s="434" t="s">
        <v>252</v>
      </c>
      <c r="B52" s="398">
        <v>14850</v>
      </c>
      <c r="C52" s="398">
        <v>1819825</v>
      </c>
      <c r="D52" s="398">
        <v>10994</v>
      </c>
      <c r="E52" s="398">
        <v>1791539</v>
      </c>
      <c r="F52" s="398">
        <v>5163</v>
      </c>
      <c r="G52" s="398">
        <v>792431</v>
      </c>
      <c r="H52" s="398">
        <v>8731</v>
      </c>
      <c r="I52" s="398">
        <v>1291818</v>
      </c>
      <c r="J52" s="399">
        <v>8229</v>
      </c>
      <c r="K52" s="400">
        <v>909253</v>
      </c>
      <c r="L52" s="398">
        <v>1974</v>
      </c>
      <c r="M52" s="398">
        <v>362668</v>
      </c>
      <c r="N52" s="412">
        <v>1030</v>
      </c>
      <c r="O52" s="412">
        <v>144084</v>
      </c>
      <c r="P52" s="398">
        <v>637</v>
      </c>
      <c r="Q52" s="398">
        <v>148186</v>
      </c>
      <c r="R52" s="398">
        <v>0</v>
      </c>
      <c r="S52" s="398">
        <v>0</v>
      </c>
      <c r="T52" s="398">
        <v>492</v>
      </c>
      <c r="U52" s="398">
        <v>276110</v>
      </c>
      <c r="V52" s="398">
        <f>_xlfn.IFNA(VLOOKUP(A52,[3]進出口值表查詢結果!$C$11:$F$68,4,0),-[4]整車!$B$22)</f>
        <v>373</v>
      </c>
      <c r="W52" s="398">
        <f>_xlfn.IFNA(VLOOKUP(A52,[3]進出口值表查詢結果!$C$11:$F$68,3,0),-[4]整車!$B$22)</f>
        <v>210711</v>
      </c>
      <c r="X52" s="398">
        <f>_xlfn.IFNA(VLOOKUP(A52,[5]進出口值表查詢結果!$C$11:$F$68,4,0),-[4]整車!$B$22)</f>
        <v>255</v>
      </c>
      <c r="Y52" s="398">
        <f>_xlfn.IFNA(VLOOKUP(A52,[5]進出口值表查詢結果!$C$11:$F$68,3,0),-[4]整車!$B$22)</f>
        <v>121134</v>
      </c>
      <c r="Z52" s="392">
        <f t="shared" si="7"/>
        <v>52728</v>
      </c>
      <c r="AA52" s="392">
        <f t="shared" si="8"/>
        <v>7867759</v>
      </c>
    </row>
    <row r="53" spans="1:27">
      <c r="A53" s="434" t="s">
        <v>164</v>
      </c>
      <c r="B53" s="398">
        <v>415</v>
      </c>
      <c r="C53" s="398">
        <v>138854</v>
      </c>
      <c r="D53" s="398">
        <v>347</v>
      </c>
      <c r="E53" s="398">
        <v>89541</v>
      </c>
      <c r="F53" s="398">
        <v>168</v>
      </c>
      <c r="G53" s="398">
        <v>63590</v>
      </c>
      <c r="H53" s="398">
        <v>91</v>
      </c>
      <c r="I53" s="398">
        <v>41073</v>
      </c>
      <c r="J53" s="399" t="s">
        <v>56</v>
      </c>
      <c r="K53" s="402" t="s">
        <v>56</v>
      </c>
      <c r="L53" s="398">
        <v>192</v>
      </c>
      <c r="M53" s="398">
        <v>38137</v>
      </c>
      <c r="N53" s="412">
        <v>565</v>
      </c>
      <c r="O53" s="412">
        <v>326470</v>
      </c>
      <c r="P53" s="398">
        <v>55</v>
      </c>
      <c r="Q53" s="398">
        <v>37445</v>
      </c>
      <c r="R53" s="398">
        <v>12</v>
      </c>
      <c r="S53" s="398">
        <v>17120</v>
      </c>
      <c r="T53" s="398">
        <v>3</v>
      </c>
      <c r="U53" s="398">
        <v>1549</v>
      </c>
      <c r="V53" s="398">
        <f>_xlfn.IFNA(VLOOKUP(A53,[3]進出口值表查詢結果!$C$11:$F$68,4,0),-[4]整車!$B$22)</f>
        <v>6</v>
      </c>
      <c r="W53" s="398">
        <f>_xlfn.IFNA(VLOOKUP(A53,[3]進出口值表查詢結果!$C$11:$F$68,3,0),-[4]整車!$B$22)</f>
        <v>1837</v>
      </c>
      <c r="X53" s="398">
        <f>_xlfn.IFNA(VLOOKUP(A53,[5]進出口值表查詢結果!$C$11:$F$68,4,0),-[4]整車!$B$22)</f>
        <v>0</v>
      </c>
      <c r="Y53" s="398">
        <f>_xlfn.IFNA(VLOOKUP(A53,[5]進出口值表查詢結果!$C$11:$F$68,3,0),-[4]整車!$B$22)</f>
        <v>0</v>
      </c>
      <c r="Z53" s="392">
        <f t="shared" si="7"/>
        <v>1854</v>
      </c>
      <c r="AA53" s="392">
        <f t="shared" si="8"/>
        <v>755616</v>
      </c>
    </row>
    <row r="54" spans="1:27">
      <c r="A54" s="434" t="s">
        <v>171</v>
      </c>
      <c r="B54" s="398">
        <v>2701</v>
      </c>
      <c r="C54" s="398">
        <v>1013330</v>
      </c>
      <c r="D54" s="398">
        <v>526</v>
      </c>
      <c r="E54" s="398">
        <v>174316</v>
      </c>
      <c r="F54" s="398">
        <v>871</v>
      </c>
      <c r="G54" s="398">
        <v>261235</v>
      </c>
      <c r="H54" s="398">
        <v>560</v>
      </c>
      <c r="I54" s="398">
        <v>111328</v>
      </c>
      <c r="J54" s="399">
        <v>122</v>
      </c>
      <c r="K54" s="402">
        <v>126429</v>
      </c>
      <c r="L54" s="398">
        <v>437</v>
      </c>
      <c r="M54" s="398">
        <v>340350</v>
      </c>
      <c r="N54" s="412">
        <v>995</v>
      </c>
      <c r="O54" s="412">
        <v>812171</v>
      </c>
      <c r="P54" s="398">
        <v>393</v>
      </c>
      <c r="Q54" s="398">
        <v>427618</v>
      </c>
      <c r="R54" s="398">
        <v>1762</v>
      </c>
      <c r="S54" s="398">
        <v>731590</v>
      </c>
      <c r="T54" s="398">
        <v>2871</v>
      </c>
      <c r="U54" s="398">
        <v>1163960</v>
      </c>
      <c r="V54" s="398">
        <f>_xlfn.IFNA(VLOOKUP(A54,[3]進出口值表查詢結果!$C$11:$F$68,4,0),-[4]整車!$B$22)</f>
        <v>2077</v>
      </c>
      <c r="W54" s="398">
        <f>_xlfn.IFNA(VLOOKUP(A54,[3]進出口值表查詢結果!$C$11:$F$68,3,0),-[4]整車!$B$22)</f>
        <v>695253</v>
      </c>
      <c r="X54" s="398">
        <f>_xlfn.IFNA(VLOOKUP(A54,[5]進出口值表查詢結果!$C$11:$F$68,4,0),-[4]整車!$B$22)</f>
        <v>2420</v>
      </c>
      <c r="Y54" s="398">
        <f>_xlfn.IFNA(VLOOKUP(A54,[5]進出口值表查詢結果!$C$11:$F$68,3,0),-[4]整車!$B$22)</f>
        <v>651295</v>
      </c>
      <c r="Z54" s="392">
        <f t="shared" si="7"/>
        <v>15735</v>
      </c>
      <c r="AA54" s="392">
        <f t="shared" si="8"/>
        <v>6508875</v>
      </c>
    </row>
    <row r="55" spans="1:27">
      <c r="A55" s="434" t="s">
        <v>161</v>
      </c>
      <c r="B55" s="398">
        <v>184</v>
      </c>
      <c r="C55" s="398">
        <v>65445</v>
      </c>
      <c r="D55" s="398">
        <v>384</v>
      </c>
      <c r="E55" s="398">
        <v>270420</v>
      </c>
      <c r="F55" s="398">
        <v>117</v>
      </c>
      <c r="G55" s="398">
        <v>125456</v>
      </c>
      <c r="H55" s="398">
        <v>125</v>
      </c>
      <c r="I55" s="398">
        <v>79330</v>
      </c>
      <c r="J55" s="399">
        <v>112</v>
      </c>
      <c r="K55" s="402">
        <v>53759</v>
      </c>
      <c r="L55" s="398">
        <v>191</v>
      </c>
      <c r="M55" s="398">
        <v>102112</v>
      </c>
      <c r="N55" s="412">
        <v>97</v>
      </c>
      <c r="O55" s="412">
        <v>124577</v>
      </c>
      <c r="P55" s="398">
        <v>96</v>
      </c>
      <c r="Q55" s="398">
        <v>91901</v>
      </c>
      <c r="R55" s="398">
        <v>1</v>
      </c>
      <c r="S55" s="398">
        <v>4144</v>
      </c>
      <c r="T55" s="398">
        <v>262</v>
      </c>
      <c r="U55" s="398">
        <v>270569</v>
      </c>
      <c r="V55" s="398">
        <f>_xlfn.IFNA(VLOOKUP(A55,[3]進出口值表查詢結果!$C$11:$F$68,4,0),-[4]整車!$B$22)</f>
        <v>124</v>
      </c>
      <c r="W55" s="398">
        <f>_xlfn.IFNA(VLOOKUP(A55,[3]進出口值表查詢結果!$C$11:$F$68,3,0),-[4]整車!$B$22)</f>
        <v>163570</v>
      </c>
      <c r="X55" s="398">
        <f>_xlfn.IFNA(VLOOKUP(A55,[5]進出口值表查詢結果!$C$11:$F$68,4,0),-[4]整車!$B$22)</f>
        <v>2983</v>
      </c>
      <c r="Y55" s="398">
        <f>_xlfn.IFNA(VLOOKUP(A55,[5]進出口值表查詢結果!$C$11:$F$68,3,0),-[4]整車!$B$22)</f>
        <v>600700</v>
      </c>
      <c r="Z55" s="392">
        <f t="shared" si="7"/>
        <v>4676</v>
      </c>
      <c r="AA55" s="392">
        <f t="shared" si="8"/>
        <v>1951983</v>
      </c>
    </row>
    <row r="56" spans="1:27">
      <c r="A56" s="434" t="s">
        <v>167</v>
      </c>
      <c r="B56" s="398">
        <v>1004</v>
      </c>
      <c r="C56" s="398">
        <v>51950</v>
      </c>
      <c r="D56" s="398">
        <v>726</v>
      </c>
      <c r="E56" s="398">
        <v>56062</v>
      </c>
      <c r="F56" s="398">
        <v>1874</v>
      </c>
      <c r="G56" s="398">
        <v>133920</v>
      </c>
      <c r="H56" s="398">
        <v>806</v>
      </c>
      <c r="I56" s="398">
        <v>75224</v>
      </c>
      <c r="J56" s="399" t="s">
        <v>56</v>
      </c>
      <c r="K56" s="402" t="s">
        <v>56</v>
      </c>
      <c r="L56" s="398">
        <v>52</v>
      </c>
      <c r="M56" s="398">
        <v>5931</v>
      </c>
      <c r="N56" s="398">
        <v>0</v>
      </c>
      <c r="O56" s="398">
        <v>0</v>
      </c>
      <c r="P56" s="398">
        <v>0</v>
      </c>
      <c r="Q56" s="398">
        <v>0</v>
      </c>
      <c r="R56" s="398">
        <v>0</v>
      </c>
      <c r="S56" s="398">
        <v>0</v>
      </c>
      <c r="T56" s="398">
        <v>70</v>
      </c>
      <c r="U56" s="398">
        <v>11429</v>
      </c>
      <c r="V56" s="398">
        <f>_xlfn.IFNA(VLOOKUP(A56,[3]進出口值表查詢結果!$C$11:$F$68,4,0),-[4]整車!$B$22)</f>
        <v>13</v>
      </c>
      <c r="W56" s="398">
        <f>_xlfn.IFNA(VLOOKUP(A56,[3]進出口值表查詢結果!$C$11:$F$68,3,0),-[4]整車!$B$22)</f>
        <v>1698</v>
      </c>
      <c r="X56" s="398">
        <f>_xlfn.IFNA(VLOOKUP(A56,[5]進出口值表查詢結果!$C$11:$F$68,4,0),-[4]整車!$B$22)</f>
        <v>55</v>
      </c>
      <c r="Y56" s="398">
        <f>_xlfn.IFNA(VLOOKUP(A56,[5]進出口值表查詢結果!$C$11:$F$68,3,0),-[4]整車!$B$22)</f>
        <v>5808</v>
      </c>
      <c r="Z56" s="392">
        <f t="shared" si="7"/>
        <v>4600</v>
      </c>
      <c r="AA56" s="392">
        <f t="shared" si="8"/>
        <v>342022</v>
      </c>
    </row>
    <row r="57" spans="1:27">
      <c r="A57" s="434" t="s">
        <v>258</v>
      </c>
      <c r="B57" s="398">
        <v>0</v>
      </c>
      <c r="C57" s="398">
        <v>0</v>
      </c>
      <c r="D57" s="398">
        <v>40</v>
      </c>
      <c r="E57" s="398">
        <v>6163</v>
      </c>
      <c r="F57" s="398">
        <v>0</v>
      </c>
      <c r="G57" s="398"/>
      <c r="H57" s="398">
        <v>0</v>
      </c>
      <c r="I57" s="398">
        <v>0</v>
      </c>
      <c r="J57" s="399" t="s">
        <v>56</v>
      </c>
      <c r="K57" s="402" t="s">
        <v>56</v>
      </c>
      <c r="L57" s="398">
        <v>0</v>
      </c>
      <c r="M57" s="398">
        <v>0</v>
      </c>
      <c r="N57" s="398">
        <v>0</v>
      </c>
      <c r="O57" s="398">
        <v>0</v>
      </c>
      <c r="P57" s="398">
        <v>0</v>
      </c>
      <c r="Q57" s="398">
        <v>0</v>
      </c>
      <c r="R57" s="398">
        <v>0</v>
      </c>
      <c r="S57" s="398">
        <v>0</v>
      </c>
      <c r="T57" s="398"/>
      <c r="U57" s="398"/>
      <c r="V57" s="398">
        <f>_xlfn.IFNA(VLOOKUP(A57,[3]進出口值表查詢結果!$C$11:$F$68,4,0),-[4]整車!$B$22)</f>
        <v>0</v>
      </c>
      <c r="W57" s="398">
        <f>_xlfn.IFNA(VLOOKUP(A57,[3]進出口值表查詢結果!$C$11:$F$68,3,0),-[4]整車!$B$22)</f>
        <v>0</v>
      </c>
      <c r="X57" s="398">
        <f>_xlfn.IFNA(VLOOKUP(A57,[5]進出口值表查詢結果!$C$11:$F$68,4,0),-[4]整車!$B$22)</f>
        <v>0</v>
      </c>
      <c r="Y57" s="398">
        <f>_xlfn.IFNA(VLOOKUP(A57,[5]進出口值表查詢結果!$C$11:$F$68,3,0),-[4]整車!$B$22)</f>
        <v>0</v>
      </c>
      <c r="Z57" s="392">
        <f t="shared" si="7"/>
        <v>40</v>
      </c>
      <c r="AA57" s="392">
        <f t="shared" si="8"/>
        <v>6163</v>
      </c>
    </row>
    <row r="58" spans="1:27">
      <c r="A58" s="437" t="s">
        <v>260</v>
      </c>
      <c r="B58" s="398">
        <v>696</v>
      </c>
      <c r="C58" s="398">
        <v>253916</v>
      </c>
      <c r="D58" s="398">
        <v>1323</v>
      </c>
      <c r="E58" s="398">
        <v>281646</v>
      </c>
      <c r="F58" s="398">
        <v>898</v>
      </c>
      <c r="G58" s="398">
        <v>263987</v>
      </c>
      <c r="H58" s="398">
        <v>276</v>
      </c>
      <c r="I58" s="398">
        <v>95595</v>
      </c>
      <c r="J58" s="399">
        <v>767</v>
      </c>
      <c r="K58" s="402">
        <v>158803</v>
      </c>
      <c r="L58" s="398">
        <v>0</v>
      </c>
      <c r="M58" s="398">
        <v>0</v>
      </c>
      <c r="N58" s="412">
        <v>80</v>
      </c>
      <c r="O58" s="412">
        <v>39824</v>
      </c>
      <c r="P58" s="398">
        <v>0</v>
      </c>
      <c r="Q58" s="398">
        <v>0</v>
      </c>
      <c r="R58" s="398">
        <v>0</v>
      </c>
      <c r="S58" s="398">
        <v>0</v>
      </c>
      <c r="T58" s="398">
        <v>169</v>
      </c>
      <c r="U58" s="398">
        <v>44957</v>
      </c>
      <c r="V58" s="398">
        <f>_xlfn.IFNA(VLOOKUP(A58,[3]進出口值表查詢結果!$C$11:$F$68,4,0),-[4]整車!$B$22)</f>
        <v>0</v>
      </c>
      <c r="W58" s="398">
        <f>_xlfn.IFNA(VLOOKUP(A58,[3]進出口值表查詢結果!$C$11:$F$68,3,0),-[4]整車!$B$22)</f>
        <v>0</v>
      </c>
      <c r="X58" s="398">
        <f>_xlfn.IFNA(VLOOKUP(A58,[5]進出口值表查詢結果!$C$11:$F$68,4,0),-[4]整車!$B$22)</f>
        <v>0</v>
      </c>
      <c r="Y58" s="398">
        <f>_xlfn.IFNA(VLOOKUP(A58,[5]進出口值表查詢結果!$C$11:$F$68,3,0),-[4]整車!$B$22)</f>
        <v>0</v>
      </c>
      <c r="Z58" s="392">
        <f t="shared" si="7"/>
        <v>4209</v>
      </c>
      <c r="AA58" s="392">
        <f t="shared" si="8"/>
        <v>1138728</v>
      </c>
    </row>
    <row r="59" spans="1:27">
      <c r="A59" s="438" t="s">
        <v>17</v>
      </c>
      <c r="B59" s="398">
        <v>0</v>
      </c>
      <c r="C59" s="398">
        <v>0</v>
      </c>
      <c r="D59" s="398"/>
      <c r="E59" s="398"/>
      <c r="F59" s="398">
        <v>0</v>
      </c>
      <c r="G59" s="398"/>
      <c r="H59" s="398">
        <v>0</v>
      </c>
      <c r="I59" s="398">
        <v>0</v>
      </c>
      <c r="J59" s="399">
        <v>50</v>
      </c>
      <c r="K59" s="402">
        <v>5012</v>
      </c>
      <c r="L59" s="398">
        <v>0</v>
      </c>
      <c r="M59" s="398">
        <v>0</v>
      </c>
      <c r="N59" s="398">
        <v>0</v>
      </c>
      <c r="O59" s="398">
        <v>0</v>
      </c>
      <c r="P59" s="398">
        <v>0</v>
      </c>
      <c r="Q59" s="398">
        <v>0</v>
      </c>
      <c r="R59" s="398">
        <v>0</v>
      </c>
      <c r="S59" s="398">
        <v>0</v>
      </c>
      <c r="T59" s="398">
        <v>440</v>
      </c>
      <c r="U59" s="398">
        <v>55250</v>
      </c>
      <c r="V59" s="398">
        <f>_xlfn.IFNA(VLOOKUP(A59,[3]進出口值表查詢結果!$C$11:$F$68,4,0),-[4]整車!$B$22)</f>
        <v>0</v>
      </c>
      <c r="W59" s="398">
        <f>_xlfn.IFNA(VLOOKUP(A59,[3]進出口值表查詢結果!$C$11:$F$68,3,0),-[4]整車!$B$22)</f>
        <v>0</v>
      </c>
      <c r="X59" s="398">
        <f>_xlfn.IFNA(VLOOKUP(A59,[5]進出口值表查詢結果!$C$11:$F$68,4,0),-[4]整車!$B$22)</f>
        <v>0</v>
      </c>
      <c r="Y59" s="398">
        <f>_xlfn.IFNA(VLOOKUP(A59,[5]進出口值表查詢結果!$C$11:$F$68,3,0),-[4]整車!$B$22)</f>
        <v>0</v>
      </c>
      <c r="Z59" s="392">
        <f t="shared" si="7"/>
        <v>490</v>
      </c>
      <c r="AA59" s="392">
        <f t="shared" si="8"/>
        <v>60262</v>
      </c>
    </row>
    <row r="60" spans="1:27">
      <c r="A60" s="434" t="s">
        <v>263</v>
      </c>
      <c r="B60" s="398">
        <v>0</v>
      </c>
      <c r="C60" s="398">
        <v>0</v>
      </c>
      <c r="D60" s="398">
        <v>523</v>
      </c>
      <c r="E60" s="398">
        <v>150033</v>
      </c>
      <c r="F60" s="398">
        <v>813</v>
      </c>
      <c r="G60" s="398">
        <v>183637</v>
      </c>
      <c r="H60" s="398">
        <v>317</v>
      </c>
      <c r="I60" s="398">
        <v>63199</v>
      </c>
      <c r="J60" s="399" t="s">
        <v>56</v>
      </c>
      <c r="K60" s="402" t="s">
        <v>56</v>
      </c>
      <c r="L60" s="398">
        <v>160</v>
      </c>
      <c r="M60" s="398">
        <v>66421</v>
      </c>
      <c r="N60" s="398">
        <v>0</v>
      </c>
      <c r="O60" s="398">
        <v>0</v>
      </c>
      <c r="P60" s="398">
        <v>0</v>
      </c>
      <c r="Q60" s="398">
        <v>0</v>
      </c>
      <c r="R60" s="398">
        <v>0</v>
      </c>
      <c r="S60" s="398">
        <v>0</v>
      </c>
      <c r="T60" s="398"/>
      <c r="U60" s="398"/>
      <c r="V60" s="398">
        <f>_xlfn.IFNA(VLOOKUP(A60,[3]進出口值表查詢結果!$C$11:$F$68,4,0),-[4]整車!$B$22)</f>
        <v>0</v>
      </c>
      <c r="W60" s="398">
        <f>_xlfn.IFNA(VLOOKUP(A60,[3]進出口值表查詢結果!$C$11:$F$68,3,0),-[4]整車!$B$22)</f>
        <v>0</v>
      </c>
      <c r="X60" s="398">
        <f>_xlfn.IFNA(VLOOKUP(A60,[5]進出口值表查詢結果!$C$11:$F$68,4,0),-[4]整車!$B$22)</f>
        <v>0</v>
      </c>
      <c r="Y60" s="398">
        <f>_xlfn.IFNA(VLOOKUP(A60,[5]進出口值表查詢結果!$C$11:$F$68,3,0),-[4]整車!$B$22)</f>
        <v>0</v>
      </c>
      <c r="Z60" s="392">
        <f t="shared" si="7"/>
        <v>1813</v>
      </c>
      <c r="AA60" s="392">
        <f t="shared" si="8"/>
        <v>463290</v>
      </c>
    </row>
    <row r="61" spans="1:27">
      <c r="A61" s="397" t="s">
        <v>264</v>
      </c>
      <c r="B61" s="398">
        <v>1370</v>
      </c>
      <c r="C61" s="398">
        <v>251116</v>
      </c>
      <c r="D61" s="398">
        <v>1982</v>
      </c>
      <c r="E61" s="398">
        <v>436276</v>
      </c>
      <c r="F61" s="398">
        <v>324</v>
      </c>
      <c r="G61" s="398">
        <v>53469</v>
      </c>
      <c r="H61" s="398">
        <v>496</v>
      </c>
      <c r="I61" s="398">
        <v>109871</v>
      </c>
      <c r="J61" s="399">
        <v>113</v>
      </c>
      <c r="K61" s="413">
        <v>38322</v>
      </c>
      <c r="L61" s="398">
        <v>0</v>
      </c>
      <c r="M61" s="398">
        <v>0</v>
      </c>
      <c r="N61" s="398">
        <v>0</v>
      </c>
      <c r="O61" s="398">
        <v>0</v>
      </c>
      <c r="P61" s="398">
        <v>0</v>
      </c>
      <c r="Q61" s="398">
        <v>0</v>
      </c>
      <c r="R61" s="398">
        <v>0</v>
      </c>
      <c r="S61" s="398">
        <v>0</v>
      </c>
      <c r="T61" s="398"/>
      <c r="U61" s="398"/>
      <c r="V61" s="398">
        <f>_xlfn.IFNA(VLOOKUP(A61,[3]進出口值表查詢結果!$C$11:$F$68,4,0),-[4]整車!$B$22)</f>
        <v>0</v>
      </c>
      <c r="W61" s="398">
        <f>_xlfn.IFNA(VLOOKUP(A61,[3]進出口值表查詢結果!$C$11:$F$68,3,0),-[4]整車!$B$22)</f>
        <v>0</v>
      </c>
      <c r="X61" s="398">
        <f>_xlfn.IFNA(VLOOKUP(A61,[5]進出口值表查詢結果!$C$11:$F$68,4,0),-[4]整車!$B$22)</f>
        <v>214</v>
      </c>
      <c r="Y61" s="398">
        <f>_xlfn.IFNA(VLOOKUP(A61,[5]進出口值表查詢結果!$C$11:$F$68,3,0),-[4]整車!$B$22)</f>
        <v>33520</v>
      </c>
      <c r="Z61" s="392">
        <f t="shared" si="7"/>
        <v>4499</v>
      </c>
      <c r="AA61" s="392">
        <f t="shared" si="8"/>
        <v>922574</v>
      </c>
    </row>
    <row r="62" spans="1:27">
      <c r="A62" s="434" t="s">
        <v>266</v>
      </c>
      <c r="B62" s="398">
        <v>70</v>
      </c>
      <c r="C62" s="398">
        <v>43452</v>
      </c>
      <c r="D62" s="398">
        <v>261</v>
      </c>
      <c r="E62" s="398">
        <v>64456</v>
      </c>
      <c r="F62" s="398">
        <v>18</v>
      </c>
      <c r="G62" s="398">
        <v>17756</v>
      </c>
      <c r="H62" s="398">
        <v>0</v>
      </c>
      <c r="I62" s="398">
        <v>0</v>
      </c>
      <c r="J62" s="399" t="s">
        <v>56</v>
      </c>
      <c r="K62" s="402" t="s">
        <v>56</v>
      </c>
      <c r="L62" s="398">
        <v>25</v>
      </c>
      <c r="M62" s="398">
        <v>23023</v>
      </c>
      <c r="N62" s="398">
        <v>0</v>
      </c>
      <c r="O62" s="398">
        <v>0</v>
      </c>
      <c r="P62" s="398">
        <v>0</v>
      </c>
      <c r="Q62" s="398">
        <v>0</v>
      </c>
      <c r="R62" s="398">
        <v>0</v>
      </c>
      <c r="S62" s="398">
        <v>0</v>
      </c>
      <c r="T62" s="398"/>
      <c r="U62" s="398"/>
      <c r="V62" s="398">
        <f>_xlfn.IFNA(VLOOKUP(A62,[3]進出口值表查詢結果!$C$11:$F$68,4,0),-[4]整車!$B$22)</f>
        <v>1</v>
      </c>
      <c r="W62" s="398">
        <f>_xlfn.IFNA(VLOOKUP(A62,[3]進出口值表查詢結果!$C$11:$F$68,3,0),-[4]整車!$B$22)</f>
        <v>3951</v>
      </c>
      <c r="X62" s="398">
        <f>_xlfn.IFNA(VLOOKUP(A62,[5]進出口值表查詢結果!$C$11:$F$68,4,0),-[4]整車!$B$22)</f>
        <v>355</v>
      </c>
      <c r="Y62" s="398">
        <f>_xlfn.IFNA(VLOOKUP(A62,[5]進出口值表查詢結果!$C$11:$F$68,3,0),-[4]整車!$B$22)</f>
        <v>93772</v>
      </c>
      <c r="Z62" s="392">
        <f t="shared" si="7"/>
        <v>730</v>
      </c>
      <c r="AA62" s="392">
        <f t="shared" si="8"/>
        <v>246410</v>
      </c>
    </row>
    <row r="63" spans="1:27">
      <c r="A63" s="437" t="s">
        <v>402</v>
      </c>
      <c r="B63" s="398">
        <v>0</v>
      </c>
      <c r="C63" s="398">
        <v>0</v>
      </c>
      <c r="D63" s="398"/>
      <c r="E63" s="398"/>
      <c r="F63" s="398">
        <v>80</v>
      </c>
      <c r="G63" s="398">
        <v>11981</v>
      </c>
      <c r="H63" s="398">
        <v>125</v>
      </c>
      <c r="I63" s="398">
        <v>14310</v>
      </c>
      <c r="J63" s="399">
        <v>100</v>
      </c>
      <c r="K63" s="402">
        <v>16037</v>
      </c>
      <c r="L63" s="398">
        <v>0</v>
      </c>
      <c r="M63" s="398">
        <v>0</v>
      </c>
      <c r="N63" s="398">
        <v>0</v>
      </c>
      <c r="O63" s="398">
        <v>0</v>
      </c>
      <c r="P63" s="398">
        <v>0</v>
      </c>
      <c r="Q63" s="398">
        <v>0</v>
      </c>
      <c r="R63" s="398">
        <v>0</v>
      </c>
      <c r="S63" s="398">
        <v>0</v>
      </c>
      <c r="T63" s="398">
        <v>125</v>
      </c>
      <c r="U63" s="398">
        <v>16317</v>
      </c>
      <c r="V63" s="398">
        <f>_xlfn.IFNA(VLOOKUP(A63,[3]進出口值表查詢結果!$C$11:$F$68,4,0),-[4]整車!$B$22)</f>
        <v>0</v>
      </c>
      <c r="W63" s="398">
        <f>_xlfn.IFNA(VLOOKUP(A63,[3]進出口值表查詢結果!$C$11:$F$68,3,0),-[4]整車!$B$22)</f>
        <v>0</v>
      </c>
      <c r="X63" s="398">
        <f>_xlfn.IFNA(VLOOKUP(A63,[5]進出口值表查詢結果!$C$11:$F$68,4,0),-[4]整車!$B$22)</f>
        <v>340</v>
      </c>
      <c r="Y63" s="398">
        <f>_xlfn.IFNA(VLOOKUP(A63,[5]進出口值表查詢結果!$C$11:$F$68,3,0),-[4]整車!$B$22)</f>
        <v>50840</v>
      </c>
      <c r="Z63" s="392">
        <f t="shared" si="7"/>
        <v>770</v>
      </c>
      <c r="AA63" s="392">
        <f t="shared" si="8"/>
        <v>109485</v>
      </c>
    </row>
    <row r="64" spans="1:27">
      <c r="A64" s="434" t="s">
        <v>185</v>
      </c>
      <c r="B64" s="398">
        <v>44</v>
      </c>
      <c r="C64" s="398">
        <v>6265</v>
      </c>
      <c r="D64" s="398"/>
      <c r="E64" s="398"/>
      <c r="F64" s="398">
        <v>0</v>
      </c>
      <c r="G64" s="398"/>
      <c r="H64" s="398">
        <v>0</v>
      </c>
      <c r="I64" s="398">
        <v>0</v>
      </c>
      <c r="J64" s="399">
        <v>74</v>
      </c>
      <c r="K64" s="402">
        <v>8920</v>
      </c>
      <c r="L64" s="398">
        <v>0</v>
      </c>
      <c r="M64" s="398">
        <v>0</v>
      </c>
      <c r="N64" s="398">
        <v>0</v>
      </c>
      <c r="O64" s="398">
        <v>0</v>
      </c>
      <c r="P64" s="398">
        <v>35</v>
      </c>
      <c r="Q64" s="398">
        <v>5625</v>
      </c>
      <c r="R64" s="398">
        <v>45</v>
      </c>
      <c r="S64" s="398">
        <v>4959</v>
      </c>
      <c r="T64" s="398">
        <v>42</v>
      </c>
      <c r="U64" s="398">
        <v>6127</v>
      </c>
      <c r="V64" s="398">
        <f>_xlfn.IFNA(VLOOKUP(A64,[3]進出口值表查詢結果!$C$11:$F$68,4,0),-[4]整車!$B$22)</f>
        <v>0</v>
      </c>
      <c r="W64" s="398">
        <f>_xlfn.IFNA(VLOOKUP(A64,[3]進出口值表查詢結果!$C$11:$F$68,3,0),-[4]整車!$B$22)</f>
        <v>0</v>
      </c>
      <c r="X64" s="398">
        <f>_xlfn.IFNA(VLOOKUP(A64,[5]進出口值表查詢結果!$C$11:$F$68,4,0),-[4]整車!$B$22)</f>
        <v>0</v>
      </c>
      <c r="Y64" s="398">
        <f>_xlfn.IFNA(VLOOKUP(A64,[5]進出口值表查詢結果!$C$11:$F$68,3,0),-[4]整車!$B$22)</f>
        <v>0</v>
      </c>
      <c r="Z64" s="392">
        <f t="shared" si="7"/>
        <v>240</v>
      </c>
      <c r="AA64" s="392">
        <f t="shared" si="8"/>
        <v>31896</v>
      </c>
    </row>
    <row r="65" spans="1:27">
      <c r="A65" s="434" t="s">
        <v>180</v>
      </c>
      <c r="B65" s="398">
        <v>0</v>
      </c>
      <c r="C65" s="398">
        <v>0</v>
      </c>
      <c r="D65" s="398"/>
      <c r="E65" s="398"/>
      <c r="F65" s="398">
        <v>20</v>
      </c>
      <c r="G65" s="398">
        <v>7667</v>
      </c>
      <c r="H65" s="398">
        <v>0</v>
      </c>
      <c r="I65" s="398">
        <v>0</v>
      </c>
      <c r="J65" s="399">
        <v>53</v>
      </c>
      <c r="K65" s="402">
        <v>6883</v>
      </c>
      <c r="L65" s="398">
        <v>0</v>
      </c>
      <c r="M65" s="398">
        <v>0</v>
      </c>
      <c r="N65" s="398">
        <v>0</v>
      </c>
      <c r="O65" s="398">
        <v>0</v>
      </c>
      <c r="P65" s="398">
        <v>0</v>
      </c>
      <c r="Q65" s="398">
        <v>0</v>
      </c>
      <c r="R65" s="398">
        <v>46</v>
      </c>
      <c r="S65" s="398">
        <v>5740</v>
      </c>
      <c r="T65" s="398"/>
      <c r="U65" s="398"/>
      <c r="V65" s="398">
        <f>_xlfn.IFNA(VLOOKUP(A65,[3]進出口值表查詢結果!$C$11:$F$68,4,0),-[4]整車!$B$22)</f>
        <v>53</v>
      </c>
      <c r="W65" s="398">
        <f>_xlfn.IFNA(VLOOKUP(A65,[3]進出口值表查詢結果!$C$11:$F$68,3,0),-[4]整車!$B$22)</f>
        <v>6170</v>
      </c>
      <c r="X65" s="398">
        <f>_xlfn.IFNA(VLOOKUP(A65,[5]進出口值表查詢結果!$C$11:$F$68,4,0),-[4]整車!$B$22)</f>
        <v>0</v>
      </c>
      <c r="Y65" s="398">
        <f>_xlfn.IFNA(VLOOKUP(A65,[5]進出口值表查詢結果!$C$11:$F$68,3,0),-[4]整車!$B$22)</f>
        <v>0</v>
      </c>
      <c r="Z65" s="392">
        <f t="shared" si="7"/>
        <v>172</v>
      </c>
      <c r="AA65" s="392">
        <f t="shared" si="8"/>
        <v>26460</v>
      </c>
    </row>
    <row r="66" spans="1:27">
      <c r="A66" s="434" t="s">
        <v>270</v>
      </c>
      <c r="B66" s="398">
        <v>16</v>
      </c>
      <c r="C66" s="398">
        <v>8064</v>
      </c>
      <c r="D66" s="398">
        <v>400</v>
      </c>
      <c r="E66" s="398">
        <v>74984</v>
      </c>
      <c r="F66" s="398">
        <v>130</v>
      </c>
      <c r="G66" s="398">
        <v>19515</v>
      </c>
      <c r="H66" s="398">
        <v>120</v>
      </c>
      <c r="I66" s="398">
        <v>19543</v>
      </c>
      <c r="J66" s="399">
        <v>235</v>
      </c>
      <c r="K66" s="402">
        <v>45740</v>
      </c>
      <c r="L66" s="398">
        <v>0</v>
      </c>
      <c r="M66" s="398">
        <v>0</v>
      </c>
      <c r="N66" s="398">
        <v>0</v>
      </c>
      <c r="O66" s="398">
        <v>0</v>
      </c>
      <c r="P66" s="398">
        <v>0</v>
      </c>
      <c r="Q66" s="398">
        <v>0</v>
      </c>
      <c r="R66" s="398">
        <v>0</v>
      </c>
      <c r="S66" s="398">
        <v>0</v>
      </c>
      <c r="T66" s="398"/>
      <c r="U66" s="398"/>
      <c r="V66" s="398">
        <f>_xlfn.IFNA(VLOOKUP(A66,[3]進出口值表查詢結果!$C$11:$F$68,4,0),-[4]整車!$B$22)</f>
        <v>0</v>
      </c>
      <c r="W66" s="398">
        <f>_xlfn.IFNA(VLOOKUP(A66,[3]進出口值表查詢結果!$C$11:$F$68,3,0),-[4]整車!$B$22)</f>
        <v>0</v>
      </c>
      <c r="X66" s="398">
        <f>_xlfn.IFNA(VLOOKUP(A66,[5]進出口值表查詢結果!$C$11:$F$68,4,0),-[4]整車!$B$22)</f>
        <v>0</v>
      </c>
      <c r="Y66" s="398">
        <f>_xlfn.IFNA(VLOOKUP(A66,[5]進出口值表查詢結果!$C$11:$F$68,3,0),-[4]整車!$B$22)</f>
        <v>0</v>
      </c>
      <c r="Z66" s="392">
        <f t="shared" si="7"/>
        <v>901</v>
      </c>
      <c r="AA66" s="392">
        <f t="shared" si="8"/>
        <v>167846</v>
      </c>
    </row>
    <row r="67" spans="1:27">
      <c r="A67" s="401"/>
      <c r="B67" s="398"/>
      <c r="C67" s="398"/>
      <c r="D67" s="398"/>
      <c r="E67" s="398"/>
      <c r="F67" s="398"/>
      <c r="G67" s="398"/>
      <c r="H67" s="398"/>
      <c r="I67" s="398"/>
      <c r="J67" s="399"/>
      <c r="K67" s="400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2"/>
      <c r="AA67" s="392"/>
    </row>
    <row r="68" spans="1:27">
      <c r="A68" s="414" t="s">
        <v>19</v>
      </c>
      <c r="B68" s="415">
        <f t="shared" ref="B68:G68" si="9">SUM(B69:B73)</f>
        <v>6047</v>
      </c>
      <c r="C68" s="415">
        <f t="shared" si="9"/>
        <v>3779240</v>
      </c>
      <c r="D68" s="415">
        <f t="shared" si="9"/>
        <v>4374</v>
      </c>
      <c r="E68" s="415">
        <f t="shared" si="9"/>
        <v>2793538</v>
      </c>
      <c r="F68" s="415">
        <f t="shared" si="9"/>
        <v>3335</v>
      </c>
      <c r="G68" s="415">
        <f t="shared" si="9"/>
        <v>1866843</v>
      </c>
      <c r="H68" s="415">
        <f>SUM(H69:H73)</f>
        <v>2480</v>
      </c>
      <c r="I68" s="415">
        <f>SUM(I69:I73)</f>
        <v>1512983</v>
      </c>
      <c r="J68" s="416">
        <f t="shared" ref="J68:O68" si="10">SUM(J69:J73)</f>
        <v>1816</v>
      </c>
      <c r="K68" s="417">
        <f t="shared" si="10"/>
        <v>1480084</v>
      </c>
      <c r="L68" s="415">
        <f t="shared" si="10"/>
        <v>1849</v>
      </c>
      <c r="M68" s="415">
        <f t="shared" si="10"/>
        <v>1617191</v>
      </c>
      <c r="N68" s="415">
        <f t="shared" si="10"/>
        <v>1838</v>
      </c>
      <c r="O68" s="415">
        <f t="shared" si="10"/>
        <v>1928770</v>
      </c>
      <c r="P68" s="415">
        <f>SUM(P69:P73)</f>
        <v>1960</v>
      </c>
      <c r="Q68" s="415">
        <f>SUM(Q69:Q73)</f>
        <v>1999119</v>
      </c>
      <c r="R68" s="415">
        <f t="shared" ref="R68:Y68" si="11">SUM(R69:R73)</f>
        <v>1097</v>
      </c>
      <c r="S68" s="415">
        <f t="shared" si="11"/>
        <v>1708965</v>
      </c>
      <c r="T68" s="415">
        <f t="shared" si="11"/>
        <v>2389</v>
      </c>
      <c r="U68" s="415">
        <f t="shared" si="11"/>
        <v>2156903</v>
      </c>
      <c r="V68" s="415">
        <f>SUM(V69:V73)</f>
        <v>1149</v>
      </c>
      <c r="W68" s="415">
        <f>SUM(W69:W73)</f>
        <v>1843745</v>
      </c>
      <c r="X68" s="415">
        <f t="shared" si="11"/>
        <v>3615</v>
      </c>
      <c r="Y68" s="415">
        <f t="shared" si="11"/>
        <v>4337331</v>
      </c>
      <c r="Z68" s="409">
        <f t="shared" ref="Z68:AA73" si="12">SUM(B68,D68,F68,H68,J68,L68,N68,P68,R68,T68,V68,X68)</f>
        <v>31949</v>
      </c>
      <c r="AA68" s="409">
        <f t="shared" si="12"/>
        <v>27024712</v>
      </c>
    </row>
    <row r="69" spans="1:27">
      <c r="A69" s="434" t="s">
        <v>178</v>
      </c>
      <c r="B69" s="398">
        <v>1857</v>
      </c>
      <c r="C69" s="398">
        <v>2017794</v>
      </c>
      <c r="D69" s="398">
        <v>1373</v>
      </c>
      <c r="E69" s="398">
        <v>1011526</v>
      </c>
      <c r="F69" s="398">
        <v>425</v>
      </c>
      <c r="G69" s="398">
        <v>428146</v>
      </c>
      <c r="H69" s="398">
        <v>671</v>
      </c>
      <c r="I69" s="398">
        <v>699536</v>
      </c>
      <c r="J69" s="399">
        <v>587</v>
      </c>
      <c r="K69" s="400">
        <v>1041998</v>
      </c>
      <c r="L69" s="398">
        <v>1055</v>
      </c>
      <c r="M69" s="398">
        <v>1243264</v>
      </c>
      <c r="N69" s="412">
        <v>947</v>
      </c>
      <c r="O69" s="412">
        <v>1493476</v>
      </c>
      <c r="P69" s="398">
        <v>1258</v>
      </c>
      <c r="Q69" s="398">
        <v>1726838</v>
      </c>
      <c r="R69" s="398">
        <v>988</v>
      </c>
      <c r="S69" s="398">
        <v>1565929</v>
      </c>
      <c r="T69" s="398">
        <v>2202</v>
      </c>
      <c r="U69" s="398">
        <v>2043237</v>
      </c>
      <c r="V69" s="398">
        <f>_xlfn.IFNA(VLOOKUP(A69,[3]進出口值表查詢結果!$C$11:$F$68,4,0),-[4]整車!$B$22)</f>
        <v>835</v>
      </c>
      <c r="W69" s="398">
        <f>_xlfn.IFNA(VLOOKUP(A69,[3]進出口值表查詢結果!$C$11:$F$68,3,0),-[4]整車!$B$22)</f>
        <v>1325166</v>
      </c>
      <c r="X69" s="398">
        <f>_xlfn.IFNA(VLOOKUP(A69,[5]進出口值表查詢結果!$C$11:$F$68,4,0),-[4]整車!$B$22)</f>
        <v>2736</v>
      </c>
      <c r="Y69" s="398">
        <f>_xlfn.IFNA(VLOOKUP(A69,[5]進出口值表查詢結果!$C$11:$F$68,3,0),-[4]整車!$B$22)</f>
        <v>3402098</v>
      </c>
      <c r="Z69" s="392">
        <f t="shared" si="12"/>
        <v>14934</v>
      </c>
      <c r="AA69" s="392">
        <f t="shared" si="12"/>
        <v>17999008</v>
      </c>
    </row>
    <row r="70" spans="1:27">
      <c r="A70" s="434" t="s">
        <v>271</v>
      </c>
      <c r="B70" s="398">
        <v>4127</v>
      </c>
      <c r="C70" s="398">
        <v>1691969</v>
      </c>
      <c r="D70" s="398">
        <v>2950</v>
      </c>
      <c r="E70" s="398">
        <v>1716256</v>
      </c>
      <c r="F70" s="398">
        <v>2760</v>
      </c>
      <c r="G70" s="398">
        <v>1417688</v>
      </c>
      <c r="H70" s="398">
        <v>1808</v>
      </c>
      <c r="I70" s="398">
        <v>811327</v>
      </c>
      <c r="J70" s="399">
        <v>1210</v>
      </c>
      <c r="K70" s="400">
        <v>402504</v>
      </c>
      <c r="L70" s="398">
        <v>780</v>
      </c>
      <c r="M70" s="398">
        <v>350268</v>
      </c>
      <c r="N70" s="412">
        <v>875</v>
      </c>
      <c r="O70" s="412">
        <v>407876</v>
      </c>
      <c r="P70" s="398">
        <v>700</v>
      </c>
      <c r="Q70" s="398">
        <v>267943</v>
      </c>
      <c r="R70" s="398">
        <v>108</v>
      </c>
      <c r="S70" s="398">
        <v>140862</v>
      </c>
      <c r="T70" s="398">
        <v>186</v>
      </c>
      <c r="U70" s="398">
        <v>111463</v>
      </c>
      <c r="V70" s="398">
        <f>_xlfn.IFNA(VLOOKUP(A70,[3]進出口值表查詢結果!$C$11:$F$68,4,0),-[4]整車!$B$22)</f>
        <v>314</v>
      </c>
      <c r="W70" s="398">
        <f>_xlfn.IFNA(VLOOKUP(A70,[3]進出口值表查詢結果!$C$11:$F$68,3,0),-[4]整車!$B$22)</f>
        <v>518579</v>
      </c>
      <c r="X70" s="398">
        <f>_xlfn.IFNA(VLOOKUP(A70,[5]進出口值表查詢結果!$C$11:$F$68,4,0),-[4]整車!$B$22)</f>
        <v>838</v>
      </c>
      <c r="Y70" s="398">
        <f>_xlfn.IFNA(VLOOKUP(A70,[5]進出口值表查詢結果!$C$11:$F$68,3,0),-[4]整車!$B$22)</f>
        <v>906262</v>
      </c>
      <c r="Z70" s="392">
        <f t="shared" si="12"/>
        <v>16656</v>
      </c>
      <c r="AA70" s="392">
        <f t="shared" si="12"/>
        <v>8742997</v>
      </c>
    </row>
    <row r="71" spans="1:27">
      <c r="A71" s="434" t="s">
        <v>272</v>
      </c>
      <c r="B71" s="398">
        <v>63</v>
      </c>
      <c r="C71" s="398">
        <v>69477</v>
      </c>
      <c r="D71" s="398">
        <v>51</v>
      </c>
      <c r="E71" s="398">
        <v>65756</v>
      </c>
      <c r="F71" s="398">
        <v>150</v>
      </c>
      <c r="G71" s="398">
        <v>21009</v>
      </c>
      <c r="H71" s="398">
        <v>1</v>
      </c>
      <c r="I71" s="398">
        <v>2120</v>
      </c>
      <c r="J71" s="399">
        <v>19</v>
      </c>
      <c r="K71" s="400">
        <v>35582</v>
      </c>
      <c r="L71" s="398">
        <v>14</v>
      </c>
      <c r="M71" s="398">
        <v>23659</v>
      </c>
      <c r="N71" s="412">
        <v>16</v>
      </c>
      <c r="O71" s="412">
        <v>27418</v>
      </c>
      <c r="P71" s="398">
        <v>2</v>
      </c>
      <c r="Q71" s="398">
        <v>4338</v>
      </c>
      <c r="R71" s="398">
        <v>1</v>
      </c>
      <c r="S71" s="398">
        <v>2174</v>
      </c>
      <c r="T71" s="398">
        <v>1</v>
      </c>
      <c r="U71" s="398">
        <v>2203</v>
      </c>
      <c r="V71" s="398">
        <f>_xlfn.IFNA(VLOOKUP(A71,[3]進出口值表查詢結果!$C$11:$F$68,4,0),-[4]整車!$B$22)</f>
        <v>0</v>
      </c>
      <c r="W71" s="398">
        <f>_xlfn.IFNA(VLOOKUP(A71,[3]進出口值表查詢結果!$C$11:$F$68,3,0),-[4]整車!$B$22)</f>
        <v>0</v>
      </c>
      <c r="X71" s="398">
        <f>_xlfn.IFNA(VLOOKUP(A71,[5]進出口值表查詢結果!$C$11:$F$68,4,0),-[4]整車!$B$22)</f>
        <v>41</v>
      </c>
      <c r="Y71" s="398">
        <f>_xlfn.IFNA(VLOOKUP(A71,[5]進出口值表查詢結果!$C$11:$F$68,3,0),-[4]整車!$B$22)</f>
        <v>28971</v>
      </c>
      <c r="Z71" s="392">
        <f t="shared" si="12"/>
        <v>359</v>
      </c>
      <c r="AA71" s="392">
        <f t="shared" si="12"/>
        <v>282707</v>
      </c>
    </row>
    <row r="72" spans="1:27">
      <c r="A72" s="434" t="s">
        <v>274</v>
      </c>
      <c r="B72" s="398">
        <v>0</v>
      </c>
      <c r="C72" s="398">
        <v>0</v>
      </c>
      <c r="D72" s="398"/>
      <c r="E72" s="398"/>
      <c r="F72" s="398">
        <v>0</v>
      </c>
      <c r="G72" s="398"/>
      <c r="H72" s="398">
        <v>0</v>
      </c>
      <c r="I72" s="398">
        <v>0</v>
      </c>
      <c r="J72" s="399" t="s">
        <v>56</v>
      </c>
      <c r="K72" s="402" t="s">
        <v>56</v>
      </c>
      <c r="L72" s="398">
        <v>0</v>
      </c>
      <c r="M72" s="398">
        <v>0</v>
      </c>
      <c r="N72" s="398">
        <v>0</v>
      </c>
      <c r="O72" s="398">
        <v>0</v>
      </c>
      <c r="P72" s="398">
        <v>0</v>
      </c>
      <c r="Q72" s="398">
        <v>0</v>
      </c>
      <c r="R72" s="398">
        <v>0</v>
      </c>
      <c r="S72" s="398">
        <v>0</v>
      </c>
      <c r="T72" s="398"/>
      <c r="U72" s="398"/>
      <c r="V72" s="398">
        <f>_xlfn.IFNA(VLOOKUP(A72,[3]進出口值表查詢結果!$C$11:$F$68,4,0),-[4]整車!$B$22)</f>
        <v>0</v>
      </c>
      <c r="W72" s="398">
        <f>_xlfn.IFNA(VLOOKUP(A72,[3]進出口值表查詢結果!$C$11:$F$68,3,0),-[4]整車!$B$22)</f>
        <v>0</v>
      </c>
      <c r="X72" s="398">
        <f>_xlfn.IFNA(VLOOKUP(A72,[5]進出口值表查詢結果!$C$11:$F$68,4,0),-[4]整車!$B$22)</f>
        <v>0</v>
      </c>
      <c r="Y72" s="398">
        <f>_xlfn.IFNA(VLOOKUP(A72,[5]進出口值表查詢結果!$C$11:$F$68,3,0),-[4]整車!$B$22)</f>
        <v>0</v>
      </c>
      <c r="Z72" s="392">
        <f t="shared" si="12"/>
        <v>0</v>
      </c>
      <c r="AA72" s="392">
        <f t="shared" si="12"/>
        <v>0</v>
      </c>
    </row>
    <row r="73" spans="1:27">
      <c r="A73" s="434" t="s">
        <v>273</v>
      </c>
      <c r="B73" s="398">
        <v>0</v>
      </c>
      <c r="C73" s="398">
        <v>0</v>
      </c>
      <c r="D73" s="398"/>
      <c r="E73" s="398"/>
      <c r="F73" s="398">
        <v>0</v>
      </c>
      <c r="G73" s="398"/>
      <c r="H73" s="398">
        <v>0</v>
      </c>
      <c r="I73" s="398">
        <v>0</v>
      </c>
      <c r="J73" s="399" t="s">
        <v>56</v>
      </c>
      <c r="K73" s="402" t="s">
        <v>56</v>
      </c>
      <c r="L73" s="398">
        <v>0</v>
      </c>
      <c r="M73" s="398">
        <v>0</v>
      </c>
      <c r="N73" s="398">
        <v>0</v>
      </c>
      <c r="O73" s="398">
        <v>0</v>
      </c>
      <c r="P73" s="398">
        <v>0</v>
      </c>
      <c r="Q73" s="398">
        <v>0</v>
      </c>
      <c r="R73" s="398">
        <v>0</v>
      </c>
      <c r="S73" s="398">
        <v>0</v>
      </c>
      <c r="T73" s="398"/>
      <c r="U73" s="398"/>
      <c r="V73" s="398">
        <f>_xlfn.IFNA(VLOOKUP(A73,[3]進出口值表查詢結果!$C$11:$F$68,4,0),-[4]整車!$B$22)</f>
        <v>0</v>
      </c>
      <c r="W73" s="398">
        <f>_xlfn.IFNA(VLOOKUP(A73,[3]進出口值表查詢結果!$C$11:$F$68,3,0),-[4]整車!$B$22)</f>
        <v>0</v>
      </c>
      <c r="X73" s="398">
        <f>_xlfn.IFNA(VLOOKUP(A73,[5]進出口值表查詢結果!$C$11:$F$68,4,0),-[4]整車!$B$22)</f>
        <v>0</v>
      </c>
      <c r="Y73" s="398">
        <f>_xlfn.IFNA(VLOOKUP(A73,[5]進出口值表查詢結果!$C$11:$F$68,3,0),-[4]整車!$B$22)</f>
        <v>0</v>
      </c>
      <c r="Z73" s="392">
        <f t="shared" si="12"/>
        <v>0</v>
      </c>
      <c r="AA73" s="392">
        <f t="shared" si="12"/>
        <v>0</v>
      </c>
    </row>
    <row r="74" spans="1:27">
      <c r="A74" s="401"/>
      <c r="B74" s="398"/>
      <c r="C74" s="398"/>
      <c r="D74" s="398"/>
      <c r="E74" s="398"/>
      <c r="F74" s="398"/>
      <c r="G74" s="398"/>
      <c r="H74" s="398"/>
      <c r="I74" s="398"/>
      <c r="J74" s="399"/>
      <c r="K74" s="400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2"/>
      <c r="AA74" s="392"/>
    </row>
    <row r="75" spans="1:27">
      <c r="A75" s="414" t="s">
        <v>138</v>
      </c>
      <c r="B75" s="415">
        <f t="shared" ref="B75:Y75" si="13">SUM(B76:B83)</f>
        <v>1775</v>
      </c>
      <c r="C75" s="415">
        <f t="shared" si="13"/>
        <v>791303</v>
      </c>
      <c r="D75" s="415">
        <f t="shared" si="13"/>
        <v>1901</v>
      </c>
      <c r="E75" s="415">
        <f t="shared" si="13"/>
        <v>631147</v>
      </c>
      <c r="F75" s="415">
        <f t="shared" si="13"/>
        <v>1325</v>
      </c>
      <c r="G75" s="415">
        <f t="shared" si="13"/>
        <v>919450</v>
      </c>
      <c r="H75" s="415">
        <f t="shared" si="13"/>
        <v>631</v>
      </c>
      <c r="I75" s="415">
        <f>SUM(I76:I83)</f>
        <v>220966</v>
      </c>
      <c r="J75" s="416">
        <f t="shared" si="13"/>
        <v>474</v>
      </c>
      <c r="K75" s="417">
        <f>SUM(K76:K83)</f>
        <v>186768</v>
      </c>
      <c r="L75" s="415">
        <f t="shared" si="13"/>
        <v>1046</v>
      </c>
      <c r="M75" s="415">
        <f t="shared" si="13"/>
        <v>357239</v>
      </c>
      <c r="N75" s="415">
        <f t="shared" si="13"/>
        <v>1359</v>
      </c>
      <c r="O75" s="415">
        <f t="shared" si="13"/>
        <v>836881</v>
      </c>
      <c r="P75" s="415">
        <f t="shared" si="13"/>
        <v>164</v>
      </c>
      <c r="Q75" s="415">
        <f t="shared" si="13"/>
        <v>201186</v>
      </c>
      <c r="R75" s="415">
        <f t="shared" si="13"/>
        <v>785</v>
      </c>
      <c r="S75" s="415">
        <f t="shared" si="13"/>
        <v>324287</v>
      </c>
      <c r="T75" s="415">
        <f t="shared" si="13"/>
        <v>2780</v>
      </c>
      <c r="U75" s="415">
        <f t="shared" si="13"/>
        <v>855146</v>
      </c>
      <c r="V75" s="415">
        <f>SUM(V76:V83)</f>
        <v>1929</v>
      </c>
      <c r="W75" s="415">
        <f>SUM(W76:W83)</f>
        <v>885513</v>
      </c>
      <c r="X75" s="415">
        <f t="shared" si="13"/>
        <v>3092</v>
      </c>
      <c r="Y75" s="415">
        <f t="shared" si="13"/>
        <v>1404864</v>
      </c>
      <c r="Z75" s="409">
        <f t="shared" ref="Z75:Z83" si="14">SUM(B75,D75,F75,H75,J75,L75,N75,P75,R75,T75,V75,X75)</f>
        <v>17261</v>
      </c>
      <c r="AA75" s="409">
        <f t="shared" ref="AA75:AA83" si="15">SUM(C75,E75,G75,I75,K75,M75,O75,Q75,S75,U75,W75,Y75)</f>
        <v>7614750</v>
      </c>
    </row>
    <row r="76" spans="1:27">
      <c r="A76" s="434" t="s">
        <v>276</v>
      </c>
      <c r="B76" s="398">
        <v>1579</v>
      </c>
      <c r="C76" s="398">
        <v>669877</v>
      </c>
      <c r="D76" s="398">
        <v>1436</v>
      </c>
      <c r="E76" s="398">
        <v>495570</v>
      </c>
      <c r="F76" s="398">
        <v>931</v>
      </c>
      <c r="G76" s="398">
        <v>702788</v>
      </c>
      <c r="H76" s="398">
        <v>631</v>
      </c>
      <c r="I76" s="398">
        <v>220966</v>
      </c>
      <c r="J76" s="399">
        <v>324</v>
      </c>
      <c r="K76" s="413">
        <v>164549</v>
      </c>
      <c r="L76" s="398">
        <v>815</v>
      </c>
      <c r="M76" s="398">
        <v>323962</v>
      </c>
      <c r="N76" s="412">
        <v>822</v>
      </c>
      <c r="O76" s="412">
        <v>518255</v>
      </c>
      <c r="P76" s="398">
        <v>119</v>
      </c>
      <c r="Q76" s="398">
        <v>179634</v>
      </c>
      <c r="R76" s="398">
        <v>495</v>
      </c>
      <c r="S76" s="398">
        <v>221230</v>
      </c>
      <c r="T76" s="398">
        <v>2780</v>
      </c>
      <c r="U76" s="398">
        <v>855146</v>
      </c>
      <c r="V76" s="398">
        <f>_xlfn.IFNA(VLOOKUP(A76,[3]進出口值表查詢結果!$C$11:$F$68,4,0),-[4]整車!$B$22)</f>
        <v>1812</v>
      </c>
      <c r="W76" s="398">
        <f>_xlfn.IFNA(VLOOKUP(A76,[3]進出口值表查詢結果!$C$11:$F$68,3,0),-[4]整車!$B$22)</f>
        <v>779724</v>
      </c>
      <c r="X76" s="398">
        <f>_xlfn.IFNA(VLOOKUP(A76,[5]進出口值表查詢結果!$C$11:$F$68,4,0),-[4]整車!$B$22)</f>
        <v>2631</v>
      </c>
      <c r="Y76" s="398">
        <f>_xlfn.IFNA(VLOOKUP(A76,[5]進出口值表查詢結果!$C$11:$F$68,3,0),-[4]整車!$B$22)</f>
        <v>1193493</v>
      </c>
      <c r="Z76" s="392">
        <f t="shared" si="14"/>
        <v>14375</v>
      </c>
      <c r="AA76" s="392">
        <f t="shared" si="15"/>
        <v>6325194</v>
      </c>
    </row>
    <row r="77" spans="1:27">
      <c r="A77" s="434" t="s">
        <v>277</v>
      </c>
      <c r="B77" s="398">
        <v>0</v>
      </c>
      <c r="C77" s="398">
        <v>0</v>
      </c>
      <c r="D77" s="398"/>
      <c r="E77" s="398"/>
      <c r="F77" s="398">
        <v>0</v>
      </c>
      <c r="G77" s="398"/>
      <c r="H77" s="398">
        <v>0</v>
      </c>
      <c r="I77" s="398">
        <v>0</v>
      </c>
      <c r="J77" s="399" t="s">
        <v>56</v>
      </c>
      <c r="K77" s="402" t="s">
        <v>56</v>
      </c>
      <c r="L77" s="398">
        <v>0</v>
      </c>
      <c r="M77" s="398">
        <v>0</v>
      </c>
      <c r="N77" s="398">
        <v>0</v>
      </c>
      <c r="O77" s="398">
        <v>0</v>
      </c>
      <c r="P77" s="398">
        <v>0</v>
      </c>
      <c r="Q77" s="398">
        <v>0</v>
      </c>
      <c r="R77" s="398">
        <v>0</v>
      </c>
      <c r="S77" s="398">
        <v>0</v>
      </c>
      <c r="T77" s="398"/>
      <c r="U77" s="398"/>
      <c r="V77" s="398">
        <f>_xlfn.IFNA(VLOOKUP(A77,[3]進出口值表查詢結果!$C$11:$F$68,4,0),-[4]整車!$B$22)</f>
        <v>0</v>
      </c>
      <c r="W77" s="398">
        <f>_xlfn.IFNA(VLOOKUP(A77,[3]進出口值表查詢結果!$C$11:$F$68,3,0),-[4]整車!$B$22)</f>
        <v>0</v>
      </c>
      <c r="X77" s="398">
        <f>_xlfn.IFNA(VLOOKUP(A77,[5]進出口值表查詢結果!$C$11:$F$68,4,0),-[4]整車!$B$22)</f>
        <v>0</v>
      </c>
      <c r="Y77" s="398">
        <f>_xlfn.IFNA(VLOOKUP(A77,[5]進出口值表查詢結果!$C$11:$F$68,3,0),-[4]整車!$B$22)</f>
        <v>0</v>
      </c>
      <c r="Z77" s="392">
        <f t="shared" si="14"/>
        <v>0</v>
      </c>
      <c r="AA77" s="392">
        <f t="shared" si="15"/>
        <v>0</v>
      </c>
    </row>
    <row r="78" spans="1:27">
      <c r="A78" s="434" t="s">
        <v>278</v>
      </c>
      <c r="B78" s="398"/>
      <c r="C78" s="398"/>
      <c r="D78" s="398"/>
      <c r="E78" s="398"/>
      <c r="F78" s="398">
        <v>0</v>
      </c>
      <c r="G78" s="398"/>
      <c r="H78" s="398">
        <v>0</v>
      </c>
      <c r="I78" s="398">
        <v>0</v>
      </c>
      <c r="J78" s="399" t="s">
        <v>56</v>
      </c>
      <c r="K78" s="402" t="s">
        <v>56</v>
      </c>
      <c r="L78" s="398">
        <v>0</v>
      </c>
      <c r="M78" s="398">
        <v>0</v>
      </c>
      <c r="N78" s="398">
        <v>0</v>
      </c>
      <c r="O78" s="398">
        <v>0</v>
      </c>
      <c r="P78" s="398">
        <v>0</v>
      </c>
      <c r="Q78" s="398">
        <v>0</v>
      </c>
      <c r="R78" s="398">
        <v>0</v>
      </c>
      <c r="S78" s="398">
        <v>0</v>
      </c>
      <c r="T78" s="398"/>
      <c r="U78" s="398"/>
      <c r="V78" s="398">
        <f>_xlfn.IFNA(VLOOKUP(A78,[3]進出口值表查詢結果!$C$11:$F$68,4,0),-[4]整車!$B$22)</f>
        <v>0</v>
      </c>
      <c r="W78" s="398">
        <f>_xlfn.IFNA(VLOOKUP(A78,[3]進出口值表查詢結果!$C$11:$F$68,3,0),-[4]整車!$B$22)</f>
        <v>0</v>
      </c>
      <c r="X78" s="398">
        <f>_xlfn.IFNA(VLOOKUP(A78,[5]進出口值表查詢結果!$C$11:$F$68,4,0),-[4]整車!$B$22)</f>
        <v>0</v>
      </c>
      <c r="Y78" s="398">
        <f>_xlfn.IFNA(VLOOKUP(A78,[5]進出口值表查詢結果!$C$11:$F$68,3,0),-[4]整車!$B$22)</f>
        <v>0</v>
      </c>
      <c r="Z78" s="392">
        <f t="shared" si="14"/>
        <v>0</v>
      </c>
      <c r="AA78" s="392">
        <f t="shared" si="15"/>
        <v>0</v>
      </c>
    </row>
    <row r="79" spans="1:27">
      <c r="A79" s="434" t="s">
        <v>279</v>
      </c>
      <c r="B79" s="398"/>
      <c r="C79" s="398"/>
      <c r="D79" s="398"/>
      <c r="E79" s="398"/>
      <c r="F79" s="398">
        <v>0</v>
      </c>
      <c r="G79" s="398"/>
      <c r="H79" s="398">
        <v>0</v>
      </c>
      <c r="I79" s="398">
        <v>0</v>
      </c>
      <c r="J79" s="399" t="s">
        <v>56</v>
      </c>
      <c r="K79" s="402" t="s">
        <v>56</v>
      </c>
      <c r="L79" s="398">
        <v>0</v>
      </c>
      <c r="M79" s="398">
        <v>0</v>
      </c>
      <c r="N79" s="398">
        <v>0</v>
      </c>
      <c r="O79" s="398">
        <v>0</v>
      </c>
      <c r="P79" s="398">
        <v>0</v>
      </c>
      <c r="Q79" s="398">
        <v>0</v>
      </c>
      <c r="R79" s="398">
        <v>0</v>
      </c>
      <c r="S79" s="398">
        <v>0</v>
      </c>
      <c r="T79" s="398"/>
      <c r="U79" s="398"/>
      <c r="V79" s="398">
        <f>_xlfn.IFNA(VLOOKUP(A79,[3]進出口值表查詢結果!$C$11:$F$68,4,0),-[4]整車!$B$22)</f>
        <v>0</v>
      </c>
      <c r="W79" s="398">
        <f>_xlfn.IFNA(VLOOKUP(A79,[3]進出口值表查詢結果!$C$11:$F$68,3,0),-[4]整車!$B$22)</f>
        <v>0</v>
      </c>
      <c r="X79" s="398">
        <f>_xlfn.IFNA(VLOOKUP(A79,[5]進出口值表查詢結果!$C$11:$F$68,4,0),-[4]整車!$B$22)</f>
        <v>0</v>
      </c>
      <c r="Y79" s="398">
        <f>_xlfn.IFNA(VLOOKUP(A79,[5]進出口值表查詢結果!$C$11:$F$68,3,0),-[4]整車!$B$22)</f>
        <v>0</v>
      </c>
      <c r="Z79" s="392">
        <f t="shared" si="14"/>
        <v>0</v>
      </c>
      <c r="AA79" s="392">
        <f t="shared" si="15"/>
        <v>0</v>
      </c>
    </row>
    <row r="80" spans="1:27">
      <c r="A80" s="434" t="s">
        <v>281</v>
      </c>
      <c r="B80" s="398">
        <v>196</v>
      </c>
      <c r="C80" s="398">
        <v>121426</v>
      </c>
      <c r="D80" s="398">
        <v>465</v>
      </c>
      <c r="E80" s="398">
        <v>135577</v>
      </c>
      <c r="F80" s="398">
        <v>339</v>
      </c>
      <c r="G80" s="398">
        <v>203320</v>
      </c>
      <c r="H80" s="398">
        <v>0</v>
      </c>
      <c r="I80" s="398">
        <v>0</v>
      </c>
      <c r="J80" s="399">
        <v>150</v>
      </c>
      <c r="K80" s="413">
        <v>22219</v>
      </c>
      <c r="L80" s="398">
        <v>231</v>
      </c>
      <c r="M80" s="398">
        <v>33277</v>
      </c>
      <c r="N80" s="412">
        <v>537</v>
      </c>
      <c r="O80" s="412">
        <v>318626</v>
      </c>
      <c r="P80" s="398">
        <v>0</v>
      </c>
      <c r="Q80" s="398">
        <v>0</v>
      </c>
      <c r="R80" s="398">
        <v>290</v>
      </c>
      <c r="S80" s="398">
        <v>103057</v>
      </c>
      <c r="T80" s="398"/>
      <c r="U80" s="398"/>
      <c r="V80" s="398">
        <f>_xlfn.IFNA(VLOOKUP(A80,[3]進出口值表查詢結果!$C$11:$F$68,4,0),-[4]整車!$B$22)</f>
        <v>117</v>
      </c>
      <c r="W80" s="398">
        <f>_xlfn.IFNA(VLOOKUP(A80,[3]進出口值表查詢結果!$C$11:$F$68,3,0),-[4]整車!$B$22)</f>
        <v>105789</v>
      </c>
      <c r="X80" s="398">
        <f>_xlfn.IFNA(VLOOKUP(A80,[5]進出口值表查詢結果!$C$11:$F$68,4,0),-[4]整車!$B$22)</f>
        <v>461</v>
      </c>
      <c r="Y80" s="398">
        <f>_xlfn.IFNA(VLOOKUP(A80,[5]進出口值表查詢結果!$C$11:$F$68,3,0),-[4]整車!$B$22)</f>
        <v>211371</v>
      </c>
      <c r="Z80" s="392">
        <f t="shared" si="14"/>
        <v>2786</v>
      </c>
      <c r="AA80" s="392">
        <f t="shared" si="15"/>
        <v>1254662</v>
      </c>
    </row>
    <row r="81" spans="1:27">
      <c r="A81" s="434" t="s">
        <v>283</v>
      </c>
      <c r="B81" s="398"/>
      <c r="C81" s="398"/>
      <c r="D81" s="398"/>
      <c r="E81" s="398"/>
      <c r="F81" s="398">
        <v>55</v>
      </c>
      <c r="G81" s="398">
        <v>13342</v>
      </c>
      <c r="H81" s="398">
        <v>0</v>
      </c>
      <c r="I81" s="398">
        <v>0</v>
      </c>
      <c r="J81" s="399" t="s">
        <v>56</v>
      </c>
      <c r="K81" s="402" t="s">
        <v>56</v>
      </c>
      <c r="L81" s="398">
        <v>0</v>
      </c>
      <c r="M81" s="398">
        <v>0</v>
      </c>
      <c r="N81" s="398">
        <v>0</v>
      </c>
      <c r="O81" s="398">
        <v>0</v>
      </c>
      <c r="P81" s="398">
        <v>45</v>
      </c>
      <c r="Q81" s="398">
        <v>21552</v>
      </c>
      <c r="R81" s="398">
        <v>0</v>
      </c>
      <c r="S81" s="398">
        <v>0</v>
      </c>
      <c r="T81" s="398"/>
      <c r="U81" s="398"/>
      <c r="V81" s="398">
        <f>_xlfn.IFNA(VLOOKUP(A81,[3]進出口值表查詢結果!$C$11:$F$68,4,0),-[4]整車!$B$22)</f>
        <v>0</v>
      </c>
      <c r="W81" s="398">
        <f>_xlfn.IFNA(VLOOKUP(A81,[3]進出口值表查詢結果!$C$11:$F$68,3,0),-[4]整車!$B$22)</f>
        <v>0</v>
      </c>
      <c r="X81" s="398">
        <f>_xlfn.IFNA(VLOOKUP(A81,[5]進出口值表查詢結果!$C$11:$F$68,4,0),-[4]整車!$B$22)</f>
        <v>0</v>
      </c>
      <c r="Y81" s="398">
        <f>_xlfn.IFNA(VLOOKUP(A81,[5]進出口值表查詢結果!$C$11:$F$68,3,0),-[4]整車!$B$22)</f>
        <v>0</v>
      </c>
      <c r="Z81" s="392">
        <f t="shared" si="14"/>
        <v>100</v>
      </c>
      <c r="AA81" s="392">
        <f t="shared" si="15"/>
        <v>34894</v>
      </c>
    </row>
    <row r="82" spans="1:27">
      <c r="A82" s="403" t="s">
        <v>282</v>
      </c>
      <c r="B82" s="398"/>
      <c r="C82" s="398"/>
      <c r="D82" s="398"/>
      <c r="E82" s="398"/>
      <c r="F82" s="398">
        <v>0</v>
      </c>
      <c r="G82" s="398"/>
      <c r="H82" s="398">
        <v>0</v>
      </c>
      <c r="I82" s="398">
        <v>0</v>
      </c>
      <c r="J82" s="399" t="s">
        <v>56</v>
      </c>
      <c r="K82" s="402" t="s">
        <v>56</v>
      </c>
      <c r="L82" s="398">
        <v>0</v>
      </c>
      <c r="M82" s="398">
        <v>0</v>
      </c>
      <c r="N82" s="398">
        <v>0</v>
      </c>
      <c r="O82" s="398">
        <v>0</v>
      </c>
      <c r="P82" s="398">
        <v>0</v>
      </c>
      <c r="Q82" s="398">
        <v>0</v>
      </c>
      <c r="R82" s="398">
        <v>0</v>
      </c>
      <c r="S82" s="398">
        <v>0</v>
      </c>
      <c r="T82" s="398"/>
      <c r="U82" s="398"/>
      <c r="V82" s="398">
        <f>_xlfn.IFNA(VLOOKUP(A82,[3]進出口值表查詢結果!$C$11:$F$68,4,0),-[4]整車!$B$22)</f>
        <v>0</v>
      </c>
      <c r="W82" s="398">
        <f>_xlfn.IFNA(VLOOKUP(A82,[3]進出口值表查詢結果!$C$11:$F$68,3,0),-[4]整車!$B$22)</f>
        <v>0</v>
      </c>
      <c r="X82" s="398">
        <f>_xlfn.IFNA(VLOOKUP(A82,[5]進出口值表查詢結果!$C$11:$F$68,4,0),-[4]整車!$B$22)</f>
        <v>0</v>
      </c>
      <c r="Y82" s="398">
        <f>_xlfn.IFNA(VLOOKUP(A82,[5]進出口值表查詢結果!$C$11:$F$68,3,0),-[4]整車!$B$22)</f>
        <v>0</v>
      </c>
      <c r="Z82" s="392">
        <f t="shared" si="14"/>
        <v>0</v>
      </c>
      <c r="AA82" s="392">
        <f t="shared" si="15"/>
        <v>0</v>
      </c>
    </row>
    <row r="83" spans="1:27">
      <c r="A83" s="403" t="s">
        <v>284</v>
      </c>
      <c r="B83" s="398"/>
      <c r="C83" s="398"/>
      <c r="D83" s="398"/>
      <c r="E83" s="398"/>
      <c r="F83" s="398">
        <v>0</v>
      </c>
      <c r="G83" s="398"/>
      <c r="H83" s="398">
        <v>0</v>
      </c>
      <c r="I83" s="398">
        <v>0</v>
      </c>
      <c r="J83" s="399" t="s">
        <v>56</v>
      </c>
      <c r="K83" s="402">
        <v>0</v>
      </c>
      <c r="L83" s="398">
        <v>0</v>
      </c>
      <c r="M83" s="398">
        <v>0</v>
      </c>
      <c r="N83" s="398">
        <v>0</v>
      </c>
      <c r="O83" s="398">
        <v>0</v>
      </c>
      <c r="P83" s="398">
        <v>0</v>
      </c>
      <c r="Q83" s="398">
        <v>0</v>
      </c>
      <c r="R83" s="398">
        <v>0</v>
      </c>
      <c r="S83" s="398">
        <v>0</v>
      </c>
      <c r="T83" s="398">
        <v>0</v>
      </c>
      <c r="U83" s="398">
        <v>0</v>
      </c>
      <c r="V83" s="398">
        <f>_xlfn.IFNA(VLOOKUP(A83,[3]進出口值表查詢結果!$C$11:$F$68,4,0),-[4]整車!$B$22)</f>
        <v>0</v>
      </c>
      <c r="W83" s="398">
        <f>_xlfn.IFNA(VLOOKUP(A83,[3]進出口值表查詢結果!$C$11:$F$68,3,0),-[4]整車!$B$22)</f>
        <v>0</v>
      </c>
      <c r="X83" s="398">
        <f>_xlfn.IFNA(VLOOKUP(A83,[5]進出口值表查詢結果!$C$11:$F$68,4,0),-[4]整車!$B$22)</f>
        <v>0</v>
      </c>
      <c r="Y83" s="398">
        <f>_xlfn.IFNA(VLOOKUP(A83,[5]進出口值表查詢結果!$C$11:$F$68,3,0),-[4]整車!$B$22)</f>
        <v>0</v>
      </c>
      <c r="Z83" s="392">
        <f t="shared" si="14"/>
        <v>0</v>
      </c>
      <c r="AA83" s="392">
        <f t="shared" si="15"/>
        <v>0</v>
      </c>
    </row>
    <row r="84" spans="1:27">
      <c r="A84" s="401"/>
      <c r="B84" s="398"/>
      <c r="C84" s="398"/>
      <c r="D84" s="398"/>
      <c r="E84" s="398"/>
      <c r="F84" s="398"/>
      <c r="G84" s="398"/>
      <c r="H84" s="398"/>
      <c r="I84" s="398"/>
      <c r="J84" s="399"/>
      <c r="K84" s="400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2"/>
      <c r="AA84" s="392"/>
    </row>
    <row r="85" spans="1:27">
      <c r="A85" s="418" t="s">
        <v>45</v>
      </c>
      <c r="B85" s="419">
        <f t="shared" ref="B85:Y85" si="16">SUM(B86:B95)</f>
        <v>4580</v>
      </c>
      <c r="C85" s="419">
        <f t="shared" si="16"/>
        <v>4189345</v>
      </c>
      <c r="D85" s="419">
        <f t="shared" si="16"/>
        <v>4981</v>
      </c>
      <c r="E85" s="419">
        <f t="shared" si="16"/>
        <v>3563822</v>
      </c>
      <c r="F85" s="419">
        <f t="shared" si="16"/>
        <v>4938</v>
      </c>
      <c r="G85" s="419">
        <f t="shared" si="16"/>
        <v>4345204</v>
      </c>
      <c r="H85" s="419">
        <f t="shared" si="16"/>
        <v>4040</v>
      </c>
      <c r="I85" s="419">
        <f t="shared" si="16"/>
        <v>2474863</v>
      </c>
      <c r="J85" s="420">
        <f t="shared" si="16"/>
        <v>3564</v>
      </c>
      <c r="K85" s="421">
        <f>SUM(K86:K95)</f>
        <v>3664756</v>
      </c>
      <c r="L85" s="419">
        <f t="shared" si="16"/>
        <v>6992</v>
      </c>
      <c r="M85" s="419">
        <f t="shared" si="16"/>
        <v>7057607</v>
      </c>
      <c r="N85" s="419">
        <f t="shared" si="16"/>
        <v>9419</v>
      </c>
      <c r="O85" s="419">
        <f t="shared" si="16"/>
        <v>9080258</v>
      </c>
      <c r="P85" s="419">
        <f t="shared" si="16"/>
        <v>18596</v>
      </c>
      <c r="Q85" s="419">
        <f t="shared" si="16"/>
        <v>13272347</v>
      </c>
      <c r="R85" s="419">
        <f t="shared" si="16"/>
        <v>16559</v>
      </c>
      <c r="S85" s="419">
        <f t="shared" si="16"/>
        <v>10409447</v>
      </c>
      <c r="T85" s="419">
        <f t="shared" si="16"/>
        <v>9960</v>
      </c>
      <c r="U85" s="419">
        <f t="shared" si="16"/>
        <v>6716352</v>
      </c>
      <c r="V85" s="419">
        <f>SUM(V86:V95)</f>
        <v>10701</v>
      </c>
      <c r="W85" s="419">
        <f>SUM(W86:W95)</f>
        <v>9725369</v>
      </c>
      <c r="X85" s="419">
        <f t="shared" si="16"/>
        <v>14699</v>
      </c>
      <c r="Y85" s="419">
        <f t="shared" si="16"/>
        <v>10190062</v>
      </c>
      <c r="Z85" s="405">
        <f t="shared" ref="Z85:Z95" si="17">SUM(B85,D85,F85,H85,J85,L85,N85,P85,R85,T85,V85,X85)</f>
        <v>109029</v>
      </c>
      <c r="AA85" s="405">
        <f t="shared" ref="AA85:AA95" si="18">SUM(C85,E85,G85,I85,K85,M85,O85,Q85,S85,U85,W85,Y85)</f>
        <v>84689432</v>
      </c>
    </row>
    <row r="86" spans="1:27">
      <c r="A86" s="434" t="s">
        <v>170</v>
      </c>
      <c r="B86" s="398">
        <v>4150</v>
      </c>
      <c r="C86" s="398">
        <v>3694908</v>
      </c>
      <c r="D86" s="398">
        <v>4032</v>
      </c>
      <c r="E86" s="398">
        <v>2636975</v>
      </c>
      <c r="F86" s="398">
        <v>4087</v>
      </c>
      <c r="G86" s="398">
        <v>3599502</v>
      </c>
      <c r="H86" s="398">
        <v>3562</v>
      </c>
      <c r="I86" s="398">
        <v>1835676</v>
      </c>
      <c r="J86" s="399">
        <v>2839</v>
      </c>
      <c r="K86" s="400">
        <v>2636423</v>
      </c>
      <c r="L86" s="398">
        <v>5737</v>
      </c>
      <c r="M86" s="398">
        <v>5468499</v>
      </c>
      <c r="N86" s="412">
        <v>7440</v>
      </c>
      <c r="O86" s="412">
        <v>6804533</v>
      </c>
      <c r="P86" s="398">
        <v>15662</v>
      </c>
      <c r="Q86" s="398">
        <v>10198676</v>
      </c>
      <c r="R86" s="398">
        <v>14530</v>
      </c>
      <c r="S86" s="398">
        <v>8126261</v>
      </c>
      <c r="T86" s="398">
        <v>8369</v>
      </c>
      <c r="U86" s="398">
        <v>5188023</v>
      </c>
      <c r="V86" s="398">
        <f>_xlfn.IFNA(VLOOKUP(A86,[3]進出口值表查詢結果!$C$11:$F$68,4,0),-[4]整車!$B$22)</f>
        <v>8737</v>
      </c>
      <c r="W86" s="398">
        <f>_xlfn.IFNA(VLOOKUP(A86,[3]進出口值表查詢結果!$C$11:$F$68,3,0),-[4]整車!$B$22)</f>
        <v>7518300</v>
      </c>
      <c r="X86" s="398">
        <f>_xlfn.IFNA(VLOOKUP(A86,[5]進出口值表查詢結果!$C$11:$F$68,4,0),-[4]整車!$B$22)</f>
        <v>12512</v>
      </c>
      <c r="Y86" s="398">
        <f>_xlfn.IFNA(VLOOKUP(A86,[5]進出口值表查詢結果!$C$11:$F$68,3,0),-[4]整車!$B$22)</f>
        <v>8168473</v>
      </c>
      <c r="Z86" s="392">
        <f t="shared" si="17"/>
        <v>91657</v>
      </c>
      <c r="AA86" s="392">
        <f t="shared" si="18"/>
        <v>65876249</v>
      </c>
    </row>
    <row r="87" spans="1:27">
      <c r="A87" s="434" t="s">
        <v>285</v>
      </c>
      <c r="B87" s="398"/>
      <c r="C87" s="398"/>
      <c r="D87" s="398"/>
      <c r="E87" s="398"/>
      <c r="F87" s="398">
        <v>0</v>
      </c>
      <c r="G87" s="398"/>
      <c r="H87" s="398">
        <v>0</v>
      </c>
      <c r="I87" s="398">
        <v>0</v>
      </c>
      <c r="J87" s="399">
        <v>0</v>
      </c>
      <c r="K87" s="402">
        <v>0</v>
      </c>
      <c r="L87" s="398">
        <v>0</v>
      </c>
      <c r="M87" s="398">
        <v>0</v>
      </c>
      <c r="N87" s="398">
        <v>0</v>
      </c>
      <c r="O87" s="398">
        <v>0</v>
      </c>
      <c r="P87" s="398">
        <v>0</v>
      </c>
      <c r="Q87" s="398">
        <v>0</v>
      </c>
      <c r="R87" s="398">
        <v>0</v>
      </c>
      <c r="S87" s="398">
        <v>0</v>
      </c>
      <c r="T87" s="398"/>
      <c r="U87" s="398"/>
      <c r="V87" s="398">
        <f>_xlfn.IFNA(VLOOKUP(A87,[3]進出口值表查詢結果!$C$11:$F$68,4,0),-[4]整車!$B$22)</f>
        <v>0</v>
      </c>
      <c r="W87" s="398">
        <f>_xlfn.IFNA(VLOOKUP(A87,[3]進出口值表查詢結果!$C$11:$F$68,3,0),-[4]整車!$B$22)</f>
        <v>0</v>
      </c>
      <c r="X87" s="398">
        <f>_xlfn.IFNA(VLOOKUP(A87,[5]進出口值表查詢結果!$C$11:$F$68,4,0),-[4]整車!$B$22)</f>
        <v>0</v>
      </c>
      <c r="Y87" s="398">
        <f>_xlfn.IFNA(VLOOKUP(A87,[5]進出口值表查詢結果!$C$11:$F$68,3,0),-[4]整車!$B$22)</f>
        <v>0</v>
      </c>
      <c r="Z87" s="392">
        <f t="shared" si="17"/>
        <v>0</v>
      </c>
      <c r="AA87" s="392">
        <f t="shared" si="18"/>
        <v>0</v>
      </c>
    </row>
    <row r="88" spans="1:27">
      <c r="A88" s="434" t="s">
        <v>169</v>
      </c>
      <c r="B88" s="398">
        <v>399</v>
      </c>
      <c r="C88" s="398">
        <v>445420</v>
      </c>
      <c r="D88" s="398">
        <v>924</v>
      </c>
      <c r="E88" s="398">
        <v>877548</v>
      </c>
      <c r="F88" s="398">
        <v>851</v>
      </c>
      <c r="G88" s="398">
        <v>745702</v>
      </c>
      <c r="H88" s="398">
        <v>478</v>
      </c>
      <c r="I88" s="398">
        <v>639187</v>
      </c>
      <c r="J88" s="399">
        <v>694</v>
      </c>
      <c r="K88" s="400">
        <v>961243</v>
      </c>
      <c r="L88" s="398">
        <v>1089</v>
      </c>
      <c r="M88" s="398">
        <v>1332104</v>
      </c>
      <c r="N88" s="412">
        <v>1942</v>
      </c>
      <c r="O88" s="412">
        <v>2269776</v>
      </c>
      <c r="P88" s="398">
        <v>2862</v>
      </c>
      <c r="Q88" s="398">
        <v>2963505</v>
      </c>
      <c r="R88" s="398">
        <v>2009</v>
      </c>
      <c r="S88" s="398">
        <v>2248234</v>
      </c>
      <c r="T88" s="398">
        <v>1565</v>
      </c>
      <c r="U88" s="398">
        <v>1482993</v>
      </c>
      <c r="V88" s="398">
        <f>_xlfn.IFNA(VLOOKUP(A88,[3]進出口值表查詢結果!$C$11:$F$68,4,0),-[4]整車!$B$22)</f>
        <v>1783</v>
      </c>
      <c r="W88" s="398">
        <f>_xlfn.IFNA(VLOOKUP(A88,[3]進出口值表查詢結果!$C$11:$F$68,3,0),-[4]整車!$B$22)</f>
        <v>1858681</v>
      </c>
      <c r="X88" s="398">
        <f>_xlfn.IFNA(VLOOKUP(A88,[5]進出口值表查詢結果!$C$11:$F$68,4,0),-[4]整車!$B$22)</f>
        <v>2182</v>
      </c>
      <c r="Y88" s="398">
        <f>_xlfn.IFNA(VLOOKUP(A88,[5]進出口值表查詢結果!$C$11:$F$68,3,0),-[4]整車!$B$22)</f>
        <v>2014871</v>
      </c>
      <c r="Z88" s="392">
        <f t="shared" si="17"/>
        <v>16778</v>
      </c>
      <c r="AA88" s="392">
        <f t="shared" si="18"/>
        <v>17839264</v>
      </c>
    </row>
    <row r="89" spans="1:27">
      <c r="A89" s="434" t="s">
        <v>288</v>
      </c>
      <c r="B89" s="398"/>
      <c r="C89" s="398"/>
      <c r="D89" s="398"/>
      <c r="E89" s="398"/>
      <c r="F89" s="398">
        <v>0</v>
      </c>
      <c r="G89" s="398"/>
      <c r="H89" s="398">
        <v>0</v>
      </c>
      <c r="I89" s="398">
        <v>0</v>
      </c>
      <c r="J89" s="399" t="s">
        <v>56</v>
      </c>
      <c r="K89" s="402">
        <v>0</v>
      </c>
      <c r="L89" s="398">
        <v>0</v>
      </c>
      <c r="M89" s="398">
        <v>0</v>
      </c>
      <c r="N89" s="398">
        <v>0</v>
      </c>
      <c r="O89" s="398">
        <v>0</v>
      </c>
      <c r="P89" s="398">
        <v>0</v>
      </c>
      <c r="Q89" s="398">
        <v>0</v>
      </c>
      <c r="R89" s="398">
        <v>0</v>
      </c>
      <c r="S89" s="398">
        <v>0</v>
      </c>
      <c r="T89" s="398"/>
      <c r="U89" s="398"/>
      <c r="V89" s="398">
        <f>_xlfn.IFNA(VLOOKUP(A89,[3]進出口值表查詢結果!$C$11:$F$68,4,0),-[4]整車!$B$22)</f>
        <v>0</v>
      </c>
      <c r="W89" s="398">
        <f>_xlfn.IFNA(VLOOKUP(A89,[3]進出口值表查詢結果!$C$11:$F$68,3,0),-[4]整車!$B$22)</f>
        <v>0</v>
      </c>
      <c r="X89" s="398">
        <f>_xlfn.IFNA(VLOOKUP(A89,[5]進出口值表查詢結果!$C$11:$F$68,4,0),-[4]整車!$B$22)</f>
        <v>0</v>
      </c>
      <c r="Y89" s="398">
        <f>_xlfn.IFNA(VLOOKUP(A89,[5]進出口值表查詢結果!$C$11:$F$68,3,0),-[4]整車!$B$22)</f>
        <v>0</v>
      </c>
      <c r="Z89" s="392">
        <f t="shared" si="17"/>
        <v>0</v>
      </c>
      <c r="AA89" s="392">
        <f t="shared" si="18"/>
        <v>0</v>
      </c>
    </row>
    <row r="90" spans="1:27">
      <c r="A90" s="434" t="s">
        <v>287</v>
      </c>
      <c r="B90" s="398">
        <v>5</v>
      </c>
      <c r="C90" s="398">
        <v>13029</v>
      </c>
      <c r="D90" s="398">
        <v>25</v>
      </c>
      <c r="E90" s="398">
        <v>49299</v>
      </c>
      <c r="F90" s="398">
        <v>0</v>
      </c>
      <c r="G90" s="398"/>
      <c r="H90" s="398">
        <v>0</v>
      </c>
      <c r="I90" s="398">
        <v>0</v>
      </c>
      <c r="J90" s="399">
        <v>31</v>
      </c>
      <c r="K90" s="400">
        <v>67090</v>
      </c>
      <c r="L90" s="398">
        <v>166</v>
      </c>
      <c r="M90" s="398">
        <v>257004</v>
      </c>
      <c r="N90" s="412">
        <v>2</v>
      </c>
      <c r="O90" s="398">
        <v>2535</v>
      </c>
      <c r="P90" s="398">
        <v>72</v>
      </c>
      <c r="Q90" s="398">
        <v>110166</v>
      </c>
      <c r="R90" s="398">
        <v>20</v>
      </c>
      <c r="S90" s="398">
        <v>34952</v>
      </c>
      <c r="T90" s="398">
        <v>26</v>
      </c>
      <c r="U90" s="398">
        <v>45336</v>
      </c>
      <c r="V90" s="398">
        <f>_xlfn.IFNA(VLOOKUP(A90,[3]進出口值表查詢結果!$C$11:$F$68,4,0),-[4]整車!$B$22)</f>
        <v>156</v>
      </c>
      <c r="W90" s="398">
        <f>_xlfn.IFNA(VLOOKUP(A90,[3]進出口值表查詢結果!$C$11:$F$68,3,0),-[4]整車!$B$22)</f>
        <v>316499</v>
      </c>
      <c r="X90" s="398">
        <f>_xlfn.IFNA(VLOOKUP(A90,[5]進出口值表查詢結果!$C$11:$F$68,4,0),-[4]整車!$B$22)</f>
        <v>5</v>
      </c>
      <c r="Y90" s="398">
        <f>_xlfn.IFNA(VLOOKUP(A90,[5]進出口值表查詢結果!$C$11:$F$68,3,0),-[4]整車!$B$22)</f>
        <v>6718</v>
      </c>
      <c r="Z90" s="392">
        <f t="shared" si="17"/>
        <v>508</v>
      </c>
      <c r="AA90" s="392">
        <f t="shared" si="18"/>
        <v>902628</v>
      </c>
    </row>
    <row r="91" spans="1:27">
      <c r="A91" s="434" t="s">
        <v>289</v>
      </c>
      <c r="B91" s="398"/>
      <c r="C91" s="398"/>
      <c r="D91" s="398"/>
      <c r="E91" s="398"/>
      <c r="F91" s="398">
        <v>0</v>
      </c>
      <c r="G91" s="398"/>
      <c r="H91" s="398">
        <v>0</v>
      </c>
      <c r="I91" s="398">
        <v>0</v>
      </c>
      <c r="J91" s="399" t="s">
        <v>56</v>
      </c>
      <c r="K91" s="402">
        <v>0</v>
      </c>
      <c r="L91" s="398">
        <v>0</v>
      </c>
      <c r="M91" s="398">
        <v>0</v>
      </c>
      <c r="N91" s="398">
        <v>0</v>
      </c>
      <c r="O91" s="398">
        <v>0</v>
      </c>
      <c r="P91" s="398">
        <v>0</v>
      </c>
      <c r="Q91" s="398">
        <v>0</v>
      </c>
      <c r="R91" s="398">
        <v>0</v>
      </c>
      <c r="S91" s="398">
        <v>0</v>
      </c>
      <c r="T91" s="398"/>
      <c r="U91" s="398"/>
      <c r="V91" s="398">
        <f>_xlfn.IFNA(VLOOKUP(A91,[3]進出口值表查詢結果!$C$11:$F$68,4,0),-[4]整車!$B$22)</f>
        <v>0</v>
      </c>
      <c r="W91" s="398">
        <f>_xlfn.IFNA(VLOOKUP(A91,[3]進出口值表查詢結果!$C$11:$F$68,3,0),-[4]整車!$B$22)</f>
        <v>0</v>
      </c>
      <c r="X91" s="398">
        <f>_xlfn.IFNA(VLOOKUP(A91,[5]進出口值表查詢結果!$C$11:$F$68,4,0),-[4]整車!$B$22)</f>
        <v>0</v>
      </c>
      <c r="Y91" s="398">
        <f>_xlfn.IFNA(VLOOKUP(A91,[5]進出口值表查詢結果!$C$11:$F$68,3,0),-[4]整車!$B$22)</f>
        <v>0</v>
      </c>
      <c r="Z91" s="392">
        <f t="shared" si="17"/>
        <v>0</v>
      </c>
      <c r="AA91" s="392">
        <f t="shared" si="18"/>
        <v>0</v>
      </c>
    </row>
    <row r="92" spans="1:27">
      <c r="A92" s="434" t="s">
        <v>392</v>
      </c>
      <c r="B92" s="398">
        <v>26</v>
      </c>
      <c r="C92" s="398">
        <v>35988</v>
      </c>
      <c r="D92" s="398"/>
      <c r="E92" s="398"/>
      <c r="F92" s="398">
        <v>0</v>
      </c>
      <c r="G92" s="398"/>
      <c r="H92" s="398">
        <v>0</v>
      </c>
      <c r="I92" s="398">
        <v>0</v>
      </c>
      <c r="J92" s="399" t="s">
        <v>56</v>
      </c>
      <c r="K92" s="402">
        <v>0</v>
      </c>
      <c r="L92" s="398">
        <v>0</v>
      </c>
      <c r="M92" s="398">
        <v>0</v>
      </c>
      <c r="N92" s="398">
        <v>0</v>
      </c>
      <c r="O92" s="398">
        <v>0</v>
      </c>
      <c r="P92" s="398">
        <v>0</v>
      </c>
      <c r="Q92" s="398">
        <v>0</v>
      </c>
      <c r="R92" s="398">
        <v>0</v>
      </c>
      <c r="S92" s="398">
        <v>0</v>
      </c>
      <c r="T92" s="398"/>
      <c r="U92" s="398"/>
      <c r="V92" s="398">
        <f>_xlfn.IFNA(VLOOKUP(A92,[3]進出口值表查詢結果!$C$11:$F$68,4,0),-[4]整車!$B$22)</f>
        <v>25</v>
      </c>
      <c r="W92" s="398">
        <f>_xlfn.IFNA(VLOOKUP(A92,[3]進出口值表查詢結果!$C$11:$F$68,3,0),-[4]整車!$B$22)</f>
        <v>31889</v>
      </c>
      <c r="X92" s="398">
        <f>_xlfn.IFNA(VLOOKUP(A92,[5]進出口值表查詢結果!$C$11:$F$68,4,0),-[4]整車!$B$22)</f>
        <v>0</v>
      </c>
      <c r="Y92" s="398">
        <f>_xlfn.IFNA(VLOOKUP(A92,[5]進出口值表查詢結果!$C$11:$F$68,3,0),-[4]整車!$B$22)</f>
        <v>0</v>
      </c>
      <c r="Z92" s="392">
        <f t="shared" si="17"/>
        <v>51</v>
      </c>
      <c r="AA92" s="392">
        <f t="shared" si="18"/>
        <v>67877</v>
      </c>
    </row>
    <row r="93" spans="1:27">
      <c r="A93" s="434" t="s">
        <v>291</v>
      </c>
      <c r="B93" s="398"/>
      <c r="C93" s="398"/>
      <c r="D93" s="398"/>
      <c r="E93" s="398"/>
      <c r="F93" s="398">
        <v>0</v>
      </c>
      <c r="G93" s="398"/>
      <c r="H93" s="398">
        <v>0</v>
      </c>
      <c r="I93" s="398">
        <v>0</v>
      </c>
      <c r="J93" s="399" t="s">
        <v>56</v>
      </c>
      <c r="K93" s="402">
        <v>0</v>
      </c>
      <c r="L93" s="398">
        <v>0</v>
      </c>
      <c r="M93" s="398">
        <v>0</v>
      </c>
      <c r="N93" s="412">
        <v>35</v>
      </c>
      <c r="O93" s="412">
        <v>3414</v>
      </c>
      <c r="P93" s="398">
        <v>0</v>
      </c>
      <c r="Q93" s="398">
        <v>0</v>
      </c>
      <c r="R93" s="398">
        <v>0</v>
      </c>
      <c r="S93" s="398">
        <v>0</v>
      </c>
      <c r="T93" s="398"/>
      <c r="U93" s="398"/>
      <c r="V93" s="398">
        <f>_xlfn.IFNA(VLOOKUP(A93,[3]進出口值表查詢結果!$C$11:$F$68,4,0),-[4]整車!$B$22)</f>
        <v>0</v>
      </c>
      <c r="W93" s="398">
        <f>_xlfn.IFNA(VLOOKUP(A93,[3]進出口值表查詢結果!$C$11:$F$68,3,0),-[4]整車!$B$22)</f>
        <v>0</v>
      </c>
      <c r="X93" s="398">
        <f>_xlfn.IFNA(VLOOKUP(A93,[5]進出口值表查詢結果!$C$11:$F$68,4,0),-[4]整車!$B$22)</f>
        <v>0</v>
      </c>
      <c r="Y93" s="398">
        <f>_xlfn.IFNA(VLOOKUP(A93,[5]進出口值表查詢結果!$C$11:$F$68,3,0),-[4]整車!$B$22)</f>
        <v>0</v>
      </c>
      <c r="Z93" s="392">
        <f t="shared" si="17"/>
        <v>35</v>
      </c>
      <c r="AA93" s="392">
        <f t="shared" si="18"/>
        <v>3414</v>
      </c>
    </row>
    <row r="94" spans="1:27">
      <c r="A94" s="434" t="s">
        <v>290</v>
      </c>
      <c r="B94" s="398"/>
      <c r="C94" s="398"/>
      <c r="D94" s="398"/>
      <c r="E94" s="398"/>
      <c r="F94" s="398">
        <v>0</v>
      </c>
      <c r="G94" s="398"/>
      <c r="H94" s="398">
        <v>0</v>
      </c>
      <c r="I94" s="398">
        <v>0</v>
      </c>
      <c r="J94" s="399" t="s">
        <v>56</v>
      </c>
      <c r="K94" s="402">
        <v>0</v>
      </c>
      <c r="L94" s="398">
        <v>0</v>
      </c>
      <c r="M94" s="398">
        <v>0</v>
      </c>
      <c r="N94" s="398">
        <v>0</v>
      </c>
      <c r="O94" s="398">
        <v>0</v>
      </c>
      <c r="P94" s="398">
        <v>0</v>
      </c>
      <c r="Q94" s="398">
        <v>0</v>
      </c>
      <c r="R94" s="398">
        <v>0</v>
      </c>
      <c r="S94" s="398">
        <v>0</v>
      </c>
      <c r="T94" s="398"/>
      <c r="U94" s="398"/>
      <c r="V94" s="398">
        <f>_xlfn.IFNA(VLOOKUP(A94,[3]進出口值表查詢結果!$C$11:$F$68,4,0),-[4]整車!$B$22)</f>
        <v>0</v>
      </c>
      <c r="W94" s="398">
        <f>_xlfn.IFNA(VLOOKUP(A94,[3]進出口值表查詢結果!$C$11:$F$68,3,0),-[4]整車!$B$22)</f>
        <v>0</v>
      </c>
      <c r="X94" s="398">
        <f>_xlfn.IFNA(VLOOKUP(A94,[5]進出口值表查詢結果!$C$11:$F$68,4,0),-[4]整車!$B$22)</f>
        <v>0</v>
      </c>
      <c r="Y94" s="398">
        <f>_xlfn.IFNA(VLOOKUP(A94,[5]進出口值表查詢結果!$C$11:$F$68,3,0),-[4]整車!$B$22)</f>
        <v>0</v>
      </c>
      <c r="Z94" s="392">
        <f t="shared" si="17"/>
        <v>0</v>
      </c>
      <c r="AA94" s="392">
        <f t="shared" si="18"/>
        <v>0</v>
      </c>
    </row>
    <row r="95" spans="1:27">
      <c r="A95" s="436" t="s">
        <v>292</v>
      </c>
      <c r="B95" s="392"/>
      <c r="C95" s="392"/>
      <c r="D95" s="392"/>
      <c r="E95" s="398"/>
      <c r="F95" s="392">
        <v>0</v>
      </c>
      <c r="G95" s="392"/>
      <c r="H95" s="398">
        <v>0</v>
      </c>
      <c r="I95" s="398">
        <v>0</v>
      </c>
      <c r="J95" s="385" t="s">
        <v>56</v>
      </c>
      <c r="K95" s="402">
        <v>0</v>
      </c>
      <c r="L95" s="392">
        <v>0</v>
      </c>
      <c r="M95" s="392">
        <v>0</v>
      </c>
      <c r="N95" s="392">
        <v>0</v>
      </c>
      <c r="O95" s="392">
        <v>0</v>
      </c>
      <c r="P95" s="398">
        <v>0</v>
      </c>
      <c r="Q95" s="398">
        <v>0</v>
      </c>
      <c r="R95" s="398">
        <v>0</v>
      </c>
      <c r="S95" s="398">
        <v>0</v>
      </c>
      <c r="T95" s="392"/>
      <c r="U95" s="392"/>
      <c r="V95" s="398">
        <f>_xlfn.IFNA(VLOOKUP(A95,[3]進出口值表查詢結果!$C$11:$F$68,4,0),-[4]整車!$B$22)</f>
        <v>0</v>
      </c>
      <c r="W95" s="398">
        <f>_xlfn.IFNA(VLOOKUP(A95,[3]進出口值表查詢結果!$C$11:$F$68,3,0),-[4]整車!$B$22)</f>
        <v>0</v>
      </c>
      <c r="X95" s="398">
        <f>_xlfn.IFNA(VLOOKUP(A95,[5]進出口值表查詢結果!$C$11:$F$68,4,0),-[4]整車!$B$22)</f>
        <v>0</v>
      </c>
      <c r="Y95" s="398">
        <f>_xlfn.IFNA(VLOOKUP(A95,[5]進出口值表查詢結果!$C$11:$F$68,3,0),-[4]整車!$B$22)</f>
        <v>0</v>
      </c>
      <c r="Z95" s="392">
        <f t="shared" si="17"/>
        <v>0</v>
      </c>
      <c r="AA95" s="392">
        <f t="shared" si="18"/>
        <v>0</v>
      </c>
    </row>
    <row r="96" spans="1:27">
      <c r="A96" s="391"/>
      <c r="B96" s="392"/>
      <c r="C96" s="392"/>
      <c r="D96" s="392"/>
      <c r="E96" s="392"/>
      <c r="F96" s="392"/>
      <c r="G96" s="392"/>
      <c r="H96" s="392"/>
      <c r="I96" s="392"/>
      <c r="J96" s="385"/>
      <c r="K96" s="386"/>
      <c r="L96" s="392"/>
      <c r="M96" s="392"/>
      <c r="N96" s="392"/>
      <c r="O96" s="392"/>
      <c r="P96" s="392"/>
      <c r="Q96" s="392"/>
      <c r="R96" s="392"/>
      <c r="S96" s="392"/>
      <c r="T96" s="392"/>
      <c r="U96" s="392"/>
      <c r="V96" s="392"/>
      <c r="W96" s="392"/>
      <c r="X96" s="392"/>
      <c r="Y96" s="392"/>
      <c r="Z96" s="392"/>
      <c r="AA96" s="392"/>
    </row>
    <row r="97" spans="1:27">
      <c r="A97" s="418" t="s">
        <v>139</v>
      </c>
      <c r="B97" s="419">
        <f t="shared" ref="B97:Y97" si="19">SUM(B98:B100)</f>
        <v>52798</v>
      </c>
      <c r="C97" s="419">
        <f t="shared" si="19"/>
        <v>33121696</v>
      </c>
      <c r="D97" s="419">
        <f t="shared" si="19"/>
        <v>50400</v>
      </c>
      <c r="E97" s="419">
        <f t="shared" si="19"/>
        <v>31534279</v>
      </c>
      <c r="F97" s="419">
        <f t="shared" si="19"/>
        <v>40988</v>
      </c>
      <c r="G97" s="419">
        <f t="shared" si="19"/>
        <v>23973578</v>
      </c>
      <c r="H97" s="419">
        <f t="shared" si="19"/>
        <v>42311</v>
      </c>
      <c r="I97" s="419">
        <f t="shared" si="19"/>
        <v>22157100</v>
      </c>
      <c r="J97" s="420">
        <f t="shared" si="19"/>
        <v>68862</v>
      </c>
      <c r="K97" s="421">
        <f t="shared" si="19"/>
        <v>39539255</v>
      </c>
      <c r="L97" s="419">
        <f t="shared" si="19"/>
        <v>61547</v>
      </c>
      <c r="M97" s="419">
        <f t="shared" si="19"/>
        <v>41765283</v>
      </c>
      <c r="N97" s="419">
        <f t="shared" si="19"/>
        <v>57860</v>
      </c>
      <c r="O97" s="419">
        <f t="shared" si="19"/>
        <v>47576440</v>
      </c>
      <c r="P97" s="419">
        <f t="shared" si="19"/>
        <v>70020</v>
      </c>
      <c r="Q97" s="419">
        <f t="shared" si="19"/>
        <v>47975910</v>
      </c>
      <c r="R97" s="419">
        <f t="shared" si="19"/>
        <v>57029</v>
      </c>
      <c r="S97" s="419">
        <f t="shared" si="19"/>
        <v>32139611</v>
      </c>
      <c r="T97" s="419">
        <f t="shared" si="19"/>
        <v>68638</v>
      </c>
      <c r="U97" s="419">
        <f t="shared" si="19"/>
        <v>38723065</v>
      </c>
      <c r="V97" s="419">
        <f>SUM(V98:V100)</f>
        <v>76863</v>
      </c>
      <c r="W97" s="419">
        <f>SUM(W98:W100)</f>
        <v>36987555</v>
      </c>
      <c r="X97" s="419">
        <f t="shared" si="19"/>
        <v>64518</v>
      </c>
      <c r="Y97" s="419">
        <f t="shared" si="19"/>
        <v>35209517</v>
      </c>
      <c r="Z97" s="405">
        <f t="shared" ref="Z97:AA100" si="20">SUM(B97,D97,F97,H97,J97,L97,N97,P97,R97,T97,V97,X97)</f>
        <v>711834</v>
      </c>
      <c r="AA97" s="405">
        <f t="shared" si="20"/>
        <v>430703289</v>
      </c>
    </row>
    <row r="98" spans="1:27">
      <c r="A98" s="434" t="s">
        <v>158</v>
      </c>
      <c r="B98" s="398">
        <v>48120</v>
      </c>
      <c r="C98" s="398">
        <v>29498633</v>
      </c>
      <c r="D98" s="398">
        <v>44184</v>
      </c>
      <c r="E98" s="398">
        <v>25012824</v>
      </c>
      <c r="F98" s="398">
        <v>37364</v>
      </c>
      <c r="G98" s="398">
        <v>20911414</v>
      </c>
      <c r="H98" s="398">
        <v>40429</v>
      </c>
      <c r="I98" s="398">
        <v>20039545</v>
      </c>
      <c r="J98" s="399">
        <v>65721</v>
      </c>
      <c r="K98" s="400">
        <v>36235280</v>
      </c>
      <c r="L98" s="398">
        <v>57262</v>
      </c>
      <c r="M98" s="398">
        <v>37300973</v>
      </c>
      <c r="N98" s="398">
        <v>52826</v>
      </c>
      <c r="O98" s="398">
        <v>41788643</v>
      </c>
      <c r="P98" s="398">
        <v>65538</v>
      </c>
      <c r="Q98" s="398">
        <v>42663542</v>
      </c>
      <c r="R98" s="398">
        <v>54118</v>
      </c>
      <c r="S98" s="398">
        <v>29005811</v>
      </c>
      <c r="T98" s="398">
        <v>65331</v>
      </c>
      <c r="U98" s="398">
        <v>34634631</v>
      </c>
      <c r="V98" s="398">
        <f>_xlfn.IFNA(VLOOKUP(A98,[3]進出口值表查詢結果!$C$11:$F$68,4,0),-[4]整車!$B$22)</f>
        <v>73370</v>
      </c>
      <c r="W98" s="398">
        <f>_xlfn.IFNA(VLOOKUP(A98,[3]進出口值表查詢結果!$C$11:$F$68,3,0),-[4]整車!$B$22)</f>
        <v>33547174</v>
      </c>
      <c r="X98" s="398">
        <f>_xlfn.IFNA(VLOOKUP(A98,[5]進出口值表查詢結果!$C$11:$F$68,4,0),-[4]整車!$B$22)</f>
        <v>60970</v>
      </c>
      <c r="Y98" s="398">
        <f>_xlfn.IFNA(VLOOKUP(A98,[5]進出口值表查詢結果!$C$11:$F$68,3,0),-[4]整車!$B$22)</f>
        <v>32188211</v>
      </c>
      <c r="Z98" s="392">
        <f t="shared" si="20"/>
        <v>665233</v>
      </c>
      <c r="AA98" s="392">
        <f t="shared" si="20"/>
        <v>382826681</v>
      </c>
    </row>
    <row r="99" spans="1:27">
      <c r="A99" s="434" t="s">
        <v>168</v>
      </c>
      <c r="B99" s="398">
        <v>4285</v>
      </c>
      <c r="C99" s="398">
        <v>3224729</v>
      </c>
      <c r="D99" s="398">
        <v>5520</v>
      </c>
      <c r="E99" s="398">
        <v>5948302</v>
      </c>
      <c r="F99" s="398">
        <v>3453</v>
      </c>
      <c r="G99" s="398">
        <v>2889944</v>
      </c>
      <c r="H99" s="398">
        <v>1520</v>
      </c>
      <c r="I99" s="398">
        <v>1622558</v>
      </c>
      <c r="J99" s="399">
        <v>2611</v>
      </c>
      <c r="K99" s="400">
        <v>2499831</v>
      </c>
      <c r="L99" s="398">
        <v>3403</v>
      </c>
      <c r="M99" s="398">
        <v>3630698</v>
      </c>
      <c r="N99" s="398">
        <v>3856</v>
      </c>
      <c r="O99" s="398">
        <v>4296622</v>
      </c>
      <c r="P99" s="398">
        <v>3208</v>
      </c>
      <c r="Q99" s="398">
        <v>3679701</v>
      </c>
      <c r="R99" s="398">
        <v>2427</v>
      </c>
      <c r="S99" s="398">
        <v>2612605</v>
      </c>
      <c r="T99" s="398">
        <v>2276</v>
      </c>
      <c r="U99" s="398">
        <v>3152428</v>
      </c>
      <c r="V99" s="398">
        <f>_xlfn.IFNA(VLOOKUP(A99,[3]進出口值表查詢結果!$C$11:$F$68,4,0),-[4]整車!$B$22)</f>
        <v>2267</v>
      </c>
      <c r="W99" s="398">
        <f>_xlfn.IFNA(VLOOKUP(A99,[3]進出口值表查詢結果!$C$11:$F$68,3,0),-[4]整車!$B$22)</f>
        <v>2558579</v>
      </c>
      <c r="X99" s="398">
        <f>_xlfn.IFNA(VLOOKUP(A99,[5]進出口值表查詢結果!$C$11:$F$68,4,0),-[4]整車!$B$22)</f>
        <v>3014</v>
      </c>
      <c r="Y99" s="398">
        <f>_xlfn.IFNA(VLOOKUP(A99,[5]進出口值表查詢結果!$C$11:$F$68,3,0),-[4]整車!$B$22)</f>
        <v>2345835</v>
      </c>
      <c r="Z99" s="392">
        <f t="shared" si="20"/>
        <v>37840</v>
      </c>
      <c r="AA99" s="392">
        <f t="shared" si="20"/>
        <v>38461832</v>
      </c>
    </row>
    <row r="100" spans="1:27">
      <c r="A100" s="434" t="s">
        <v>191</v>
      </c>
      <c r="B100" s="398">
        <v>393</v>
      </c>
      <c r="C100" s="398">
        <v>398334</v>
      </c>
      <c r="D100" s="398">
        <v>696</v>
      </c>
      <c r="E100" s="398">
        <v>573153</v>
      </c>
      <c r="F100" s="398">
        <v>171</v>
      </c>
      <c r="G100" s="398">
        <v>172220</v>
      </c>
      <c r="H100" s="398">
        <v>362</v>
      </c>
      <c r="I100" s="398">
        <v>494997</v>
      </c>
      <c r="J100" s="399">
        <v>530</v>
      </c>
      <c r="K100" s="402">
        <v>804144</v>
      </c>
      <c r="L100" s="398">
        <v>882</v>
      </c>
      <c r="M100" s="398">
        <v>833612</v>
      </c>
      <c r="N100" s="398">
        <v>1178</v>
      </c>
      <c r="O100" s="398">
        <v>1491175</v>
      </c>
      <c r="P100" s="398">
        <v>1274</v>
      </c>
      <c r="Q100" s="398">
        <v>1632667</v>
      </c>
      <c r="R100" s="398">
        <v>484</v>
      </c>
      <c r="S100" s="398">
        <v>521195</v>
      </c>
      <c r="T100" s="398">
        <v>1031</v>
      </c>
      <c r="U100" s="398">
        <v>936006</v>
      </c>
      <c r="V100" s="398">
        <f>_xlfn.IFNA(VLOOKUP(A100,[3]進出口值表查詢結果!$C$11:$F$68,4,0),-[4]整車!$B$22)</f>
        <v>1226</v>
      </c>
      <c r="W100" s="398">
        <f>_xlfn.IFNA(VLOOKUP(A100,[3]進出口值表查詢結果!$C$11:$F$68,3,0),-[4]整車!$B$22)</f>
        <v>881802</v>
      </c>
      <c r="X100" s="398">
        <f>_xlfn.IFNA(VLOOKUP(A100,[5]進出口值表查詢結果!$C$11:$F$68,4,0),-[4]整車!$B$22)</f>
        <v>534</v>
      </c>
      <c r="Y100" s="398">
        <f>_xlfn.IFNA(VLOOKUP(A100,[5]進出口值表查詢結果!$C$11:$F$68,3,0),-[4]整車!$B$22)</f>
        <v>675471</v>
      </c>
      <c r="Z100" s="392">
        <f t="shared" si="20"/>
        <v>8761</v>
      </c>
      <c r="AA100" s="392">
        <f t="shared" si="20"/>
        <v>9414776</v>
      </c>
    </row>
    <row r="101" spans="1:27">
      <c r="A101" s="401"/>
      <c r="B101" s="398"/>
      <c r="C101" s="398"/>
      <c r="D101" s="398"/>
      <c r="E101" s="398"/>
      <c r="F101" s="398"/>
      <c r="G101" s="398"/>
      <c r="H101" s="398"/>
      <c r="I101" s="398"/>
      <c r="J101" s="399"/>
      <c r="K101" s="400"/>
      <c r="L101" s="398"/>
      <c r="M101" s="398"/>
      <c r="N101" s="398"/>
      <c r="O101" s="398"/>
      <c r="P101" s="398"/>
      <c r="Q101" s="398"/>
      <c r="R101" s="398"/>
      <c r="S101" s="398"/>
      <c r="T101" s="398"/>
      <c r="U101" s="398"/>
      <c r="V101" s="398"/>
      <c r="W101" s="398"/>
      <c r="X101" s="398"/>
      <c r="Y101" s="398"/>
      <c r="Z101" s="392"/>
      <c r="AA101" s="392"/>
    </row>
    <row r="102" spans="1:27">
      <c r="A102" s="418" t="s">
        <v>43</v>
      </c>
      <c r="B102" s="419">
        <f t="shared" ref="B102:Y102" si="21">SUM(B103:B134)</f>
        <v>1934</v>
      </c>
      <c r="C102" s="419">
        <f t="shared" si="21"/>
        <v>1731089</v>
      </c>
      <c r="D102" s="419">
        <f t="shared" si="21"/>
        <v>1633</v>
      </c>
      <c r="E102" s="419">
        <f t="shared" si="21"/>
        <v>1772448</v>
      </c>
      <c r="F102" s="419">
        <f t="shared" si="21"/>
        <v>1822</v>
      </c>
      <c r="G102" s="419">
        <f t="shared" si="21"/>
        <v>2077067</v>
      </c>
      <c r="H102" s="419">
        <f t="shared" si="21"/>
        <v>906</v>
      </c>
      <c r="I102" s="419">
        <f t="shared" si="21"/>
        <v>1075357</v>
      </c>
      <c r="J102" s="420">
        <f t="shared" si="21"/>
        <v>1957</v>
      </c>
      <c r="K102" s="421">
        <f t="shared" si="21"/>
        <v>3078550</v>
      </c>
      <c r="L102" s="419">
        <f t="shared" si="21"/>
        <v>3212</v>
      </c>
      <c r="M102" s="419">
        <f t="shared" si="21"/>
        <v>4353020</v>
      </c>
      <c r="N102" s="419">
        <f t="shared" si="21"/>
        <v>3748</v>
      </c>
      <c r="O102" s="419">
        <f t="shared" si="21"/>
        <v>4915548</v>
      </c>
      <c r="P102" s="419">
        <f t="shared" si="21"/>
        <v>2931</v>
      </c>
      <c r="Q102" s="419">
        <f t="shared" si="21"/>
        <v>4038698</v>
      </c>
      <c r="R102" s="419">
        <f t="shared" si="21"/>
        <v>2759</v>
      </c>
      <c r="S102" s="419">
        <f t="shared" si="21"/>
        <v>3387332</v>
      </c>
      <c r="T102" s="419">
        <f t="shared" si="21"/>
        <v>2949</v>
      </c>
      <c r="U102" s="419">
        <f t="shared" si="21"/>
        <v>3052841</v>
      </c>
      <c r="V102" s="419">
        <f>SUM(V103:V134)</f>
        <v>1812</v>
      </c>
      <c r="W102" s="419">
        <f>SUM(W103:W134)</f>
        <v>2019548</v>
      </c>
      <c r="X102" s="419">
        <f t="shared" si="21"/>
        <v>2688</v>
      </c>
      <c r="Y102" s="419">
        <f t="shared" si="21"/>
        <v>2319383</v>
      </c>
      <c r="Z102" s="405">
        <f t="shared" ref="Z102:Z134" si="22">SUM(B102,D102,F102,H102,J102,L102,N102,P102,R102,T102,V102,X102)</f>
        <v>28351</v>
      </c>
      <c r="AA102" s="405">
        <f t="shared" ref="AA102:AA134" si="23">SUM(C102,E102,G102,I102,K102,M102,O102,Q102,S102,U102,W102,Y102)</f>
        <v>33820881</v>
      </c>
    </row>
    <row r="103" spans="1:27">
      <c r="A103" s="434" t="s">
        <v>293</v>
      </c>
      <c r="B103" s="398"/>
      <c r="C103" s="398"/>
      <c r="D103" s="398"/>
      <c r="E103" s="398"/>
      <c r="F103" s="398">
        <v>0</v>
      </c>
      <c r="G103" s="398"/>
      <c r="H103" s="398">
        <v>0</v>
      </c>
      <c r="I103" s="398">
        <v>0</v>
      </c>
      <c r="J103" s="399" t="s">
        <v>56</v>
      </c>
      <c r="K103" s="402" t="s">
        <v>56</v>
      </c>
      <c r="L103" s="398"/>
      <c r="M103" s="398"/>
      <c r="N103" s="398"/>
      <c r="O103" s="398"/>
      <c r="P103" s="398">
        <v>0</v>
      </c>
      <c r="Q103" s="398">
        <v>0</v>
      </c>
      <c r="R103" s="398">
        <v>0</v>
      </c>
      <c r="S103" s="398">
        <v>0</v>
      </c>
      <c r="T103" s="398"/>
      <c r="U103" s="398"/>
      <c r="V103" s="398">
        <f>_xlfn.IFNA(VLOOKUP(A103,[3]進出口值表查詢結果!$C$11:$F$68,4,0),-[4]整車!$B$22)</f>
        <v>0</v>
      </c>
      <c r="W103" s="398">
        <f>_xlfn.IFNA(VLOOKUP(A103,[3]進出口值表查詢結果!$C$11:$F$68,3,0),-[4]整車!$B$22)</f>
        <v>0</v>
      </c>
      <c r="X103" s="398">
        <f>_xlfn.IFNA(VLOOKUP(A103,[5]進出口值表查詢結果!$C$11:$F$68,4,0),-[4]整車!$B$22)</f>
        <v>0</v>
      </c>
      <c r="Y103" s="398">
        <f>_xlfn.IFNA(VLOOKUP(A103,[5]進出口值表查詢結果!$C$11:$F$68,3,0),-[4]整車!$B$22)</f>
        <v>0</v>
      </c>
      <c r="Z103" s="392">
        <f t="shared" si="22"/>
        <v>0</v>
      </c>
      <c r="AA103" s="392">
        <f t="shared" si="23"/>
        <v>0</v>
      </c>
    </row>
    <row r="104" spans="1:27">
      <c r="A104" s="434" t="s">
        <v>294</v>
      </c>
      <c r="B104" s="398"/>
      <c r="C104" s="398"/>
      <c r="D104" s="398"/>
      <c r="E104" s="398"/>
      <c r="F104" s="398">
        <v>0</v>
      </c>
      <c r="G104" s="398"/>
      <c r="H104" s="398">
        <v>0</v>
      </c>
      <c r="I104" s="398">
        <v>0</v>
      </c>
      <c r="J104" s="399" t="s">
        <v>56</v>
      </c>
      <c r="K104" s="402" t="s">
        <v>56</v>
      </c>
      <c r="L104" s="398"/>
      <c r="M104" s="398"/>
      <c r="N104" s="398"/>
      <c r="O104" s="398"/>
      <c r="P104" s="398">
        <v>0</v>
      </c>
      <c r="Q104" s="398">
        <v>0</v>
      </c>
      <c r="R104" s="398">
        <v>0</v>
      </c>
      <c r="S104" s="398">
        <v>0</v>
      </c>
      <c r="T104" s="398"/>
      <c r="U104" s="398"/>
      <c r="V104" s="398">
        <f>_xlfn.IFNA(VLOOKUP(A104,[3]進出口值表查詢結果!$C$11:$F$68,4,0),-[4]整車!$B$22)</f>
        <v>0</v>
      </c>
      <c r="W104" s="398">
        <f>_xlfn.IFNA(VLOOKUP(A104,[3]進出口值表查詢結果!$C$11:$F$68,3,0),-[4]整車!$B$22)</f>
        <v>0</v>
      </c>
      <c r="X104" s="398">
        <f>_xlfn.IFNA(VLOOKUP(A104,[5]進出口值表查詢結果!$C$11:$F$68,4,0),-[4]整車!$B$22)</f>
        <v>0</v>
      </c>
      <c r="Y104" s="398">
        <f>_xlfn.IFNA(VLOOKUP(A104,[5]進出口值表查詢結果!$C$11:$F$68,3,0),-[4]整車!$B$22)</f>
        <v>0</v>
      </c>
      <c r="Z104" s="392">
        <f t="shared" si="22"/>
        <v>0</v>
      </c>
      <c r="AA104" s="392">
        <f t="shared" si="23"/>
        <v>0</v>
      </c>
    </row>
    <row r="105" spans="1:27">
      <c r="A105" s="434" t="s">
        <v>184</v>
      </c>
      <c r="B105" s="398">
        <v>382</v>
      </c>
      <c r="C105" s="398">
        <v>382841</v>
      </c>
      <c r="D105" s="398">
        <v>506</v>
      </c>
      <c r="E105" s="398">
        <v>765722</v>
      </c>
      <c r="F105" s="398">
        <v>527</v>
      </c>
      <c r="G105" s="398">
        <v>600067</v>
      </c>
      <c r="H105" s="398">
        <v>281</v>
      </c>
      <c r="I105" s="398">
        <v>404903</v>
      </c>
      <c r="J105" s="399">
        <v>848</v>
      </c>
      <c r="K105" s="400">
        <v>1410992</v>
      </c>
      <c r="L105" s="398">
        <v>1653</v>
      </c>
      <c r="M105" s="398">
        <v>2346012</v>
      </c>
      <c r="N105" s="412">
        <v>944</v>
      </c>
      <c r="O105" s="412">
        <v>1389114</v>
      </c>
      <c r="P105" s="398">
        <v>509</v>
      </c>
      <c r="Q105" s="398">
        <v>808506</v>
      </c>
      <c r="R105" s="398">
        <v>533</v>
      </c>
      <c r="S105" s="398">
        <v>864334</v>
      </c>
      <c r="T105" s="398">
        <v>159</v>
      </c>
      <c r="U105" s="398">
        <v>215147</v>
      </c>
      <c r="V105" s="398">
        <f>_xlfn.IFNA(VLOOKUP(A105,[3]進出口值表查詢結果!$C$11:$F$68,4,0),-[4]整車!$B$22)</f>
        <v>323</v>
      </c>
      <c r="W105" s="398">
        <f>_xlfn.IFNA(VLOOKUP(A105,[3]進出口值表查詢結果!$C$11:$F$68,3,0),-[4]整車!$B$22)</f>
        <v>284126</v>
      </c>
      <c r="X105" s="398">
        <f>_xlfn.IFNA(VLOOKUP(A105,[5]進出口值表查詢結果!$C$11:$F$68,4,0),-[4]整車!$B$22)</f>
        <v>146</v>
      </c>
      <c r="Y105" s="398">
        <f>_xlfn.IFNA(VLOOKUP(A105,[5]進出口值表查詢結果!$C$11:$F$68,3,0),-[4]整車!$B$22)</f>
        <v>145591</v>
      </c>
      <c r="Z105" s="392">
        <f t="shared" si="22"/>
        <v>6811</v>
      </c>
      <c r="AA105" s="392">
        <f t="shared" si="23"/>
        <v>9617355</v>
      </c>
    </row>
    <row r="106" spans="1:27">
      <c r="A106" s="434" t="s">
        <v>296</v>
      </c>
      <c r="B106" s="398">
        <v>192</v>
      </c>
      <c r="C106" s="398">
        <v>147251</v>
      </c>
      <c r="D106" s="398">
        <v>186</v>
      </c>
      <c r="E106" s="398">
        <v>185042</v>
      </c>
      <c r="F106" s="398">
        <v>10</v>
      </c>
      <c r="G106" s="398">
        <v>16229</v>
      </c>
      <c r="H106" s="398">
        <v>0</v>
      </c>
      <c r="I106" s="398">
        <v>0</v>
      </c>
      <c r="J106" s="399" t="s">
        <v>56</v>
      </c>
      <c r="K106" s="402" t="s">
        <v>56</v>
      </c>
      <c r="L106" s="398">
        <v>204</v>
      </c>
      <c r="M106" s="398">
        <v>355563</v>
      </c>
      <c r="N106" s="412">
        <v>92</v>
      </c>
      <c r="O106" s="412">
        <v>125017</v>
      </c>
      <c r="P106" s="398">
        <v>232</v>
      </c>
      <c r="Q106" s="398">
        <v>213453</v>
      </c>
      <c r="R106" s="398">
        <v>211</v>
      </c>
      <c r="S106" s="398">
        <v>248506</v>
      </c>
      <c r="T106" s="398">
        <v>234</v>
      </c>
      <c r="U106" s="398">
        <v>172701</v>
      </c>
      <c r="V106" s="398">
        <f>_xlfn.IFNA(VLOOKUP(A106,[3]進出口值表查詢結果!$C$11:$F$68,4,0),-[4]整車!$B$22)</f>
        <v>169</v>
      </c>
      <c r="W106" s="398">
        <f>_xlfn.IFNA(VLOOKUP(A106,[3]進出口值表查詢結果!$C$11:$F$68,3,0),-[4]整車!$B$22)</f>
        <v>193761</v>
      </c>
      <c r="X106" s="398">
        <f>_xlfn.IFNA(VLOOKUP(A106,[5]進出口值表查詢結果!$C$11:$F$68,4,0),-[4]整車!$B$22)</f>
        <v>364</v>
      </c>
      <c r="Y106" s="398">
        <f>_xlfn.IFNA(VLOOKUP(A106,[5]進出口值表查詢結果!$C$11:$F$68,3,0),-[4]整車!$B$22)</f>
        <v>300945</v>
      </c>
      <c r="Z106" s="392">
        <f t="shared" si="22"/>
        <v>1894</v>
      </c>
      <c r="AA106" s="392">
        <f t="shared" si="23"/>
        <v>1958468</v>
      </c>
    </row>
    <row r="107" spans="1:27">
      <c r="A107" s="434" t="s">
        <v>297</v>
      </c>
      <c r="B107" s="398">
        <v>781</v>
      </c>
      <c r="C107" s="398">
        <v>548150</v>
      </c>
      <c r="D107" s="398">
        <v>111</v>
      </c>
      <c r="E107" s="398">
        <v>89240</v>
      </c>
      <c r="F107" s="398">
        <v>351</v>
      </c>
      <c r="G107" s="398">
        <v>470294</v>
      </c>
      <c r="H107" s="398">
        <v>198</v>
      </c>
      <c r="I107" s="398">
        <v>307652</v>
      </c>
      <c r="J107" s="399">
        <v>229</v>
      </c>
      <c r="K107" s="400">
        <v>430170</v>
      </c>
      <c r="L107" s="398">
        <v>510</v>
      </c>
      <c r="M107" s="398">
        <v>633446</v>
      </c>
      <c r="N107" s="412">
        <v>1151</v>
      </c>
      <c r="O107" s="412">
        <v>1551960</v>
      </c>
      <c r="P107" s="398">
        <v>889</v>
      </c>
      <c r="Q107" s="398">
        <v>1212809</v>
      </c>
      <c r="R107" s="398">
        <v>540</v>
      </c>
      <c r="S107" s="398">
        <v>582846</v>
      </c>
      <c r="T107" s="398">
        <v>602</v>
      </c>
      <c r="U107" s="398">
        <v>676489</v>
      </c>
      <c r="V107" s="398">
        <f>_xlfn.IFNA(VLOOKUP(A107,[3]進出口值表查詢結果!$C$11:$F$68,4,0),-[4]整車!$B$22)</f>
        <v>546</v>
      </c>
      <c r="W107" s="398">
        <f>_xlfn.IFNA(VLOOKUP(A107,[3]進出口值表查詢結果!$C$11:$F$68,3,0),-[4]整車!$B$22)</f>
        <v>727903</v>
      </c>
      <c r="X107" s="398">
        <f>_xlfn.IFNA(VLOOKUP(A107,[5]進出口值表查詢結果!$C$11:$F$68,4,0),-[4]整車!$B$22)</f>
        <v>233</v>
      </c>
      <c r="Y107" s="398">
        <f>_xlfn.IFNA(VLOOKUP(A107,[5]進出口值表查詢結果!$C$11:$F$68,3,0),-[4]整車!$B$22)</f>
        <v>261722</v>
      </c>
      <c r="Z107" s="392">
        <f t="shared" si="22"/>
        <v>6141</v>
      </c>
      <c r="AA107" s="392">
        <f t="shared" si="23"/>
        <v>7492681</v>
      </c>
    </row>
    <row r="108" spans="1:27">
      <c r="A108" s="434" t="s">
        <v>298</v>
      </c>
      <c r="B108" s="398">
        <v>17</v>
      </c>
      <c r="C108" s="398">
        <v>25258</v>
      </c>
      <c r="D108" s="398"/>
      <c r="E108" s="398"/>
      <c r="F108" s="398">
        <v>35</v>
      </c>
      <c r="G108" s="398">
        <v>25788</v>
      </c>
      <c r="H108" s="398">
        <v>12</v>
      </c>
      <c r="I108" s="398">
        <v>16694</v>
      </c>
      <c r="J108" s="399">
        <v>206</v>
      </c>
      <c r="K108" s="402">
        <v>450652</v>
      </c>
      <c r="L108" s="398">
        <v>105</v>
      </c>
      <c r="M108" s="398">
        <v>123626</v>
      </c>
      <c r="N108" s="398">
        <v>201</v>
      </c>
      <c r="O108" s="412">
        <v>350913</v>
      </c>
      <c r="P108" s="398">
        <v>238</v>
      </c>
      <c r="Q108" s="398">
        <v>267808</v>
      </c>
      <c r="R108" s="398">
        <v>35</v>
      </c>
      <c r="S108" s="398">
        <v>51563</v>
      </c>
      <c r="T108" s="398">
        <v>445</v>
      </c>
      <c r="U108" s="398">
        <v>486920</v>
      </c>
      <c r="V108" s="398">
        <f>_xlfn.IFNA(VLOOKUP(A108,[3]進出口值表查詢結果!$C$11:$F$68,4,0),-[4]整車!$B$22)</f>
        <v>432</v>
      </c>
      <c r="W108" s="398">
        <f>_xlfn.IFNA(VLOOKUP(A108,[3]進出口值表查詢結果!$C$11:$F$68,3,0),-[4]整車!$B$22)</f>
        <v>333448</v>
      </c>
      <c r="X108" s="398">
        <f>_xlfn.IFNA(VLOOKUP(A108,[5]進出口值表查詢結果!$C$11:$F$68,4,0),-[4]整車!$B$22)</f>
        <v>408</v>
      </c>
      <c r="Y108" s="398">
        <f>_xlfn.IFNA(VLOOKUP(A108,[5]進出口值表查詢結果!$C$11:$F$68,3,0),-[4]整車!$B$22)</f>
        <v>492827</v>
      </c>
      <c r="Z108" s="392">
        <f t="shared" si="22"/>
        <v>2134</v>
      </c>
      <c r="AA108" s="392">
        <f t="shared" si="23"/>
        <v>2625497</v>
      </c>
    </row>
    <row r="109" spans="1:27">
      <c r="A109" s="434" t="s">
        <v>393</v>
      </c>
      <c r="B109" s="398">
        <v>21</v>
      </c>
      <c r="C109" s="398">
        <v>26824</v>
      </c>
      <c r="D109" s="398"/>
      <c r="E109" s="398"/>
      <c r="F109" s="398">
        <v>99</v>
      </c>
      <c r="G109" s="398">
        <v>93761</v>
      </c>
      <c r="H109" s="398">
        <v>0</v>
      </c>
      <c r="I109" s="398">
        <v>0</v>
      </c>
      <c r="J109" s="399">
        <v>106</v>
      </c>
      <c r="K109" s="400">
        <v>83461</v>
      </c>
      <c r="L109" s="398">
        <v>38</v>
      </c>
      <c r="M109" s="398">
        <v>42862</v>
      </c>
      <c r="N109" s="412">
        <v>99</v>
      </c>
      <c r="O109" s="412">
        <v>102704</v>
      </c>
      <c r="P109" s="398">
        <v>90</v>
      </c>
      <c r="Q109" s="398">
        <v>90308</v>
      </c>
      <c r="R109" s="398">
        <v>58</v>
      </c>
      <c r="S109" s="398">
        <v>70380</v>
      </c>
      <c r="T109" s="398">
        <v>106</v>
      </c>
      <c r="U109" s="398">
        <v>106953</v>
      </c>
      <c r="V109" s="398">
        <f>_xlfn.IFNA(VLOOKUP(A109,[3]進出口值表查詢結果!$C$11:$F$68,4,0),-[4]整車!$B$22)</f>
        <v>50</v>
      </c>
      <c r="W109" s="398">
        <f>_xlfn.IFNA(VLOOKUP(A109,[3]進出口值表查詢結果!$C$11:$F$68,3,0),-[4]整車!$B$22)</f>
        <v>61248</v>
      </c>
      <c r="X109" s="398">
        <f>_xlfn.IFNA(VLOOKUP(A109,[5]進出口值表查詢結果!$C$11:$F$68,4,0),-[4]整車!$B$22)</f>
        <v>24</v>
      </c>
      <c r="Y109" s="398">
        <f>_xlfn.IFNA(VLOOKUP(A109,[5]進出口值表查詢結果!$C$11:$F$68,3,0),-[4]整車!$B$22)</f>
        <v>4829</v>
      </c>
      <c r="Z109" s="392">
        <f t="shared" si="22"/>
        <v>691</v>
      </c>
      <c r="AA109" s="392">
        <f t="shared" si="23"/>
        <v>683330</v>
      </c>
    </row>
    <row r="110" spans="1:27">
      <c r="A110" s="434" t="s">
        <v>299</v>
      </c>
      <c r="B110" s="398"/>
      <c r="C110" s="398"/>
      <c r="D110" s="398">
        <v>26</v>
      </c>
      <c r="E110" s="398">
        <v>36509</v>
      </c>
      <c r="F110" s="398">
        <v>69</v>
      </c>
      <c r="G110" s="398">
        <v>58115</v>
      </c>
      <c r="H110" s="398">
        <v>0</v>
      </c>
      <c r="I110" s="398">
        <v>0</v>
      </c>
      <c r="J110" s="399" t="s">
        <v>56</v>
      </c>
      <c r="K110" s="402" t="s">
        <v>56</v>
      </c>
      <c r="L110" s="398"/>
      <c r="M110" s="398"/>
      <c r="N110" s="398"/>
      <c r="O110" s="398"/>
      <c r="P110" s="398">
        <v>0</v>
      </c>
      <c r="Q110" s="398">
        <v>0</v>
      </c>
      <c r="R110" s="398">
        <v>0</v>
      </c>
      <c r="S110" s="398">
        <v>0</v>
      </c>
      <c r="T110" s="398"/>
      <c r="U110" s="398"/>
      <c r="V110" s="398">
        <f>_xlfn.IFNA(VLOOKUP(A110,[3]進出口值表查詢結果!$C$11:$F$68,4,0),-[4]整車!$B$22)</f>
        <v>0</v>
      </c>
      <c r="W110" s="398">
        <f>_xlfn.IFNA(VLOOKUP(A110,[3]進出口值表查詢結果!$C$11:$F$68,3,0),-[4]整車!$B$22)</f>
        <v>0</v>
      </c>
      <c r="X110" s="398">
        <f>_xlfn.IFNA(VLOOKUP(A110,[5]進出口值表查詢結果!$C$11:$F$68,4,0),-[4]整車!$B$22)</f>
        <v>0</v>
      </c>
      <c r="Y110" s="398">
        <f>_xlfn.IFNA(VLOOKUP(A110,[5]進出口值表查詢結果!$C$11:$F$68,3,0),-[4]整車!$B$22)</f>
        <v>0</v>
      </c>
      <c r="Z110" s="392">
        <f t="shared" si="22"/>
        <v>95</v>
      </c>
      <c r="AA110" s="392">
        <f t="shared" si="23"/>
        <v>94624</v>
      </c>
    </row>
    <row r="111" spans="1:27">
      <c r="A111" s="434" t="s">
        <v>300</v>
      </c>
      <c r="B111" s="398">
        <v>38</v>
      </c>
      <c r="C111" s="398">
        <v>57613</v>
      </c>
      <c r="D111" s="398">
        <v>239</v>
      </c>
      <c r="E111" s="398">
        <v>192071</v>
      </c>
      <c r="F111" s="398">
        <v>218</v>
      </c>
      <c r="G111" s="398">
        <v>140890</v>
      </c>
      <c r="H111" s="398">
        <v>5</v>
      </c>
      <c r="I111" s="398">
        <v>10500</v>
      </c>
      <c r="J111" s="399">
        <v>175</v>
      </c>
      <c r="K111" s="402">
        <v>220849</v>
      </c>
      <c r="L111" s="398">
        <v>319</v>
      </c>
      <c r="M111" s="398">
        <v>305430</v>
      </c>
      <c r="N111" s="412">
        <v>392</v>
      </c>
      <c r="O111" s="412">
        <v>586309</v>
      </c>
      <c r="P111" s="398">
        <v>106</v>
      </c>
      <c r="Q111" s="398">
        <v>196069</v>
      </c>
      <c r="R111" s="398">
        <v>435</v>
      </c>
      <c r="S111" s="398">
        <v>558493</v>
      </c>
      <c r="T111" s="398">
        <v>345</v>
      </c>
      <c r="U111" s="398">
        <v>422823</v>
      </c>
      <c r="V111" s="398">
        <f>_xlfn.IFNA(VLOOKUP(A111,[3]進出口值表查詢結果!$C$11:$F$68,4,0),-[4]整車!$B$22)</f>
        <v>81</v>
      </c>
      <c r="W111" s="398">
        <f>_xlfn.IFNA(VLOOKUP(A111,[3]進出口值表查詢結果!$C$11:$F$68,3,0),-[4]整車!$B$22)</f>
        <v>132131</v>
      </c>
      <c r="X111" s="398">
        <f>_xlfn.IFNA(VLOOKUP(A111,[5]進出口值表查詢結果!$C$11:$F$68,4,0),-[4]整車!$B$22)</f>
        <v>22</v>
      </c>
      <c r="Y111" s="398">
        <f>_xlfn.IFNA(VLOOKUP(A111,[5]進出口值表查詢結果!$C$11:$F$68,3,0),-[4]整車!$B$22)</f>
        <v>32015</v>
      </c>
      <c r="Z111" s="392">
        <f t="shared" si="22"/>
        <v>2375</v>
      </c>
      <c r="AA111" s="392">
        <f t="shared" si="23"/>
        <v>2855193</v>
      </c>
    </row>
    <row r="112" spans="1:27">
      <c r="A112" s="434" t="s">
        <v>302</v>
      </c>
      <c r="B112" s="398">
        <v>271</v>
      </c>
      <c r="C112" s="398">
        <v>335554</v>
      </c>
      <c r="D112" s="398">
        <v>333</v>
      </c>
      <c r="E112" s="398">
        <v>314324</v>
      </c>
      <c r="F112" s="398">
        <v>378</v>
      </c>
      <c r="G112" s="398">
        <v>429439</v>
      </c>
      <c r="H112" s="398">
        <v>379</v>
      </c>
      <c r="I112" s="398">
        <v>273535</v>
      </c>
      <c r="J112" s="399">
        <v>257</v>
      </c>
      <c r="K112" s="400">
        <v>307852</v>
      </c>
      <c r="L112" s="398">
        <v>224</v>
      </c>
      <c r="M112" s="398">
        <v>305162</v>
      </c>
      <c r="N112" s="412">
        <v>431</v>
      </c>
      <c r="O112" s="412">
        <v>330830</v>
      </c>
      <c r="P112" s="398">
        <v>626</v>
      </c>
      <c r="Q112" s="398">
        <v>920976</v>
      </c>
      <c r="R112" s="398">
        <v>781</v>
      </c>
      <c r="S112" s="398">
        <v>864845</v>
      </c>
      <c r="T112" s="398">
        <v>613</v>
      </c>
      <c r="U112" s="398">
        <v>641240</v>
      </c>
      <c r="V112" s="398">
        <f>_xlfn.IFNA(VLOOKUP(A112,[3]進出口值表查詢結果!$C$11:$F$68,4,0),-[4]整車!$B$22)</f>
        <v>188</v>
      </c>
      <c r="W112" s="398">
        <f>_xlfn.IFNA(VLOOKUP(A112,[3]進出口值表查詢結果!$C$11:$F$68,3,0),-[4]整車!$B$22)</f>
        <v>254834</v>
      </c>
      <c r="X112" s="398">
        <f>_xlfn.IFNA(VLOOKUP(A112,[5]進出口值表查詢結果!$C$11:$F$68,4,0),-[4]整車!$B$22)</f>
        <v>933</v>
      </c>
      <c r="Y112" s="398">
        <f>_xlfn.IFNA(VLOOKUP(A112,[5]進出口值表查詢結果!$C$11:$F$68,3,0),-[4]整車!$B$22)</f>
        <v>495836</v>
      </c>
      <c r="Z112" s="392">
        <f t="shared" si="22"/>
        <v>5414</v>
      </c>
      <c r="AA112" s="392">
        <f t="shared" si="23"/>
        <v>5474427</v>
      </c>
    </row>
    <row r="113" spans="1:27">
      <c r="A113" s="434" t="s">
        <v>303</v>
      </c>
      <c r="B113" s="398"/>
      <c r="C113" s="398"/>
      <c r="D113" s="398">
        <v>64</v>
      </c>
      <c r="E113" s="398">
        <v>60093</v>
      </c>
      <c r="F113" s="398">
        <v>13</v>
      </c>
      <c r="G113" s="398">
        <v>12413</v>
      </c>
      <c r="H113" s="398">
        <v>0</v>
      </c>
      <c r="I113" s="398">
        <v>0</v>
      </c>
      <c r="J113" s="399">
        <v>52</v>
      </c>
      <c r="K113" s="402">
        <v>77514</v>
      </c>
      <c r="L113" s="398">
        <v>0</v>
      </c>
      <c r="M113" s="398">
        <v>0</v>
      </c>
      <c r="N113" s="412">
        <v>105</v>
      </c>
      <c r="O113" s="412">
        <v>127620</v>
      </c>
      <c r="P113" s="398">
        <v>125</v>
      </c>
      <c r="Q113" s="398">
        <v>149169</v>
      </c>
      <c r="R113" s="398">
        <v>27</v>
      </c>
      <c r="S113" s="398">
        <v>36039</v>
      </c>
      <c r="T113" s="398">
        <v>211</v>
      </c>
      <c r="U113" s="398">
        <v>20138</v>
      </c>
      <c r="V113" s="398">
        <f>_xlfn.IFNA(VLOOKUP(A113,[3]進出口值表查詢結果!$C$11:$F$68,4,0),-[4]整車!$B$22)</f>
        <v>0</v>
      </c>
      <c r="W113" s="398">
        <f>_xlfn.IFNA(VLOOKUP(A113,[3]進出口值表查詢結果!$C$11:$F$68,3,0),-[4]整車!$B$22)</f>
        <v>0</v>
      </c>
      <c r="X113" s="398">
        <f>_xlfn.IFNA(VLOOKUP(A113,[5]進出口值表查詢結果!$C$11:$F$68,4,0),-[4]整車!$B$22)</f>
        <v>38</v>
      </c>
      <c r="Y113" s="398">
        <f>_xlfn.IFNA(VLOOKUP(A113,[5]進出口值表查詢結果!$C$11:$F$68,3,0),-[4]整車!$B$22)</f>
        <v>41358</v>
      </c>
      <c r="Z113" s="392">
        <f t="shared" si="22"/>
        <v>635</v>
      </c>
      <c r="AA113" s="392">
        <f t="shared" si="23"/>
        <v>524344</v>
      </c>
    </row>
    <row r="114" spans="1:27">
      <c r="A114" s="434" t="s">
        <v>304</v>
      </c>
      <c r="B114" s="398"/>
      <c r="C114" s="398"/>
      <c r="D114" s="398"/>
      <c r="E114" s="398"/>
      <c r="F114" s="398">
        <v>0</v>
      </c>
      <c r="G114" s="398"/>
      <c r="H114" s="398">
        <v>0</v>
      </c>
      <c r="I114" s="398">
        <v>0</v>
      </c>
      <c r="J114" s="399" t="s">
        <v>56</v>
      </c>
      <c r="K114" s="402" t="s">
        <v>56</v>
      </c>
      <c r="L114" s="398">
        <v>0</v>
      </c>
      <c r="M114" s="398">
        <v>0</v>
      </c>
      <c r="N114" s="398">
        <v>0</v>
      </c>
      <c r="O114" s="398">
        <v>0</v>
      </c>
      <c r="P114" s="398">
        <v>0</v>
      </c>
      <c r="Q114" s="398">
        <v>0</v>
      </c>
      <c r="R114" s="398">
        <v>65</v>
      </c>
      <c r="S114" s="398">
        <v>16882</v>
      </c>
      <c r="T114" s="398"/>
      <c r="U114" s="398"/>
      <c r="V114" s="398">
        <f>_xlfn.IFNA(VLOOKUP(A114,[3]進出口值表查詢結果!$C$11:$F$68,4,0),-[4]整車!$B$22)</f>
        <v>0</v>
      </c>
      <c r="W114" s="398">
        <f>_xlfn.IFNA(VLOOKUP(A114,[3]進出口值表查詢結果!$C$11:$F$68,3,0),-[4]整車!$B$22)</f>
        <v>0</v>
      </c>
      <c r="X114" s="398">
        <f>_xlfn.IFNA(VLOOKUP(A114,[5]進出口值表查詢結果!$C$11:$F$68,4,0),-[4]整車!$B$22)</f>
        <v>0</v>
      </c>
      <c r="Y114" s="398">
        <f>_xlfn.IFNA(VLOOKUP(A114,[5]進出口值表查詢結果!$C$11:$F$68,3,0),-[4]整車!$B$22)</f>
        <v>0</v>
      </c>
      <c r="Z114" s="392">
        <f t="shared" si="22"/>
        <v>65</v>
      </c>
      <c r="AA114" s="392">
        <f t="shared" si="23"/>
        <v>16882</v>
      </c>
    </row>
    <row r="115" spans="1:27">
      <c r="A115" s="434" t="s">
        <v>182</v>
      </c>
      <c r="B115" s="398"/>
      <c r="C115" s="398"/>
      <c r="D115" s="398"/>
      <c r="E115" s="398"/>
      <c r="F115" s="398">
        <v>0</v>
      </c>
      <c r="G115" s="398"/>
      <c r="H115" s="398">
        <v>0</v>
      </c>
      <c r="I115" s="398">
        <v>0</v>
      </c>
      <c r="J115" s="399" t="s">
        <v>56</v>
      </c>
      <c r="K115" s="402" t="s">
        <v>56</v>
      </c>
      <c r="L115" s="398">
        <v>0</v>
      </c>
      <c r="M115" s="398">
        <v>0</v>
      </c>
      <c r="N115" s="412">
        <v>36</v>
      </c>
      <c r="O115" s="412">
        <v>54902</v>
      </c>
      <c r="P115" s="398">
        <v>0</v>
      </c>
      <c r="Q115" s="398">
        <v>0</v>
      </c>
      <c r="R115" s="398">
        <v>59</v>
      </c>
      <c r="S115" s="398">
        <v>60292</v>
      </c>
      <c r="T115" s="398">
        <v>13</v>
      </c>
      <c r="U115" s="398">
        <v>24991</v>
      </c>
      <c r="V115" s="398">
        <f>_xlfn.IFNA(VLOOKUP(A115,[3]進出口值表查詢結果!$C$11:$F$68,4,0),-[4]整車!$B$22)</f>
        <v>0</v>
      </c>
      <c r="W115" s="398">
        <f>_xlfn.IFNA(VLOOKUP(A115,[3]進出口值表查詢結果!$C$11:$F$68,3,0),-[4]整車!$B$22)</f>
        <v>0</v>
      </c>
      <c r="X115" s="398">
        <f>_xlfn.IFNA(VLOOKUP(A115,[5]進出口值表查詢結果!$C$11:$F$68,4,0),-[4]整車!$B$22)</f>
        <v>90</v>
      </c>
      <c r="Y115" s="398">
        <f>_xlfn.IFNA(VLOOKUP(A115,[5]進出口值表查詢結果!$C$11:$F$68,3,0),-[4]整車!$B$22)</f>
        <v>155913</v>
      </c>
      <c r="Z115" s="392">
        <f t="shared" si="22"/>
        <v>198</v>
      </c>
      <c r="AA115" s="392">
        <f t="shared" si="23"/>
        <v>296098</v>
      </c>
    </row>
    <row r="116" spans="1:27">
      <c r="A116" s="434" t="s">
        <v>305</v>
      </c>
      <c r="B116" s="398"/>
      <c r="C116" s="398"/>
      <c r="D116" s="398">
        <v>58</v>
      </c>
      <c r="E116" s="398">
        <v>17155</v>
      </c>
      <c r="F116" s="398">
        <v>0</v>
      </c>
      <c r="G116" s="398"/>
      <c r="H116" s="398">
        <v>0</v>
      </c>
      <c r="I116" s="398">
        <v>0</v>
      </c>
      <c r="J116" s="399" t="s">
        <v>56</v>
      </c>
      <c r="K116" s="402" t="s">
        <v>56</v>
      </c>
      <c r="L116" s="398">
        <v>66</v>
      </c>
      <c r="M116" s="398">
        <v>91388</v>
      </c>
      <c r="N116" s="412">
        <v>93</v>
      </c>
      <c r="O116" s="412">
        <v>28161</v>
      </c>
      <c r="P116" s="398">
        <v>1</v>
      </c>
      <c r="Q116" s="398">
        <v>1898</v>
      </c>
      <c r="R116" s="398">
        <v>0</v>
      </c>
      <c r="S116" s="398">
        <v>0</v>
      </c>
      <c r="T116" s="398">
        <v>70</v>
      </c>
      <c r="U116" s="398">
        <v>76661</v>
      </c>
      <c r="V116" s="398">
        <f>_xlfn.IFNA(VLOOKUP(A116,[3]進出口值表查詢結果!$C$11:$F$68,4,0),-[4]整車!$B$22)</f>
        <v>0</v>
      </c>
      <c r="W116" s="398">
        <f>_xlfn.IFNA(VLOOKUP(A116,[3]進出口值表查詢結果!$C$11:$F$68,3,0),-[4]整車!$B$22)</f>
        <v>0</v>
      </c>
      <c r="X116" s="398">
        <f>_xlfn.IFNA(VLOOKUP(A116,[5]進出口值表查詢結果!$C$11:$F$68,4,0),-[4]整車!$B$22)</f>
        <v>0</v>
      </c>
      <c r="Y116" s="398">
        <f>_xlfn.IFNA(VLOOKUP(A116,[5]進出口值表查詢結果!$C$11:$F$68,3,0),-[4]整車!$B$22)</f>
        <v>0</v>
      </c>
      <c r="Z116" s="392">
        <f t="shared" si="22"/>
        <v>288</v>
      </c>
      <c r="AA116" s="392">
        <f t="shared" si="23"/>
        <v>215263</v>
      </c>
    </row>
    <row r="117" spans="1:27">
      <c r="A117" s="434" t="s">
        <v>306</v>
      </c>
      <c r="B117" s="398">
        <v>91</v>
      </c>
      <c r="C117" s="398">
        <v>105365</v>
      </c>
      <c r="D117" s="398"/>
      <c r="E117" s="398"/>
      <c r="F117" s="398">
        <v>0</v>
      </c>
      <c r="G117" s="398"/>
      <c r="H117" s="398">
        <v>0</v>
      </c>
      <c r="I117" s="398">
        <v>0</v>
      </c>
      <c r="J117" s="399" t="s">
        <v>56</v>
      </c>
      <c r="K117" s="402" t="s">
        <v>56</v>
      </c>
      <c r="L117" s="398">
        <v>0</v>
      </c>
      <c r="M117" s="398">
        <v>0</v>
      </c>
      <c r="N117" s="412">
        <v>92</v>
      </c>
      <c r="O117" s="412">
        <v>98850</v>
      </c>
      <c r="P117" s="398">
        <v>0</v>
      </c>
      <c r="Q117" s="398">
        <v>0</v>
      </c>
      <c r="R117" s="398">
        <v>0</v>
      </c>
      <c r="S117" s="398">
        <v>0</v>
      </c>
      <c r="T117" s="398"/>
      <c r="U117" s="398"/>
      <c r="V117" s="398">
        <f>_xlfn.IFNA(VLOOKUP(A117,[3]進出口值表查詢結果!$C$11:$F$68,4,0),-[4]整車!$B$22)</f>
        <v>22</v>
      </c>
      <c r="W117" s="398">
        <f>_xlfn.IFNA(VLOOKUP(A117,[3]進出口值表查詢結果!$C$11:$F$68,3,0),-[4]整車!$B$22)</f>
        <v>28492</v>
      </c>
      <c r="X117" s="398">
        <f>_xlfn.IFNA(VLOOKUP(A117,[5]進出口值表查詢結果!$C$11:$F$68,4,0),-[4]整車!$B$22)</f>
        <v>0</v>
      </c>
      <c r="Y117" s="398">
        <f>_xlfn.IFNA(VLOOKUP(A117,[5]進出口值表查詢結果!$C$11:$F$68,3,0),-[4]整車!$B$22)</f>
        <v>0</v>
      </c>
      <c r="Z117" s="392">
        <f t="shared" si="22"/>
        <v>205</v>
      </c>
      <c r="AA117" s="392">
        <f t="shared" si="23"/>
        <v>232707</v>
      </c>
    </row>
    <row r="118" spans="1:27">
      <c r="A118" s="434" t="s">
        <v>307</v>
      </c>
      <c r="B118" s="398"/>
      <c r="C118" s="398"/>
      <c r="D118" s="398"/>
      <c r="E118" s="398"/>
      <c r="F118" s="398">
        <v>0</v>
      </c>
      <c r="G118" s="398"/>
      <c r="H118" s="398">
        <v>0</v>
      </c>
      <c r="I118" s="398">
        <v>0</v>
      </c>
      <c r="J118" s="399" t="s">
        <v>56</v>
      </c>
      <c r="K118" s="402" t="s">
        <v>56</v>
      </c>
      <c r="L118" s="398">
        <v>0</v>
      </c>
      <c r="M118" s="398">
        <v>0</v>
      </c>
      <c r="N118" s="398">
        <v>0</v>
      </c>
      <c r="O118" s="398">
        <v>0</v>
      </c>
      <c r="P118" s="398">
        <v>0</v>
      </c>
      <c r="Q118" s="398">
        <v>0</v>
      </c>
      <c r="R118" s="398">
        <v>4</v>
      </c>
      <c r="S118" s="398">
        <v>4008</v>
      </c>
      <c r="T118" s="398"/>
      <c r="U118" s="398"/>
      <c r="V118" s="398">
        <f>_xlfn.IFNA(VLOOKUP(A118,[3]進出口值表查詢結果!$C$11:$F$68,4,0),-[4]整車!$B$22)</f>
        <v>0</v>
      </c>
      <c r="W118" s="398">
        <f>_xlfn.IFNA(VLOOKUP(A118,[3]進出口值表查詢結果!$C$11:$F$68,3,0),-[4]整車!$B$22)</f>
        <v>0</v>
      </c>
      <c r="X118" s="398">
        <f>_xlfn.IFNA(VLOOKUP(A118,[5]進出口值表查詢結果!$C$11:$F$68,4,0),-[4]整車!$B$22)</f>
        <v>0</v>
      </c>
      <c r="Y118" s="398">
        <f>_xlfn.IFNA(VLOOKUP(A118,[5]進出口值表查詢結果!$C$11:$F$68,3,0),-[4]整車!$B$22)</f>
        <v>0</v>
      </c>
      <c r="Z118" s="392">
        <f t="shared" si="22"/>
        <v>4</v>
      </c>
      <c r="AA118" s="392">
        <f t="shared" si="23"/>
        <v>4008</v>
      </c>
    </row>
    <row r="119" spans="1:27">
      <c r="A119" s="434" t="s">
        <v>308</v>
      </c>
      <c r="B119" s="398"/>
      <c r="C119" s="398"/>
      <c r="D119" s="398"/>
      <c r="E119" s="398"/>
      <c r="F119" s="398">
        <v>0</v>
      </c>
      <c r="G119" s="398"/>
      <c r="H119" s="398">
        <v>0</v>
      </c>
      <c r="I119" s="398">
        <v>0</v>
      </c>
      <c r="J119" s="399" t="s">
        <v>56</v>
      </c>
      <c r="K119" s="402" t="s">
        <v>56</v>
      </c>
      <c r="L119" s="398">
        <v>0</v>
      </c>
      <c r="M119" s="398">
        <v>0</v>
      </c>
      <c r="N119" s="398">
        <v>0</v>
      </c>
      <c r="O119" s="398">
        <v>0</v>
      </c>
      <c r="P119" s="398">
        <v>0</v>
      </c>
      <c r="Q119" s="398">
        <v>0</v>
      </c>
      <c r="R119" s="398">
        <v>0</v>
      </c>
      <c r="S119" s="398">
        <v>0</v>
      </c>
      <c r="T119" s="398"/>
      <c r="U119" s="398"/>
      <c r="V119" s="398">
        <f>_xlfn.IFNA(VLOOKUP(A119,[3]進出口值表查詢結果!$C$11:$F$68,4,0),-[4]整車!$B$22)</f>
        <v>0</v>
      </c>
      <c r="W119" s="398">
        <f>_xlfn.IFNA(VLOOKUP(A119,[3]進出口值表查詢結果!$C$11:$F$68,3,0),-[4]整車!$B$22)</f>
        <v>0</v>
      </c>
      <c r="X119" s="398">
        <f>_xlfn.IFNA(VLOOKUP(A119,[5]進出口值表查詢結果!$C$11:$F$68,4,0),-[4]整車!$B$22)</f>
        <v>0</v>
      </c>
      <c r="Y119" s="398">
        <f>_xlfn.IFNA(VLOOKUP(A119,[5]進出口值表查詢結果!$C$11:$F$68,3,0),-[4]整車!$B$22)</f>
        <v>0</v>
      </c>
      <c r="Z119" s="392">
        <f t="shared" si="22"/>
        <v>0</v>
      </c>
      <c r="AA119" s="392">
        <f t="shared" si="23"/>
        <v>0</v>
      </c>
    </row>
    <row r="120" spans="1:27">
      <c r="A120" s="434" t="s">
        <v>394</v>
      </c>
      <c r="B120" s="398">
        <v>30</v>
      </c>
      <c r="C120" s="398">
        <v>47684</v>
      </c>
      <c r="D120" s="398">
        <v>18</v>
      </c>
      <c r="E120" s="398">
        <v>21652</v>
      </c>
      <c r="F120" s="398">
        <v>40</v>
      </c>
      <c r="G120" s="398">
        <v>80054</v>
      </c>
      <c r="H120" s="398">
        <v>31</v>
      </c>
      <c r="I120" s="398">
        <v>62073</v>
      </c>
      <c r="J120" s="399" t="s">
        <v>56</v>
      </c>
      <c r="K120" s="402" t="s">
        <v>56</v>
      </c>
      <c r="L120" s="398">
        <v>93</v>
      </c>
      <c r="M120" s="398">
        <v>149531</v>
      </c>
      <c r="N120" s="412">
        <v>44</v>
      </c>
      <c r="O120" s="412">
        <v>69675</v>
      </c>
      <c r="P120" s="398">
        <v>115</v>
      </c>
      <c r="Q120" s="398">
        <v>177702</v>
      </c>
      <c r="R120" s="398">
        <v>11</v>
      </c>
      <c r="S120" s="398">
        <v>29144</v>
      </c>
      <c r="T120" s="398">
        <v>86</v>
      </c>
      <c r="U120" s="398">
        <v>116179</v>
      </c>
      <c r="V120" s="398">
        <f>_xlfn.IFNA(VLOOKUP(A120,[3]進出口值表查詢結果!$C$11:$F$68,4,0),-[4]整車!$B$22)</f>
        <v>1</v>
      </c>
      <c r="W120" s="398">
        <f>_xlfn.IFNA(VLOOKUP(A120,[3]進出口值表查詢結果!$C$11:$F$68,3,0),-[4]整車!$B$22)</f>
        <v>3605</v>
      </c>
      <c r="X120" s="398">
        <f>_xlfn.IFNA(VLOOKUP(A120,[5]進出口值表查詢結果!$C$11:$F$68,4,0),-[4]整車!$B$22)</f>
        <v>246</v>
      </c>
      <c r="Y120" s="398">
        <f>_xlfn.IFNA(VLOOKUP(A120,[5]進出口值表查詢結果!$C$11:$F$68,3,0),-[4]整車!$B$22)</f>
        <v>224562</v>
      </c>
      <c r="Z120" s="392">
        <f t="shared" si="22"/>
        <v>715</v>
      </c>
      <c r="AA120" s="392">
        <f t="shared" si="23"/>
        <v>981861</v>
      </c>
    </row>
    <row r="121" spans="1:27">
      <c r="A121" s="434" t="s">
        <v>309</v>
      </c>
      <c r="B121" s="398"/>
      <c r="C121" s="398"/>
      <c r="D121" s="398"/>
      <c r="E121" s="398"/>
      <c r="F121" s="398">
        <v>0</v>
      </c>
      <c r="G121" s="398"/>
      <c r="H121" s="398">
        <v>0</v>
      </c>
      <c r="I121" s="398">
        <v>0</v>
      </c>
      <c r="J121" s="399" t="s">
        <v>56</v>
      </c>
      <c r="K121" s="402" t="s">
        <v>56</v>
      </c>
      <c r="L121" s="398">
        <v>0</v>
      </c>
      <c r="M121" s="398">
        <v>0</v>
      </c>
      <c r="N121" s="398">
        <v>0</v>
      </c>
      <c r="O121" s="398">
        <v>0</v>
      </c>
      <c r="P121" s="398">
        <v>0</v>
      </c>
      <c r="Q121" s="398">
        <v>0</v>
      </c>
      <c r="R121" s="398">
        <v>0</v>
      </c>
      <c r="S121" s="398">
        <v>0</v>
      </c>
      <c r="T121" s="398"/>
      <c r="U121" s="398"/>
      <c r="V121" s="398">
        <f>_xlfn.IFNA(VLOOKUP(A121,[3]進出口值表查詢結果!$C$11:$F$68,4,0),-[4]整車!$B$22)</f>
        <v>0</v>
      </c>
      <c r="W121" s="398">
        <f>_xlfn.IFNA(VLOOKUP(A121,[3]進出口值表查詢結果!$C$11:$F$68,3,0),-[4]整車!$B$22)</f>
        <v>0</v>
      </c>
      <c r="X121" s="398">
        <f>_xlfn.IFNA(VLOOKUP(A121,[5]進出口值表查詢結果!$C$11:$F$68,4,0),-[4]整車!$B$22)</f>
        <v>0</v>
      </c>
      <c r="Y121" s="398">
        <f>_xlfn.IFNA(VLOOKUP(A121,[5]進出口值表查詢結果!$C$11:$F$68,3,0),-[4]整車!$B$22)</f>
        <v>0</v>
      </c>
      <c r="Z121" s="392">
        <f t="shared" si="22"/>
        <v>0</v>
      </c>
      <c r="AA121" s="392">
        <f t="shared" si="23"/>
        <v>0</v>
      </c>
    </row>
    <row r="122" spans="1:27">
      <c r="A122" s="434" t="s">
        <v>310</v>
      </c>
      <c r="B122" s="398"/>
      <c r="C122" s="398"/>
      <c r="D122" s="398"/>
      <c r="E122" s="398"/>
      <c r="F122" s="398">
        <v>0</v>
      </c>
      <c r="G122" s="398"/>
      <c r="H122" s="398">
        <v>0</v>
      </c>
      <c r="I122" s="398">
        <v>0</v>
      </c>
      <c r="J122" s="399" t="s">
        <v>56</v>
      </c>
      <c r="K122" s="402" t="s">
        <v>56</v>
      </c>
      <c r="L122" s="398">
        <v>0</v>
      </c>
      <c r="M122" s="398">
        <v>0</v>
      </c>
      <c r="N122" s="398">
        <v>0</v>
      </c>
      <c r="O122" s="398">
        <v>0</v>
      </c>
      <c r="P122" s="398">
        <v>0</v>
      </c>
      <c r="Q122" s="398">
        <v>0</v>
      </c>
      <c r="R122" s="398">
        <v>0</v>
      </c>
      <c r="S122" s="398">
        <v>0</v>
      </c>
      <c r="T122" s="398"/>
      <c r="U122" s="398"/>
      <c r="V122" s="398">
        <f>_xlfn.IFNA(VLOOKUP(A122,[3]進出口值表查詢結果!$C$11:$F$68,4,0),-[4]整車!$B$22)</f>
        <v>0</v>
      </c>
      <c r="W122" s="398">
        <f>_xlfn.IFNA(VLOOKUP(A122,[3]進出口值表查詢結果!$C$11:$F$68,3,0),-[4]整車!$B$22)</f>
        <v>0</v>
      </c>
      <c r="X122" s="398">
        <f>_xlfn.IFNA(VLOOKUP(A122,[5]進出口值表查詢結果!$C$11:$F$68,4,0),-[4]整車!$B$22)</f>
        <v>0</v>
      </c>
      <c r="Y122" s="398">
        <f>_xlfn.IFNA(VLOOKUP(A122,[5]進出口值表查詢結果!$C$11:$F$68,3,0),-[4]整車!$B$22)</f>
        <v>0</v>
      </c>
      <c r="Z122" s="392">
        <f t="shared" si="22"/>
        <v>0</v>
      </c>
      <c r="AA122" s="392">
        <f t="shared" si="23"/>
        <v>0</v>
      </c>
    </row>
    <row r="123" spans="1:27">
      <c r="A123" s="434" t="s">
        <v>311</v>
      </c>
      <c r="B123" s="398"/>
      <c r="C123" s="398"/>
      <c r="D123" s="398"/>
      <c r="E123" s="398"/>
      <c r="F123" s="398">
        <v>0</v>
      </c>
      <c r="G123" s="398"/>
      <c r="H123" s="398">
        <v>0</v>
      </c>
      <c r="I123" s="398">
        <v>0</v>
      </c>
      <c r="J123" s="399" t="s">
        <v>56</v>
      </c>
      <c r="K123" s="402" t="s">
        <v>56</v>
      </c>
      <c r="L123" s="398">
        <v>0</v>
      </c>
      <c r="M123" s="398">
        <v>0</v>
      </c>
      <c r="N123" s="398">
        <v>0</v>
      </c>
      <c r="O123" s="398">
        <v>0</v>
      </c>
      <c r="P123" s="398">
        <v>0</v>
      </c>
      <c r="Q123" s="398">
        <v>0</v>
      </c>
      <c r="R123" s="398">
        <v>0</v>
      </c>
      <c r="S123" s="398">
        <v>0</v>
      </c>
      <c r="T123" s="398"/>
      <c r="U123" s="398"/>
      <c r="V123" s="398">
        <f>_xlfn.IFNA(VLOOKUP(A123,[3]進出口值表查詢結果!$C$11:$F$68,4,0),-[4]整車!$B$22)</f>
        <v>0</v>
      </c>
      <c r="W123" s="398">
        <f>_xlfn.IFNA(VLOOKUP(A123,[3]進出口值表查詢結果!$C$11:$F$68,3,0),-[4]整車!$B$22)</f>
        <v>0</v>
      </c>
      <c r="X123" s="398">
        <f>_xlfn.IFNA(VLOOKUP(A123,[5]進出口值表查詢結果!$C$11:$F$68,4,0),-[4]整車!$B$22)</f>
        <v>0</v>
      </c>
      <c r="Y123" s="398">
        <f>_xlfn.IFNA(VLOOKUP(A123,[5]進出口值表查詢結果!$C$11:$F$68,3,0),-[4]整車!$B$22)</f>
        <v>0</v>
      </c>
      <c r="Z123" s="392">
        <f t="shared" si="22"/>
        <v>0</v>
      </c>
      <c r="AA123" s="392">
        <f t="shared" si="23"/>
        <v>0</v>
      </c>
    </row>
    <row r="124" spans="1:27">
      <c r="A124" s="434" t="s">
        <v>312</v>
      </c>
      <c r="B124" s="398"/>
      <c r="C124" s="398"/>
      <c r="D124" s="398"/>
      <c r="E124" s="398"/>
      <c r="F124" s="398">
        <v>0</v>
      </c>
      <c r="G124" s="398"/>
      <c r="H124" s="398">
        <v>0</v>
      </c>
      <c r="I124" s="398">
        <v>0</v>
      </c>
      <c r="J124" s="399" t="s">
        <v>56</v>
      </c>
      <c r="K124" s="402" t="s">
        <v>56</v>
      </c>
      <c r="L124" s="398">
        <v>0</v>
      </c>
      <c r="M124" s="398">
        <v>0</v>
      </c>
      <c r="N124" s="398">
        <v>0</v>
      </c>
      <c r="O124" s="398">
        <v>0</v>
      </c>
      <c r="P124" s="398">
        <v>0</v>
      </c>
      <c r="Q124" s="398">
        <v>0</v>
      </c>
      <c r="R124" s="398">
        <v>0</v>
      </c>
      <c r="S124" s="398">
        <v>0</v>
      </c>
      <c r="T124" s="398"/>
      <c r="U124" s="398"/>
      <c r="V124" s="398">
        <f>_xlfn.IFNA(VLOOKUP(A124,[3]進出口值表查詢結果!$C$11:$F$68,4,0),-[4]整車!$B$22)</f>
        <v>0</v>
      </c>
      <c r="W124" s="398">
        <f>_xlfn.IFNA(VLOOKUP(A124,[3]進出口值表查詢結果!$C$11:$F$68,3,0),-[4]整車!$B$22)</f>
        <v>0</v>
      </c>
      <c r="X124" s="398">
        <f>_xlfn.IFNA(VLOOKUP(A124,[5]進出口值表查詢結果!$C$11:$F$68,4,0),-[4]整車!$B$22)</f>
        <v>0</v>
      </c>
      <c r="Y124" s="398">
        <f>_xlfn.IFNA(VLOOKUP(A124,[5]進出口值表查詢結果!$C$11:$F$68,3,0),-[4]整車!$B$22)</f>
        <v>0</v>
      </c>
      <c r="Z124" s="392">
        <f t="shared" si="22"/>
        <v>0</v>
      </c>
      <c r="AA124" s="392">
        <f t="shared" si="23"/>
        <v>0</v>
      </c>
    </row>
    <row r="125" spans="1:27">
      <c r="A125" s="434" t="s">
        <v>313</v>
      </c>
      <c r="B125" s="398"/>
      <c r="C125" s="398"/>
      <c r="D125" s="398"/>
      <c r="E125" s="398"/>
      <c r="F125" s="398">
        <v>0</v>
      </c>
      <c r="G125" s="398"/>
      <c r="H125" s="398">
        <v>0</v>
      </c>
      <c r="I125" s="398">
        <v>0</v>
      </c>
      <c r="J125" s="399" t="s">
        <v>56</v>
      </c>
      <c r="K125" s="402" t="s">
        <v>56</v>
      </c>
      <c r="L125" s="398">
        <v>0</v>
      </c>
      <c r="M125" s="398">
        <v>0</v>
      </c>
      <c r="N125" s="398">
        <v>0</v>
      </c>
      <c r="O125" s="398">
        <v>0</v>
      </c>
      <c r="P125" s="398">
        <v>0</v>
      </c>
      <c r="Q125" s="398">
        <v>0</v>
      </c>
      <c r="R125" s="398">
        <v>0</v>
      </c>
      <c r="S125" s="398">
        <v>0</v>
      </c>
      <c r="T125" s="398"/>
      <c r="U125" s="398"/>
      <c r="V125" s="398">
        <f>_xlfn.IFNA(VLOOKUP(A125,[3]進出口值表查詢結果!$C$11:$F$68,4,0),-[4]整車!$B$22)</f>
        <v>0</v>
      </c>
      <c r="W125" s="398">
        <f>_xlfn.IFNA(VLOOKUP(A125,[3]進出口值表查詢結果!$C$11:$F$68,3,0),-[4]整車!$B$22)</f>
        <v>0</v>
      </c>
      <c r="X125" s="398">
        <f>_xlfn.IFNA(VLOOKUP(A125,[5]進出口值表查詢結果!$C$11:$F$68,4,0),-[4]整車!$B$22)</f>
        <v>0</v>
      </c>
      <c r="Y125" s="398">
        <f>_xlfn.IFNA(VLOOKUP(A125,[5]進出口值表查詢結果!$C$11:$F$68,3,0),-[4]整車!$B$22)</f>
        <v>0</v>
      </c>
      <c r="Z125" s="392">
        <f t="shared" si="22"/>
        <v>0</v>
      </c>
      <c r="AA125" s="392">
        <f t="shared" si="23"/>
        <v>0</v>
      </c>
    </row>
    <row r="126" spans="1:27">
      <c r="A126" s="434" t="s">
        <v>188</v>
      </c>
      <c r="B126" s="398"/>
      <c r="C126" s="398"/>
      <c r="D126" s="398"/>
      <c r="E126" s="398"/>
      <c r="F126" s="398">
        <v>0</v>
      </c>
      <c r="G126" s="398"/>
      <c r="H126" s="398">
        <v>0</v>
      </c>
      <c r="I126" s="398">
        <v>0</v>
      </c>
      <c r="J126" s="399" t="s">
        <v>56</v>
      </c>
      <c r="K126" s="402" t="s">
        <v>56</v>
      </c>
      <c r="L126" s="398">
        <v>0</v>
      </c>
      <c r="M126" s="398">
        <v>0</v>
      </c>
      <c r="N126" s="398">
        <v>0</v>
      </c>
      <c r="O126" s="398">
        <v>0</v>
      </c>
      <c r="P126" s="398">
        <v>0</v>
      </c>
      <c r="Q126" s="398">
        <v>0</v>
      </c>
      <c r="R126" s="398">
        <v>0</v>
      </c>
      <c r="S126" s="398">
        <v>0</v>
      </c>
      <c r="T126" s="398"/>
      <c r="U126" s="398"/>
      <c r="V126" s="398">
        <f>_xlfn.IFNA(VLOOKUP(A126,[3]進出口值表查詢結果!$C$11:$F$68,4,0),-[4]整車!$B$22)</f>
        <v>0</v>
      </c>
      <c r="W126" s="398">
        <f>_xlfn.IFNA(VLOOKUP(A126,[3]進出口值表查詢結果!$C$11:$F$68,3,0),-[4]整車!$B$22)</f>
        <v>0</v>
      </c>
      <c r="X126" s="398">
        <f>_xlfn.IFNA(VLOOKUP(A126,[5]進出口值表查詢結果!$C$11:$F$68,4,0),-[4]整車!$B$22)</f>
        <v>0</v>
      </c>
      <c r="Y126" s="398">
        <f>_xlfn.IFNA(VLOOKUP(A126,[5]進出口值表查詢結果!$C$11:$F$68,3,0),-[4]整車!$B$22)</f>
        <v>0</v>
      </c>
      <c r="Z126" s="392">
        <f t="shared" si="22"/>
        <v>0</v>
      </c>
      <c r="AA126" s="392">
        <f t="shared" si="23"/>
        <v>0</v>
      </c>
    </row>
    <row r="127" spans="1:27">
      <c r="A127" s="434" t="s">
        <v>314</v>
      </c>
      <c r="B127" s="398">
        <v>111</v>
      </c>
      <c r="C127" s="398">
        <v>54549</v>
      </c>
      <c r="D127" s="398">
        <v>92</v>
      </c>
      <c r="E127" s="398">
        <v>90640</v>
      </c>
      <c r="F127" s="398">
        <v>82</v>
      </c>
      <c r="G127" s="398">
        <v>150017</v>
      </c>
      <c r="H127" s="398">
        <v>0</v>
      </c>
      <c r="I127" s="398">
        <v>0</v>
      </c>
      <c r="J127" s="399">
        <v>84</v>
      </c>
      <c r="K127" s="400">
        <v>97060</v>
      </c>
      <c r="L127" s="398">
        <v>0</v>
      </c>
      <c r="M127" s="398">
        <v>0</v>
      </c>
      <c r="N127" s="412">
        <v>68</v>
      </c>
      <c r="O127" s="412">
        <v>99493</v>
      </c>
      <c r="P127" s="398">
        <v>0</v>
      </c>
      <c r="Q127" s="398">
        <v>0</v>
      </c>
      <c r="R127" s="398">
        <v>0</v>
      </c>
      <c r="S127" s="398">
        <v>0</v>
      </c>
      <c r="T127" s="398">
        <v>65</v>
      </c>
      <c r="U127" s="398">
        <v>92599</v>
      </c>
      <c r="V127" s="398">
        <f>_xlfn.IFNA(VLOOKUP(A127,[3]進出口值表查詢結果!$C$11:$F$68,4,0),-[4]整車!$B$22)</f>
        <v>0</v>
      </c>
      <c r="W127" s="398">
        <f>_xlfn.IFNA(VLOOKUP(A127,[3]進出口值表查詢結果!$C$11:$F$68,3,0),-[4]整車!$B$22)</f>
        <v>0</v>
      </c>
      <c r="X127" s="398">
        <f>_xlfn.IFNA(VLOOKUP(A127,[5]進出口值表查詢結果!$C$11:$F$68,4,0),-[4]整車!$B$22)</f>
        <v>184</v>
      </c>
      <c r="Y127" s="398">
        <f>_xlfn.IFNA(VLOOKUP(A127,[5]進出口值表查詢結果!$C$11:$F$68,3,0),-[4]整車!$B$22)</f>
        <v>163785</v>
      </c>
      <c r="Z127" s="392">
        <f t="shared" si="22"/>
        <v>686</v>
      </c>
      <c r="AA127" s="392">
        <f t="shared" si="23"/>
        <v>748143</v>
      </c>
    </row>
    <row r="128" spans="1:27">
      <c r="A128" s="434" t="s">
        <v>315</v>
      </c>
      <c r="B128" s="398"/>
      <c r="C128" s="398"/>
      <c r="D128" s="398"/>
      <c r="E128" s="398"/>
      <c r="F128" s="398">
        <v>0</v>
      </c>
      <c r="G128" s="398"/>
      <c r="H128" s="398">
        <v>0</v>
      </c>
      <c r="I128" s="398">
        <v>0</v>
      </c>
      <c r="J128" s="399" t="s">
        <v>56</v>
      </c>
      <c r="K128" s="402" t="s">
        <v>56</v>
      </c>
      <c r="L128" s="398">
        <v>0</v>
      </c>
      <c r="M128" s="398">
        <v>0</v>
      </c>
      <c r="N128" s="398">
        <v>0</v>
      </c>
      <c r="O128" s="398">
        <v>0</v>
      </c>
      <c r="P128" s="398">
        <v>0</v>
      </c>
      <c r="Q128" s="398">
        <v>0</v>
      </c>
      <c r="R128" s="398">
        <v>0</v>
      </c>
      <c r="S128" s="398">
        <v>0</v>
      </c>
      <c r="T128" s="398"/>
      <c r="U128" s="398"/>
      <c r="V128" s="398">
        <f>_xlfn.IFNA(VLOOKUP(A128,[3]進出口值表查詢結果!$C$11:$F$68,4,0),-[4]整車!$B$22)</f>
        <v>0</v>
      </c>
      <c r="W128" s="398">
        <f>_xlfn.IFNA(VLOOKUP(A128,[3]進出口值表查詢結果!$C$11:$F$68,3,0),-[4]整車!$B$22)</f>
        <v>0</v>
      </c>
      <c r="X128" s="398">
        <f>_xlfn.IFNA(VLOOKUP(A128,[5]進出口值表查詢結果!$C$11:$F$68,4,0),-[4]整車!$B$22)</f>
        <v>0</v>
      </c>
      <c r="Y128" s="398">
        <f>_xlfn.IFNA(VLOOKUP(A128,[5]進出口值表查詢結果!$C$11:$F$68,3,0),-[4]整車!$B$22)</f>
        <v>0</v>
      </c>
      <c r="Z128" s="392">
        <f t="shared" si="22"/>
        <v>0</v>
      </c>
      <c r="AA128" s="392">
        <f t="shared" si="23"/>
        <v>0</v>
      </c>
    </row>
    <row r="129" spans="1:27">
      <c r="A129" s="434" t="s">
        <v>316</v>
      </c>
      <c r="B129" s="398"/>
      <c r="C129" s="398"/>
      <c r="D129" s="398"/>
      <c r="E129" s="398"/>
      <c r="F129" s="398">
        <v>0</v>
      </c>
      <c r="G129" s="398"/>
      <c r="H129" s="398">
        <v>0</v>
      </c>
      <c r="I129" s="398">
        <v>0</v>
      </c>
      <c r="J129" s="399" t="s">
        <v>56</v>
      </c>
      <c r="K129" s="402" t="s">
        <v>56</v>
      </c>
      <c r="L129" s="398">
        <v>0</v>
      </c>
      <c r="M129" s="398">
        <v>0</v>
      </c>
      <c r="N129" s="398">
        <v>0</v>
      </c>
      <c r="O129" s="398">
        <v>0</v>
      </c>
      <c r="P129" s="398">
        <v>0</v>
      </c>
      <c r="Q129" s="398">
        <v>0</v>
      </c>
      <c r="R129" s="398">
        <v>0</v>
      </c>
      <c r="S129" s="398">
        <v>0</v>
      </c>
      <c r="T129" s="398"/>
      <c r="U129" s="398"/>
      <c r="V129" s="398">
        <f>_xlfn.IFNA(VLOOKUP(A129,[3]進出口值表查詢結果!$C$11:$F$68,4,0),-[4]整車!$B$22)</f>
        <v>0</v>
      </c>
      <c r="W129" s="398">
        <f>_xlfn.IFNA(VLOOKUP(A129,[3]進出口值表查詢結果!$C$11:$F$68,3,0),-[4]整車!$B$22)</f>
        <v>0</v>
      </c>
      <c r="X129" s="398">
        <f>_xlfn.IFNA(VLOOKUP(A129,[5]進出口值表查詢結果!$C$11:$F$68,4,0),-[4]整車!$B$22)</f>
        <v>0</v>
      </c>
      <c r="Y129" s="398">
        <f>_xlfn.IFNA(VLOOKUP(A129,[5]進出口值表查詢結果!$C$11:$F$68,3,0),-[4]整車!$B$22)</f>
        <v>0</v>
      </c>
      <c r="Z129" s="392">
        <f t="shared" si="22"/>
        <v>0</v>
      </c>
      <c r="AA129" s="392">
        <f t="shared" si="23"/>
        <v>0</v>
      </c>
    </row>
    <row r="130" spans="1:27">
      <c r="A130" s="397" t="s">
        <v>317</v>
      </c>
      <c r="B130" s="398"/>
      <c r="C130" s="398"/>
      <c r="D130" s="398"/>
      <c r="E130" s="398"/>
      <c r="F130" s="398">
        <v>0</v>
      </c>
      <c r="G130" s="398"/>
      <c r="H130" s="398">
        <v>0</v>
      </c>
      <c r="I130" s="398">
        <v>0</v>
      </c>
      <c r="J130" s="399" t="s">
        <v>56</v>
      </c>
      <c r="K130" s="402" t="s">
        <v>56</v>
      </c>
      <c r="L130" s="398">
        <v>0</v>
      </c>
      <c r="M130" s="398">
        <v>0</v>
      </c>
      <c r="N130" s="398">
        <v>0</v>
      </c>
      <c r="O130" s="398">
        <v>0</v>
      </c>
      <c r="P130" s="398">
        <v>0</v>
      </c>
      <c r="Q130" s="398">
        <v>0</v>
      </c>
      <c r="R130" s="398">
        <v>0</v>
      </c>
      <c r="S130" s="398">
        <v>0</v>
      </c>
      <c r="T130" s="398"/>
      <c r="U130" s="398"/>
      <c r="V130" s="398">
        <f>_xlfn.IFNA(VLOOKUP(A130,[3]進出口值表查詢結果!$C$11:$F$68,4,0),-[4]整車!$B$22)</f>
        <v>0</v>
      </c>
      <c r="W130" s="398">
        <f>_xlfn.IFNA(VLOOKUP(A130,[3]進出口值表查詢結果!$C$11:$F$68,3,0),-[4]整車!$B$22)</f>
        <v>0</v>
      </c>
      <c r="X130" s="398">
        <f>_xlfn.IFNA(VLOOKUP(A130,[5]進出口值表查詢結果!$C$11:$F$68,4,0),-[4]整車!$B$22)</f>
        <v>0</v>
      </c>
      <c r="Y130" s="398">
        <f>_xlfn.IFNA(VLOOKUP(A130,[5]進出口值表查詢結果!$C$11:$F$68,3,0),-[4]整車!$B$22)</f>
        <v>0</v>
      </c>
      <c r="Z130" s="392">
        <f t="shared" si="22"/>
        <v>0</v>
      </c>
      <c r="AA130" s="392">
        <f t="shared" si="23"/>
        <v>0</v>
      </c>
    </row>
    <row r="131" spans="1:27">
      <c r="A131" s="434" t="s">
        <v>318</v>
      </c>
      <c r="B131" s="398"/>
      <c r="C131" s="398"/>
      <c r="D131" s="398"/>
      <c r="E131" s="398"/>
      <c r="F131" s="398">
        <v>0</v>
      </c>
      <c r="G131" s="398"/>
      <c r="H131" s="398">
        <v>0</v>
      </c>
      <c r="I131" s="398">
        <v>0</v>
      </c>
      <c r="J131" s="399" t="s">
        <v>56</v>
      </c>
      <c r="K131" s="402" t="s">
        <v>56</v>
      </c>
      <c r="L131" s="398">
        <v>0</v>
      </c>
      <c r="M131" s="398">
        <v>0</v>
      </c>
      <c r="N131" s="398">
        <v>0</v>
      </c>
      <c r="O131" s="398">
        <v>0</v>
      </c>
      <c r="P131" s="398">
        <v>0</v>
      </c>
      <c r="Q131" s="398">
        <v>0</v>
      </c>
      <c r="R131" s="398">
        <v>0</v>
      </c>
      <c r="S131" s="398">
        <v>0</v>
      </c>
      <c r="T131" s="398"/>
      <c r="U131" s="398"/>
      <c r="V131" s="398">
        <f>_xlfn.IFNA(VLOOKUP(A131,[3]進出口值表查詢結果!$C$11:$F$68,4,0),-[4]整車!$B$22)</f>
        <v>0</v>
      </c>
      <c r="W131" s="398">
        <f>_xlfn.IFNA(VLOOKUP(A131,[3]進出口值表查詢結果!$C$11:$F$68,3,0),-[4]整車!$B$22)</f>
        <v>0</v>
      </c>
      <c r="X131" s="398">
        <f>_xlfn.IFNA(VLOOKUP(A131,[5]進出口值表查詢結果!$C$11:$F$68,4,0),-[4]整車!$B$22)</f>
        <v>0</v>
      </c>
      <c r="Y131" s="398">
        <f>_xlfn.IFNA(VLOOKUP(A131,[5]進出口值表查詢結果!$C$11:$F$68,3,0),-[4]整車!$B$22)</f>
        <v>0</v>
      </c>
      <c r="Z131" s="392">
        <f t="shared" si="22"/>
        <v>0</v>
      </c>
      <c r="AA131" s="392">
        <f t="shared" si="23"/>
        <v>0</v>
      </c>
    </row>
    <row r="132" spans="1:27">
      <c r="A132" s="434" t="s">
        <v>319</v>
      </c>
      <c r="B132" s="398"/>
      <c r="C132" s="398"/>
      <c r="D132" s="398"/>
      <c r="E132" s="398"/>
      <c r="F132" s="398">
        <v>0</v>
      </c>
      <c r="G132" s="398"/>
      <c r="H132" s="398">
        <v>0</v>
      </c>
      <c r="I132" s="398">
        <v>0</v>
      </c>
      <c r="J132" s="399" t="s">
        <v>56</v>
      </c>
      <c r="K132" s="402" t="s">
        <v>56</v>
      </c>
      <c r="L132" s="398">
        <v>0</v>
      </c>
      <c r="M132" s="398">
        <v>0</v>
      </c>
      <c r="N132" s="398">
        <v>0</v>
      </c>
      <c r="O132" s="398">
        <v>0</v>
      </c>
      <c r="P132" s="398">
        <v>0</v>
      </c>
      <c r="Q132" s="398">
        <v>0</v>
      </c>
      <c r="R132" s="398">
        <v>0</v>
      </c>
      <c r="S132" s="398">
        <v>0</v>
      </c>
      <c r="T132" s="398"/>
      <c r="U132" s="398"/>
      <c r="V132" s="398">
        <f>_xlfn.IFNA(VLOOKUP(A132,[3]進出口值表查詢結果!$C$11:$F$68,4,0),-[4]整車!$B$22)</f>
        <v>0</v>
      </c>
      <c r="W132" s="398">
        <f>_xlfn.IFNA(VLOOKUP(A132,[3]進出口值表查詢結果!$C$11:$F$68,3,0),-[4]整車!$B$22)</f>
        <v>0</v>
      </c>
      <c r="X132" s="398">
        <f>_xlfn.IFNA(VLOOKUP(A132,[5]進出口值表查詢結果!$C$11:$F$68,4,0),-[4]整車!$B$22)</f>
        <v>0</v>
      </c>
      <c r="Y132" s="398">
        <f>_xlfn.IFNA(VLOOKUP(A132,[5]進出口值表查詢結果!$C$11:$F$68,3,0),-[4]整車!$B$22)</f>
        <v>0</v>
      </c>
      <c r="Z132" s="392">
        <f t="shared" si="22"/>
        <v>0</v>
      </c>
      <c r="AA132" s="392">
        <f t="shared" si="23"/>
        <v>0</v>
      </c>
    </row>
    <row r="133" spans="1:27">
      <c r="A133" s="434" t="s">
        <v>320</v>
      </c>
      <c r="B133" s="398"/>
      <c r="C133" s="398"/>
      <c r="D133" s="398"/>
      <c r="E133" s="398"/>
      <c r="F133" s="398">
        <v>0</v>
      </c>
      <c r="G133" s="398"/>
      <c r="H133" s="398">
        <v>0</v>
      </c>
      <c r="I133" s="398">
        <v>0</v>
      </c>
      <c r="J133" s="399" t="s">
        <v>56</v>
      </c>
      <c r="K133" s="402" t="s">
        <v>56</v>
      </c>
      <c r="L133" s="398">
        <v>0</v>
      </c>
      <c r="M133" s="398">
        <v>0</v>
      </c>
      <c r="N133" s="398">
        <v>0</v>
      </c>
      <c r="O133" s="398">
        <v>0</v>
      </c>
      <c r="P133" s="398">
        <v>0</v>
      </c>
      <c r="Q133" s="398">
        <v>0</v>
      </c>
      <c r="R133" s="398">
        <v>0</v>
      </c>
      <c r="S133" s="398">
        <v>0</v>
      </c>
      <c r="T133" s="398"/>
      <c r="U133" s="398"/>
      <c r="V133" s="398">
        <f>_xlfn.IFNA(VLOOKUP(A133,[3]進出口值表查詢結果!$C$11:$F$68,4,0),-[4]整車!$B$22)</f>
        <v>0</v>
      </c>
      <c r="W133" s="398">
        <f>_xlfn.IFNA(VLOOKUP(A133,[3]進出口值表查詢結果!$C$11:$F$68,3,0),-[4]整車!$B$22)</f>
        <v>0</v>
      </c>
      <c r="X133" s="398">
        <f>_xlfn.IFNA(VLOOKUP(A133,[5]進出口值表查詢結果!$C$11:$F$68,4,0),-[4]整車!$B$22)</f>
        <v>0</v>
      </c>
      <c r="Y133" s="398">
        <f>_xlfn.IFNA(VLOOKUP(A133,[5]進出口值表查詢結果!$C$11:$F$68,3,0),-[4]整車!$B$22)</f>
        <v>0</v>
      </c>
      <c r="Z133" s="392">
        <f t="shared" si="22"/>
        <v>0</v>
      </c>
      <c r="AA133" s="392">
        <f t="shared" si="23"/>
        <v>0</v>
      </c>
    </row>
    <row r="134" spans="1:27">
      <c r="A134" s="434" t="s">
        <v>321</v>
      </c>
      <c r="B134" s="398"/>
      <c r="C134" s="398"/>
      <c r="D134" s="398"/>
      <c r="E134" s="398"/>
      <c r="F134" s="398">
        <v>0</v>
      </c>
      <c r="G134" s="398"/>
      <c r="H134" s="398">
        <v>0</v>
      </c>
      <c r="I134" s="398">
        <v>0</v>
      </c>
      <c r="J134" s="399" t="s">
        <v>56</v>
      </c>
      <c r="K134" s="422" t="s">
        <v>56</v>
      </c>
      <c r="L134" s="398">
        <v>0</v>
      </c>
      <c r="M134" s="398">
        <v>0</v>
      </c>
      <c r="N134" s="398">
        <v>0</v>
      </c>
      <c r="O134" s="398">
        <v>0</v>
      </c>
      <c r="P134" s="398">
        <v>0</v>
      </c>
      <c r="Q134" s="398">
        <v>0</v>
      </c>
      <c r="R134" s="398">
        <v>0</v>
      </c>
      <c r="S134" s="398">
        <v>0</v>
      </c>
      <c r="T134" s="398"/>
      <c r="U134" s="398"/>
      <c r="V134" s="398">
        <f>_xlfn.IFNA(VLOOKUP(A134,[3]進出口值表查詢結果!$C$11:$F$68,4,0),-[4]整車!$B$22)</f>
        <v>0</v>
      </c>
      <c r="W134" s="398">
        <f>_xlfn.IFNA(VLOOKUP(A134,[3]進出口值表查詢結果!$C$11:$F$68,3,0),-[4]整車!$B$22)</f>
        <v>0</v>
      </c>
      <c r="X134" s="398">
        <f>_xlfn.IFNA(VLOOKUP(A134,[5]進出口值表查詢結果!$C$11:$F$68,4,0),-[4]整車!$B$22)</f>
        <v>0</v>
      </c>
      <c r="Y134" s="398">
        <f>_xlfn.IFNA(VLOOKUP(A134,[5]進出口值表查詢結果!$C$11:$F$68,3,0),-[4]整車!$B$22)</f>
        <v>0</v>
      </c>
      <c r="Z134" s="392">
        <f t="shared" si="22"/>
        <v>0</v>
      </c>
      <c r="AA134" s="392">
        <f t="shared" si="23"/>
        <v>0</v>
      </c>
    </row>
    <row r="135" spans="1:27">
      <c r="A135" s="401"/>
      <c r="B135" s="398"/>
      <c r="C135" s="398"/>
      <c r="D135" s="398"/>
      <c r="E135" s="398"/>
      <c r="F135" s="398"/>
      <c r="G135" s="398"/>
      <c r="H135" s="398"/>
      <c r="I135" s="398"/>
      <c r="J135" s="399"/>
      <c r="K135" s="400"/>
      <c r="L135" s="398"/>
      <c r="M135" s="398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  <c r="Y135" s="398"/>
      <c r="Z135" s="392"/>
      <c r="AA135" s="392"/>
    </row>
    <row r="136" spans="1:27">
      <c r="A136" s="418" t="s">
        <v>140</v>
      </c>
      <c r="B136" s="419">
        <f t="shared" ref="B136:M136" si="24">SUM(B137:B150)</f>
        <v>391</v>
      </c>
      <c r="C136" s="419">
        <f t="shared" si="24"/>
        <v>601333</v>
      </c>
      <c r="D136" s="419">
        <f t="shared" si="24"/>
        <v>195</v>
      </c>
      <c r="E136" s="419">
        <f t="shared" si="24"/>
        <v>250399</v>
      </c>
      <c r="F136" s="419">
        <f t="shared" si="24"/>
        <v>714</v>
      </c>
      <c r="G136" s="419">
        <f t="shared" si="24"/>
        <v>599636</v>
      </c>
      <c r="H136" s="419">
        <f t="shared" si="24"/>
        <v>1024</v>
      </c>
      <c r="I136" s="419">
        <f t="shared" si="24"/>
        <v>190726</v>
      </c>
      <c r="J136" s="420">
        <f t="shared" si="24"/>
        <v>1213</v>
      </c>
      <c r="K136" s="421">
        <f t="shared" si="24"/>
        <v>446610</v>
      </c>
      <c r="L136" s="419">
        <f t="shared" si="24"/>
        <v>517</v>
      </c>
      <c r="M136" s="419">
        <f t="shared" si="24"/>
        <v>504422</v>
      </c>
      <c r="N136" s="419">
        <f>SUM(N137:N150)</f>
        <v>1680</v>
      </c>
      <c r="O136" s="419">
        <f>SUM(O137:O150)</f>
        <v>1034923</v>
      </c>
      <c r="P136" s="419">
        <f>SUM(P137:P149)</f>
        <v>1055</v>
      </c>
      <c r="Q136" s="419">
        <f>SUM(Q137:Q149)</f>
        <v>1060011</v>
      </c>
      <c r="R136" s="419">
        <f t="shared" ref="R136:Y136" si="25">SUM(R137:R150)</f>
        <v>1394</v>
      </c>
      <c r="S136" s="419">
        <f t="shared" si="25"/>
        <v>1001461</v>
      </c>
      <c r="T136" s="419">
        <f t="shared" si="25"/>
        <v>2073</v>
      </c>
      <c r="U136" s="419">
        <f t="shared" si="25"/>
        <v>1401961</v>
      </c>
      <c r="V136" s="419">
        <f>SUM(V137:V150)</f>
        <v>747</v>
      </c>
      <c r="W136" s="419">
        <f>SUM(W137:W150)</f>
        <v>547003</v>
      </c>
      <c r="X136" s="419">
        <f t="shared" si="25"/>
        <v>325</v>
      </c>
      <c r="Y136" s="419">
        <f t="shared" si="25"/>
        <v>457417</v>
      </c>
      <c r="Z136" s="405">
        <f t="shared" ref="Z136:Z167" si="26">SUM(B136,D136,F136,H136,J136,L136,N136,P136,R136,T136,V136,X136)</f>
        <v>11328</v>
      </c>
      <c r="AA136" s="405">
        <f t="shared" ref="AA136:AA167" si="27">SUM(C136,E136,G136,I136,K136,M136,O136,Q136,S136,U136,W136,Y136)</f>
        <v>8095902</v>
      </c>
    </row>
    <row r="137" spans="1:27">
      <c r="A137" s="439" t="s">
        <v>218</v>
      </c>
      <c r="B137" s="398">
        <v>7</v>
      </c>
      <c r="C137" s="398">
        <v>13229</v>
      </c>
      <c r="D137" s="398">
        <v>3</v>
      </c>
      <c r="E137" s="398">
        <v>2398</v>
      </c>
      <c r="F137" s="398">
        <v>74</v>
      </c>
      <c r="G137" s="398">
        <v>133887</v>
      </c>
      <c r="H137" s="398">
        <v>96</v>
      </c>
      <c r="I137" s="398">
        <v>168964</v>
      </c>
      <c r="J137" s="399"/>
      <c r="K137" s="400"/>
      <c r="L137" s="398">
        <v>198</v>
      </c>
      <c r="M137" s="398">
        <v>94268</v>
      </c>
      <c r="N137" s="398">
        <v>356</v>
      </c>
      <c r="O137" s="398">
        <v>453280</v>
      </c>
      <c r="P137" s="398">
        <v>591</v>
      </c>
      <c r="Q137" s="398">
        <v>597186</v>
      </c>
      <c r="R137" s="398">
        <v>397</v>
      </c>
      <c r="S137" s="398">
        <v>182473</v>
      </c>
      <c r="T137" s="398">
        <v>225</v>
      </c>
      <c r="U137" s="398">
        <v>224164</v>
      </c>
      <c r="V137" s="398">
        <f>_xlfn.IFNA(VLOOKUP(A137,[3]進出口值表查詢結果!$C$11:$F$68,4,0),-[4]整車!$B$22)</f>
        <v>121</v>
      </c>
      <c r="W137" s="398">
        <f>_xlfn.IFNA(VLOOKUP(A137,[3]進出口值表查詢結果!$C$11:$F$68,3,0),-[4]整車!$B$22)</f>
        <v>63501</v>
      </c>
      <c r="X137" s="398">
        <f>_xlfn.IFNA(VLOOKUP(A137,[5]進出口值表查詢結果!$C$11:$F$68,4,0),-[4]整車!$B$22)</f>
        <v>123</v>
      </c>
      <c r="Y137" s="398">
        <f>_xlfn.IFNA(VLOOKUP(A137,[5]進出口值表查詢結果!$C$11:$F$68,3,0),-[4]整車!$B$22)</f>
        <v>156263</v>
      </c>
      <c r="Z137" s="392">
        <f t="shared" si="26"/>
        <v>2191</v>
      </c>
      <c r="AA137" s="392">
        <f t="shared" si="27"/>
        <v>2089613</v>
      </c>
    </row>
    <row r="138" spans="1:27">
      <c r="A138" s="434" t="s">
        <v>162</v>
      </c>
      <c r="B138" s="398"/>
      <c r="C138" s="398"/>
      <c r="D138" s="398"/>
      <c r="E138" s="398"/>
      <c r="F138" s="398">
        <v>0</v>
      </c>
      <c r="G138" s="398"/>
      <c r="H138" s="398">
        <v>0</v>
      </c>
      <c r="I138" s="398">
        <v>0</v>
      </c>
      <c r="J138" s="399"/>
      <c r="K138" s="400"/>
      <c r="L138" s="398">
        <v>0</v>
      </c>
      <c r="M138" s="398">
        <v>0</v>
      </c>
      <c r="N138" s="398">
        <v>123</v>
      </c>
      <c r="O138" s="398">
        <v>61292</v>
      </c>
      <c r="P138" s="398">
        <v>0</v>
      </c>
      <c r="Q138" s="398">
        <v>0</v>
      </c>
      <c r="R138" s="398">
        <v>0</v>
      </c>
      <c r="S138" s="398">
        <v>0</v>
      </c>
      <c r="T138" s="398">
        <v>84</v>
      </c>
      <c r="U138" s="398">
        <v>105611</v>
      </c>
      <c r="V138" s="398">
        <f>_xlfn.IFNA(VLOOKUP(A138,[3]進出口值表查詢結果!$C$11:$F$68,4,0),-[4]整車!$B$22)</f>
        <v>68</v>
      </c>
      <c r="W138" s="398">
        <f>_xlfn.IFNA(VLOOKUP(A138,[3]進出口值表查詢結果!$C$11:$F$68,3,0),-[4]整車!$B$22)</f>
        <v>64056</v>
      </c>
      <c r="X138" s="398">
        <f>_xlfn.IFNA(VLOOKUP(A138,[5]進出口值表查詢結果!$C$11:$F$68,4,0),-[4]整車!$B$22)</f>
        <v>0</v>
      </c>
      <c r="Y138" s="398">
        <f>_xlfn.IFNA(VLOOKUP(A138,[5]進出口值表查詢結果!$C$11:$F$68,3,0),-[4]整車!$B$22)</f>
        <v>0</v>
      </c>
      <c r="Z138" s="392">
        <f t="shared" si="26"/>
        <v>275</v>
      </c>
      <c r="AA138" s="392">
        <f t="shared" si="27"/>
        <v>230959</v>
      </c>
    </row>
    <row r="139" spans="1:27">
      <c r="A139" s="434" t="s">
        <v>190</v>
      </c>
      <c r="B139" s="398">
        <v>280</v>
      </c>
      <c r="C139" s="398">
        <v>479573</v>
      </c>
      <c r="D139" s="398">
        <v>172</v>
      </c>
      <c r="E139" s="398">
        <v>228214</v>
      </c>
      <c r="F139" s="398">
        <v>600</v>
      </c>
      <c r="G139" s="398">
        <v>459244</v>
      </c>
      <c r="H139" s="398">
        <v>0</v>
      </c>
      <c r="I139" s="398">
        <v>0</v>
      </c>
      <c r="J139" s="399">
        <v>1213</v>
      </c>
      <c r="K139" s="400">
        <v>446610</v>
      </c>
      <c r="L139" s="398">
        <v>165</v>
      </c>
      <c r="M139" s="398">
        <v>220979</v>
      </c>
      <c r="N139" s="398">
        <v>339</v>
      </c>
      <c r="O139" s="398">
        <v>507640</v>
      </c>
      <c r="P139" s="398">
        <v>425</v>
      </c>
      <c r="Q139" s="398">
        <v>413046</v>
      </c>
      <c r="R139" s="398">
        <v>740</v>
      </c>
      <c r="S139" s="398">
        <v>667120</v>
      </c>
      <c r="T139" s="398">
        <v>1704</v>
      </c>
      <c r="U139" s="398">
        <v>1071291</v>
      </c>
      <c r="V139" s="398">
        <f>_xlfn.IFNA(VLOOKUP(A139,[3]進出口值表查詢結果!$C$11:$F$68,4,0),-[4]整車!$B$22)</f>
        <v>552</v>
      </c>
      <c r="W139" s="398">
        <f>_xlfn.IFNA(VLOOKUP(A139,[3]進出口值表查詢結果!$C$11:$F$68,3,0),-[4]整車!$B$22)</f>
        <v>411890</v>
      </c>
      <c r="X139" s="398">
        <f>_xlfn.IFNA(VLOOKUP(A139,[5]進出口值表查詢結果!$C$11:$F$68,4,0),-[4]整車!$B$22)</f>
        <v>108</v>
      </c>
      <c r="Y139" s="398">
        <f>_xlfn.IFNA(VLOOKUP(A139,[5]進出口值表查詢結果!$C$11:$F$68,3,0),-[4]整車!$B$22)</f>
        <v>192722</v>
      </c>
      <c r="Z139" s="392">
        <f t="shared" si="26"/>
        <v>6298</v>
      </c>
      <c r="AA139" s="392">
        <f t="shared" si="27"/>
        <v>5098329</v>
      </c>
    </row>
    <row r="140" spans="1:27">
      <c r="A140" s="434" t="s">
        <v>322</v>
      </c>
      <c r="B140" s="398"/>
      <c r="C140" s="398"/>
      <c r="D140" s="398"/>
      <c r="E140" s="398"/>
      <c r="F140" s="398">
        <v>0</v>
      </c>
      <c r="G140" s="398"/>
      <c r="H140" s="398">
        <v>0</v>
      </c>
      <c r="I140" s="398">
        <v>0</v>
      </c>
      <c r="J140" s="399"/>
      <c r="K140" s="400"/>
      <c r="L140" s="398">
        <v>0</v>
      </c>
      <c r="M140" s="398">
        <v>0</v>
      </c>
      <c r="N140" s="398">
        <v>0</v>
      </c>
      <c r="O140" s="398">
        <v>0</v>
      </c>
      <c r="P140" s="398">
        <v>0</v>
      </c>
      <c r="Q140" s="398">
        <v>0</v>
      </c>
      <c r="R140" s="398">
        <v>0</v>
      </c>
      <c r="S140" s="398">
        <v>0</v>
      </c>
      <c r="T140" s="398"/>
      <c r="U140" s="398"/>
      <c r="V140" s="398">
        <f>_xlfn.IFNA(VLOOKUP(A140,[3]進出口值表查詢結果!$C$11:$F$68,4,0),-[4]整車!$B$22)</f>
        <v>0</v>
      </c>
      <c r="W140" s="398">
        <f>_xlfn.IFNA(VLOOKUP(A140,[3]進出口值表查詢結果!$C$11:$F$68,3,0),-[4]整車!$B$22)</f>
        <v>0</v>
      </c>
      <c r="X140" s="398">
        <f>_xlfn.IFNA(VLOOKUP(A140,[5]進出口值表查詢結果!$C$11:$F$68,4,0),-[4]整車!$B$22)</f>
        <v>0</v>
      </c>
      <c r="Y140" s="398">
        <f>_xlfn.IFNA(VLOOKUP(A140,[5]進出口值表查詢結果!$C$11:$F$68,3,0),-[4]整車!$B$22)</f>
        <v>0</v>
      </c>
      <c r="Z140" s="392">
        <f t="shared" si="26"/>
        <v>0</v>
      </c>
      <c r="AA140" s="392">
        <f t="shared" si="27"/>
        <v>0</v>
      </c>
    </row>
    <row r="141" spans="1:27">
      <c r="A141" s="434" t="s">
        <v>323</v>
      </c>
      <c r="B141" s="398"/>
      <c r="C141" s="398"/>
      <c r="D141" s="398"/>
      <c r="E141" s="398"/>
      <c r="F141" s="398">
        <v>0</v>
      </c>
      <c r="G141" s="398"/>
      <c r="H141" s="398">
        <v>0</v>
      </c>
      <c r="I141" s="398">
        <v>0</v>
      </c>
      <c r="J141" s="399"/>
      <c r="K141" s="400"/>
      <c r="L141" s="398">
        <v>0</v>
      </c>
      <c r="M141" s="398">
        <v>0</v>
      </c>
      <c r="N141" s="398">
        <v>0</v>
      </c>
      <c r="O141" s="398">
        <v>0</v>
      </c>
      <c r="P141" s="398">
        <v>0</v>
      </c>
      <c r="Q141" s="398">
        <v>0</v>
      </c>
      <c r="R141" s="398">
        <v>0</v>
      </c>
      <c r="S141" s="398">
        <v>0</v>
      </c>
      <c r="T141" s="398"/>
      <c r="U141" s="398"/>
      <c r="V141" s="398">
        <f>_xlfn.IFNA(VLOOKUP(A141,[3]進出口值表查詢結果!$C$11:$F$68,4,0),-[4]整車!$B$22)</f>
        <v>0</v>
      </c>
      <c r="W141" s="398">
        <f>_xlfn.IFNA(VLOOKUP(A141,[3]進出口值表查詢結果!$C$11:$F$68,3,0),-[4]整車!$B$22)</f>
        <v>0</v>
      </c>
      <c r="X141" s="398">
        <f>_xlfn.IFNA(VLOOKUP(A141,[5]進出口值表查詢結果!$C$11:$F$68,4,0),-[4]整車!$B$22)</f>
        <v>0</v>
      </c>
      <c r="Y141" s="398">
        <f>_xlfn.IFNA(VLOOKUP(A141,[5]進出口值表查詢結果!$C$11:$F$68,3,0),-[4]整車!$B$22)</f>
        <v>0</v>
      </c>
      <c r="Z141" s="392">
        <f t="shared" si="26"/>
        <v>0</v>
      </c>
      <c r="AA141" s="392">
        <f t="shared" si="27"/>
        <v>0</v>
      </c>
    </row>
    <row r="142" spans="1:27">
      <c r="A142" s="434" t="s">
        <v>324</v>
      </c>
      <c r="B142" s="398">
        <v>77</v>
      </c>
      <c r="C142" s="398">
        <v>80740</v>
      </c>
      <c r="D142" s="398"/>
      <c r="E142" s="398"/>
      <c r="F142" s="398">
        <v>40</v>
      </c>
      <c r="G142" s="398">
        <v>6505</v>
      </c>
      <c r="H142" s="398">
        <v>0</v>
      </c>
      <c r="I142" s="398">
        <v>0</v>
      </c>
      <c r="J142" s="399"/>
      <c r="K142" s="400"/>
      <c r="L142" s="398">
        <v>101</v>
      </c>
      <c r="M142" s="398">
        <v>139946</v>
      </c>
      <c r="N142" s="398">
        <v>0</v>
      </c>
      <c r="O142" s="398">
        <v>0</v>
      </c>
      <c r="P142" s="398">
        <v>0</v>
      </c>
      <c r="Q142" s="398">
        <v>0</v>
      </c>
      <c r="R142" s="398">
        <v>0</v>
      </c>
      <c r="S142" s="398">
        <v>0</v>
      </c>
      <c r="T142" s="398"/>
      <c r="U142" s="398"/>
      <c r="V142" s="398">
        <f>_xlfn.IFNA(VLOOKUP(A142,[3]進出口值表查詢結果!$C$11:$F$68,4,0),-[4]整車!$B$22)</f>
        <v>0</v>
      </c>
      <c r="W142" s="398">
        <f>_xlfn.IFNA(VLOOKUP(A142,[3]進出口值表查詢結果!$C$11:$F$68,3,0),-[4]整車!$B$22)</f>
        <v>0</v>
      </c>
      <c r="X142" s="398">
        <f>_xlfn.IFNA(VLOOKUP(A142,[5]進出口值表查詢結果!$C$11:$F$68,4,0),-[4]整車!$B$22)</f>
        <v>94</v>
      </c>
      <c r="Y142" s="398">
        <f>_xlfn.IFNA(VLOOKUP(A142,[5]進出口值表查詢結果!$C$11:$F$68,3,0),-[4]整車!$B$22)</f>
        <v>108432</v>
      </c>
      <c r="Z142" s="392">
        <f t="shared" si="26"/>
        <v>312</v>
      </c>
      <c r="AA142" s="392">
        <f t="shared" si="27"/>
        <v>335623</v>
      </c>
    </row>
    <row r="143" spans="1:27">
      <c r="A143" s="434" t="s">
        <v>325</v>
      </c>
      <c r="B143" s="398"/>
      <c r="C143" s="398"/>
      <c r="D143" s="398"/>
      <c r="E143" s="398"/>
      <c r="F143" s="398">
        <v>0</v>
      </c>
      <c r="G143" s="398"/>
      <c r="H143" s="398">
        <v>0</v>
      </c>
      <c r="I143" s="398">
        <v>0</v>
      </c>
      <c r="J143" s="399"/>
      <c r="K143" s="400"/>
      <c r="L143" s="398">
        <v>25</v>
      </c>
      <c r="M143" s="398">
        <v>25972</v>
      </c>
      <c r="N143" s="398">
        <v>2</v>
      </c>
      <c r="O143" s="398">
        <v>3989</v>
      </c>
      <c r="P143" s="398">
        <v>6</v>
      </c>
      <c r="Q143" s="398">
        <v>5727</v>
      </c>
      <c r="R143" s="398">
        <v>5</v>
      </c>
      <c r="S143" s="398">
        <v>5843</v>
      </c>
      <c r="T143" s="398"/>
      <c r="U143" s="398"/>
      <c r="V143" s="398">
        <f>_xlfn.IFNA(VLOOKUP(A143,[3]進出口值表查詢結果!$C$11:$F$68,4,0),-[4]整車!$B$22)</f>
        <v>6</v>
      </c>
      <c r="W143" s="398">
        <f>_xlfn.IFNA(VLOOKUP(A143,[3]進出口值表查詢結果!$C$11:$F$68,3,0),-[4]整車!$B$22)</f>
        <v>7556</v>
      </c>
      <c r="X143" s="398">
        <f>_xlfn.IFNA(VLOOKUP(A143,[5]進出口值表查詢結果!$C$11:$F$68,4,0),-[4]整車!$B$22)</f>
        <v>0</v>
      </c>
      <c r="Y143" s="398">
        <f>_xlfn.IFNA(VLOOKUP(A143,[5]進出口值表查詢結果!$C$11:$F$68,3,0),-[4]整車!$B$22)</f>
        <v>0</v>
      </c>
      <c r="Z143" s="392">
        <f t="shared" si="26"/>
        <v>44</v>
      </c>
      <c r="AA143" s="392">
        <f t="shared" si="27"/>
        <v>49087</v>
      </c>
    </row>
    <row r="144" spans="1:27">
      <c r="A144" s="434" t="s">
        <v>326</v>
      </c>
      <c r="B144" s="398"/>
      <c r="C144" s="398"/>
      <c r="D144" s="398"/>
      <c r="E144" s="398"/>
      <c r="F144" s="398">
        <v>0</v>
      </c>
      <c r="G144" s="398"/>
      <c r="H144" s="398">
        <v>0</v>
      </c>
      <c r="I144" s="398">
        <v>0</v>
      </c>
      <c r="J144" s="399"/>
      <c r="K144" s="400"/>
      <c r="L144" s="398">
        <v>0</v>
      </c>
      <c r="M144" s="398">
        <v>0</v>
      </c>
      <c r="N144" s="398">
        <v>0</v>
      </c>
      <c r="O144" s="398">
        <v>0</v>
      </c>
      <c r="P144" s="398">
        <v>0</v>
      </c>
      <c r="Q144" s="398">
        <v>0</v>
      </c>
      <c r="R144" s="398">
        <v>0</v>
      </c>
      <c r="S144" s="398">
        <v>0</v>
      </c>
      <c r="T144" s="398"/>
      <c r="U144" s="398"/>
      <c r="V144" s="398">
        <f>_xlfn.IFNA(VLOOKUP(A144,[3]進出口值表查詢結果!$C$11:$F$68,4,0),-[4]整車!$B$22)</f>
        <v>0</v>
      </c>
      <c r="W144" s="398">
        <f>_xlfn.IFNA(VLOOKUP(A144,[3]進出口值表查詢結果!$C$11:$F$68,3,0),-[4]整車!$B$22)</f>
        <v>0</v>
      </c>
      <c r="X144" s="398">
        <f>_xlfn.IFNA(VLOOKUP(A144,[5]進出口值表查詢結果!$C$11:$F$68,4,0),-[4]整車!$B$22)</f>
        <v>0</v>
      </c>
      <c r="Y144" s="398">
        <f>_xlfn.IFNA(VLOOKUP(A144,[5]進出口值表查詢結果!$C$11:$F$68,3,0),-[4]整車!$B$22)</f>
        <v>0</v>
      </c>
      <c r="Z144" s="392">
        <f t="shared" si="26"/>
        <v>0</v>
      </c>
      <c r="AA144" s="392">
        <f t="shared" si="27"/>
        <v>0</v>
      </c>
    </row>
    <row r="145" spans="1:27">
      <c r="A145" s="434" t="s">
        <v>327</v>
      </c>
      <c r="B145" s="398"/>
      <c r="C145" s="398"/>
      <c r="D145" s="398">
        <v>20</v>
      </c>
      <c r="E145" s="398">
        <v>19787</v>
      </c>
      <c r="F145" s="398">
        <v>0</v>
      </c>
      <c r="G145" s="398"/>
      <c r="H145" s="398">
        <v>0</v>
      </c>
      <c r="I145" s="398">
        <v>0</v>
      </c>
      <c r="J145" s="399"/>
      <c r="K145" s="400"/>
      <c r="L145" s="398">
        <v>0</v>
      </c>
      <c r="M145" s="398">
        <v>0</v>
      </c>
      <c r="N145" s="398">
        <v>0</v>
      </c>
      <c r="O145" s="398">
        <v>0</v>
      </c>
      <c r="P145" s="398">
        <v>0</v>
      </c>
      <c r="Q145" s="398">
        <v>0</v>
      </c>
      <c r="R145" s="398">
        <v>0</v>
      </c>
      <c r="S145" s="398">
        <v>0</v>
      </c>
      <c r="T145" s="398"/>
      <c r="U145" s="398"/>
      <c r="V145" s="398">
        <f>_xlfn.IFNA(VLOOKUP(A145,[3]進出口值表查詢結果!$C$11:$F$68,4,0),-[4]整車!$B$22)</f>
        <v>0</v>
      </c>
      <c r="W145" s="398">
        <f>_xlfn.IFNA(VLOOKUP(A145,[3]進出口值表查詢結果!$C$11:$F$68,3,0),-[4]整車!$B$22)</f>
        <v>0</v>
      </c>
      <c r="X145" s="398">
        <f>_xlfn.IFNA(VLOOKUP(A145,[5]進出口值表查詢結果!$C$11:$F$68,4,0),-[4]整車!$B$22)</f>
        <v>0</v>
      </c>
      <c r="Y145" s="398">
        <f>_xlfn.IFNA(VLOOKUP(A145,[5]進出口值表查詢結果!$C$11:$F$68,3,0),-[4]整車!$B$22)</f>
        <v>0</v>
      </c>
      <c r="Z145" s="392">
        <f t="shared" si="26"/>
        <v>20</v>
      </c>
      <c r="AA145" s="392">
        <f t="shared" si="27"/>
        <v>19787</v>
      </c>
    </row>
    <row r="146" spans="1:27">
      <c r="A146" s="434" t="s">
        <v>328</v>
      </c>
      <c r="B146" s="398"/>
      <c r="C146" s="398"/>
      <c r="D146" s="398"/>
      <c r="E146" s="398"/>
      <c r="F146" s="398">
        <v>0</v>
      </c>
      <c r="G146" s="398"/>
      <c r="H146" s="398">
        <v>0</v>
      </c>
      <c r="I146" s="398">
        <v>0</v>
      </c>
      <c r="J146" s="399"/>
      <c r="K146" s="400"/>
      <c r="L146" s="398">
        <v>0</v>
      </c>
      <c r="M146" s="398">
        <v>0</v>
      </c>
      <c r="N146" s="398">
        <v>0</v>
      </c>
      <c r="O146" s="398">
        <v>0</v>
      </c>
      <c r="P146" s="398">
        <v>0</v>
      </c>
      <c r="Q146" s="398">
        <v>0</v>
      </c>
      <c r="R146" s="398">
        <v>0</v>
      </c>
      <c r="S146" s="398">
        <v>0</v>
      </c>
      <c r="T146" s="398"/>
      <c r="U146" s="398"/>
      <c r="V146" s="398">
        <f>_xlfn.IFNA(VLOOKUP(A146,[3]進出口值表查詢結果!$C$11:$F$68,4,0),-[4]整車!$B$22)</f>
        <v>0</v>
      </c>
      <c r="W146" s="398">
        <f>_xlfn.IFNA(VLOOKUP(A146,[3]進出口值表查詢結果!$C$11:$F$68,3,0),-[4]整車!$B$22)</f>
        <v>0</v>
      </c>
      <c r="X146" s="398">
        <f>_xlfn.IFNA(VLOOKUP(A146,[5]進出口值表查詢結果!$C$11:$F$68,4,0),-[4]整車!$B$22)</f>
        <v>0</v>
      </c>
      <c r="Y146" s="398">
        <f>_xlfn.IFNA(VLOOKUP(A146,[5]進出口值表查詢結果!$C$11:$F$68,3,0),-[4]整車!$B$22)</f>
        <v>0</v>
      </c>
      <c r="Z146" s="392">
        <f t="shared" si="26"/>
        <v>0</v>
      </c>
      <c r="AA146" s="392">
        <f t="shared" si="27"/>
        <v>0</v>
      </c>
    </row>
    <row r="147" spans="1:27">
      <c r="A147" s="434" t="s">
        <v>329</v>
      </c>
      <c r="B147" s="398">
        <v>27</v>
      </c>
      <c r="C147" s="398">
        <v>27791</v>
      </c>
      <c r="D147" s="398"/>
      <c r="E147" s="398"/>
      <c r="F147" s="398">
        <v>0</v>
      </c>
      <c r="G147" s="398"/>
      <c r="H147" s="398">
        <v>16</v>
      </c>
      <c r="I147" s="398">
        <v>12686</v>
      </c>
      <c r="J147" s="399"/>
      <c r="K147" s="400"/>
      <c r="L147" s="398">
        <v>28</v>
      </c>
      <c r="M147" s="398">
        <v>23257</v>
      </c>
      <c r="N147" s="398">
        <v>0</v>
      </c>
      <c r="O147" s="398">
        <v>0</v>
      </c>
      <c r="P147" s="398">
        <v>33</v>
      </c>
      <c r="Q147" s="398">
        <v>44052</v>
      </c>
      <c r="R147" s="398">
        <v>252</v>
      </c>
      <c r="S147" s="398">
        <v>146025</v>
      </c>
      <c r="T147" s="398"/>
      <c r="U147" s="398"/>
      <c r="V147" s="398">
        <f>_xlfn.IFNA(VLOOKUP(A147,[3]進出口值表查詢結果!$C$11:$F$68,4,0),-[4]整車!$B$22)</f>
        <v>0</v>
      </c>
      <c r="W147" s="398">
        <f>_xlfn.IFNA(VLOOKUP(A147,[3]進出口值表查詢結果!$C$11:$F$68,3,0),-[4]整車!$B$22)</f>
        <v>0</v>
      </c>
      <c r="X147" s="398">
        <f>_xlfn.IFNA(VLOOKUP(A147,[5]進出口值表查詢結果!$C$11:$F$68,4,0),-[4]整車!$B$22)</f>
        <v>0</v>
      </c>
      <c r="Y147" s="398">
        <f>_xlfn.IFNA(VLOOKUP(A147,[5]進出口值表查詢結果!$C$11:$F$68,3,0),-[4]整車!$B$22)</f>
        <v>0</v>
      </c>
      <c r="Z147" s="392">
        <f t="shared" si="26"/>
        <v>356</v>
      </c>
      <c r="AA147" s="392">
        <f t="shared" si="27"/>
        <v>253811</v>
      </c>
    </row>
    <row r="148" spans="1:27">
      <c r="A148" s="434" t="s">
        <v>330</v>
      </c>
      <c r="B148" s="398"/>
      <c r="C148" s="398"/>
      <c r="D148" s="398"/>
      <c r="E148" s="398"/>
      <c r="F148" s="398">
        <v>0</v>
      </c>
      <c r="G148" s="398"/>
      <c r="H148" s="398">
        <v>0</v>
      </c>
      <c r="I148" s="398">
        <v>0</v>
      </c>
      <c r="J148" s="399"/>
      <c r="K148" s="400"/>
      <c r="L148" s="398">
        <v>0</v>
      </c>
      <c r="M148" s="398">
        <v>0</v>
      </c>
      <c r="N148" s="398">
        <v>0</v>
      </c>
      <c r="O148" s="398">
        <v>0</v>
      </c>
      <c r="P148" s="398">
        <v>0</v>
      </c>
      <c r="Q148" s="398">
        <v>0</v>
      </c>
      <c r="R148" s="398">
        <v>0</v>
      </c>
      <c r="S148" s="398">
        <v>0</v>
      </c>
      <c r="T148" s="398"/>
      <c r="U148" s="398"/>
      <c r="V148" s="398">
        <f>_xlfn.IFNA(VLOOKUP(A148,[3]進出口值表查詢結果!$C$11:$F$68,4,0),-[4]整車!$B$22)</f>
        <v>0</v>
      </c>
      <c r="W148" s="398">
        <f>_xlfn.IFNA(VLOOKUP(A148,[3]進出口值表查詢結果!$C$11:$F$68,3,0),-[4]整車!$B$22)</f>
        <v>0</v>
      </c>
      <c r="X148" s="398">
        <f>_xlfn.IFNA(VLOOKUP(A148,[5]進出口值表查詢結果!$C$11:$F$68,4,0),-[4]整車!$B$22)</f>
        <v>0</v>
      </c>
      <c r="Y148" s="398">
        <f>_xlfn.IFNA(VLOOKUP(A148,[5]進出口值表查詢結果!$C$11:$F$68,3,0),-[4]整車!$B$22)</f>
        <v>0</v>
      </c>
      <c r="Z148" s="392">
        <f t="shared" si="26"/>
        <v>0</v>
      </c>
      <c r="AA148" s="392">
        <f t="shared" si="27"/>
        <v>0</v>
      </c>
    </row>
    <row r="149" spans="1:27">
      <c r="A149" s="434" t="s">
        <v>331</v>
      </c>
      <c r="B149" s="398"/>
      <c r="C149" s="398"/>
      <c r="D149" s="398"/>
      <c r="E149" s="398"/>
      <c r="F149" s="398">
        <v>0</v>
      </c>
      <c r="G149" s="398"/>
      <c r="H149" s="398">
        <v>0</v>
      </c>
      <c r="I149" s="398">
        <v>0</v>
      </c>
      <c r="J149" s="399"/>
      <c r="K149" s="400"/>
      <c r="L149" s="398">
        <v>0</v>
      </c>
      <c r="M149" s="398">
        <v>0</v>
      </c>
      <c r="N149" s="398">
        <v>0</v>
      </c>
      <c r="O149" s="398">
        <v>0</v>
      </c>
      <c r="P149" s="398">
        <v>0</v>
      </c>
      <c r="Q149" s="398">
        <v>0</v>
      </c>
      <c r="R149" s="398">
        <v>0</v>
      </c>
      <c r="S149" s="398">
        <v>0</v>
      </c>
      <c r="T149" s="398"/>
      <c r="U149" s="398"/>
      <c r="V149" s="398">
        <f>_xlfn.IFNA(VLOOKUP(A149,[3]進出口值表查詢結果!$C$11:$F$68,4,0),-[4]整車!$B$22)</f>
        <v>0</v>
      </c>
      <c r="W149" s="398">
        <f>_xlfn.IFNA(VLOOKUP(A149,[3]進出口值表查詢結果!$C$11:$F$68,3,0),-[4]整車!$B$22)</f>
        <v>0</v>
      </c>
      <c r="X149" s="398">
        <f>_xlfn.IFNA(VLOOKUP(A149,[5]進出口值表查詢結果!$C$11:$F$68,4,0),-[4]整車!$B$22)</f>
        <v>0</v>
      </c>
      <c r="Y149" s="398">
        <f>_xlfn.IFNA(VLOOKUP(A149,[5]進出口值表查詢結果!$C$11:$F$68,3,0),-[4]整車!$B$22)</f>
        <v>0</v>
      </c>
      <c r="Z149" s="392">
        <f t="shared" si="26"/>
        <v>0</v>
      </c>
      <c r="AA149" s="392">
        <f t="shared" si="27"/>
        <v>0</v>
      </c>
    </row>
    <row r="150" spans="1:27">
      <c r="A150" s="434" t="s">
        <v>332</v>
      </c>
      <c r="B150" s="398"/>
      <c r="C150" s="398"/>
      <c r="D150" s="398"/>
      <c r="E150" s="398"/>
      <c r="F150" s="398">
        <v>0</v>
      </c>
      <c r="G150" s="398"/>
      <c r="H150" s="398">
        <v>912</v>
      </c>
      <c r="I150" s="398">
        <v>9076</v>
      </c>
      <c r="J150" s="399"/>
      <c r="K150" s="400"/>
      <c r="L150" s="398">
        <v>0</v>
      </c>
      <c r="M150" s="398">
        <v>0</v>
      </c>
      <c r="N150" s="398">
        <v>860</v>
      </c>
      <c r="O150" s="398">
        <v>8722</v>
      </c>
      <c r="P150" s="398">
        <v>0</v>
      </c>
      <c r="Q150" s="398">
        <v>0</v>
      </c>
      <c r="R150" s="398">
        <v>0</v>
      </c>
      <c r="S150" s="398">
        <v>0</v>
      </c>
      <c r="T150" s="398">
        <v>60</v>
      </c>
      <c r="U150" s="398">
        <v>895</v>
      </c>
      <c r="V150" s="398">
        <f>_xlfn.IFNA(VLOOKUP(A150,[3]進出口值表查詢結果!$C$11:$F$68,4,0),-[4]整車!$B$22)</f>
        <v>0</v>
      </c>
      <c r="W150" s="398">
        <f>_xlfn.IFNA(VLOOKUP(A150,[3]進出口值表查詢結果!$C$11:$F$68,3,0),-[4]整車!$B$22)</f>
        <v>0</v>
      </c>
      <c r="X150" s="398">
        <f>_xlfn.IFNA(VLOOKUP(A150,[5]進出口值表查詢結果!$C$11:$F$68,4,0),-[4]整車!$B$22)</f>
        <v>0</v>
      </c>
      <c r="Y150" s="398">
        <f>_xlfn.IFNA(VLOOKUP(A150,[5]進出口值表查詢結果!$C$11:$F$68,3,0),-[4]整車!$B$22)</f>
        <v>0</v>
      </c>
      <c r="Z150" s="392">
        <f t="shared" si="26"/>
        <v>1832</v>
      </c>
      <c r="AA150" s="392">
        <f t="shared" si="27"/>
        <v>18693</v>
      </c>
    </row>
    <row r="151" spans="1:27">
      <c r="A151" s="440" t="s">
        <v>333</v>
      </c>
      <c r="B151" s="419">
        <f t="shared" ref="B151:Y151" si="28">SUM(B152:B188)</f>
        <v>438</v>
      </c>
      <c r="C151" s="419">
        <f t="shared" si="28"/>
        <v>697135</v>
      </c>
      <c r="D151" s="419">
        <f t="shared" si="28"/>
        <v>255</v>
      </c>
      <c r="E151" s="419">
        <f t="shared" si="28"/>
        <v>237208</v>
      </c>
      <c r="F151" s="419">
        <f t="shared" si="28"/>
        <v>115</v>
      </c>
      <c r="G151" s="419">
        <f t="shared" si="28"/>
        <v>139562</v>
      </c>
      <c r="H151" s="419">
        <f t="shared" si="28"/>
        <v>86</v>
      </c>
      <c r="I151" s="419">
        <f t="shared" si="28"/>
        <v>117092</v>
      </c>
      <c r="J151" s="420">
        <f t="shared" si="28"/>
        <v>613</v>
      </c>
      <c r="K151" s="421">
        <f>SUM(K152:K188)</f>
        <v>1036854</v>
      </c>
      <c r="L151" s="419">
        <f t="shared" si="28"/>
        <v>427</v>
      </c>
      <c r="M151" s="419">
        <f t="shared" si="28"/>
        <v>494605</v>
      </c>
      <c r="N151" s="419">
        <f t="shared" si="28"/>
        <v>849</v>
      </c>
      <c r="O151" s="419">
        <f t="shared" si="28"/>
        <v>1256457</v>
      </c>
      <c r="P151" s="419">
        <f t="shared" si="28"/>
        <v>1223</v>
      </c>
      <c r="Q151" s="419">
        <f t="shared" si="28"/>
        <v>669332</v>
      </c>
      <c r="R151" s="419">
        <f t="shared" si="28"/>
        <v>709</v>
      </c>
      <c r="S151" s="419">
        <f t="shared" si="28"/>
        <v>987195</v>
      </c>
      <c r="T151" s="419">
        <f t="shared" si="28"/>
        <v>318</v>
      </c>
      <c r="U151" s="419">
        <f t="shared" si="28"/>
        <v>309983</v>
      </c>
      <c r="V151" s="419">
        <f>SUM(V152:V188)</f>
        <v>638</v>
      </c>
      <c r="W151" s="419">
        <f>SUM(W152:W188)</f>
        <v>766517</v>
      </c>
      <c r="X151" s="419">
        <f t="shared" si="28"/>
        <v>526</v>
      </c>
      <c r="Y151" s="419">
        <f t="shared" si="28"/>
        <v>550560</v>
      </c>
      <c r="Z151" s="405">
        <f t="shared" si="26"/>
        <v>6197</v>
      </c>
      <c r="AA151" s="405">
        <f t="shared" si="27"/>
        <v>7262500</v>
      </c>
    </row>
    <row r="152" spans="1:27">
      <c r="A152" s="434" t="s">
        <v>179</v>
      </c>
      <c r="B152" s="398">
        <v>384</v>
      </c>
      <c r="C152" s="398">
        <v>666044</v>
      </c>
      <c r="D152" s="398">
        <v>225</v>
      </c>
      <c r="E152" s="398">
        <v>237041</v>
      </c>
      <c r="F152" s="398">
        <v>111</v>
      </c>
      <c r="G152" s="398">
        <v>136011</v>
      </c>
      <c r="H152" s="398">
        <v>36</v>
      </c>
      <c r="I152" s="398">
        <v>67009</v>
      </c>
      <c r="J152" s="399">
        <v>449</v>
      </c>
      <c r="K152" s="400">
        <v>996359</v>
      </c>
      <c r="L152" s="398">
        <v>306</v>
      </c>
      <c r="M152" s="398">
        <v>433512</v>
      </c>
      <c r="N152" s="398">
        <v>849</v>
      </c>
      <c r="O152" s="398">
        <v>1256457</v>
      </c>
      <c r="P152" s="398">
        <v>395</v>
      </c>
      <c r="Q152" s="398">
        <v>604709</v>
      </c>
      <c r="R152" s="398">
        <v>684</v>
      </c>
      <c r="S152" s="398">
        <v>986787</v>
      </c>
      <c r="T152" s="398">
        <v>211</v>
      </c>
      <c r="U152" s="398">
        <v>279759</v>
      </c>
      <c r="V152" s="398">
        <f>_xlfn.IFNA(VLOOKUP(A152,[3]進出口值表查詢結果!$C$11:$F$68,4,0),-[4]整車!$B$22)</f>
        <v>506</v>
      </c>
      <c r="W152" s="398">
        <f>_xlfn.IFNA(VLOOKUP(A152,[3]進出口值表查詢結果!$C$11:$F$68,3,0),-[4]整車!$B$22)</f>
        <v>630607</v>
      </c>
      <c r="X152" s="398">
        <f>_xlfn.IFNA(VLOOKUP(A152,[5]進出口值表查詢結果!$C$11:$F$68,4,0),-[4]整車!$B$22)</f>
        <v>360</v>
      </c>
      <c r="Y152" s="398">
        <f>_xlfn.IFNA(VLOOKUP(A152,[5]進出口值表查詢結果!$C$11:$F$68,3,0),-[4]整車!$B$22)</f>
        <v>482820</v>
      </c>
      <c r="Z152" s="392">
        <f t="shared" si="26"/>
        <v>4516</v>
      </c>
      <c r="AA152" s="392">
        <f t="shared" si="27"/>
        <v>6777115</v>
      </c>
    </row>
    <row r="153" spans="1:27">
      <c r="A153" s="434" t="s">
        <v>335</v>
      </c>
      <c r="B153" s="398">
        <v>1</v>
      </c>
      <c r="C153" s="398">
        <v>2333</v>
      </c>
      <c r="D153" s="398"/>
      <c r="E153" s="398"/>
      <c r="F153" s="398">
        <v>0</v>
      </c>
      <c r="G153" s="398"/>
      <c r="H153" s="398">
        <v>15</v>
      </c>
      <c r="I153" s="398">
        <v>19675</v>
      </c>
      <c r="J153" s="399">
        <v>39</v>
      </c>
      <c r="K153" s="400">
        <v>39292</v>
      </c>
      <c r="L153" s="398">
        <v>0</v>
      </c>
      <c r="M153" s="398">
        <v>0</v>
      </c>
      <c r="N153" s="398">
        <v>0</v>
      </c>
      <c r="O153" s="398">
        <v>0</v>
      </c>
      <c r="P153" s="398">
        <v>0</v>
      </c>
      <c r="Q153" s="398">
        <v>0</v>
      </c>
      <c r="R153" s="398">
        <v>0</v>
      </c>
      <c r="S153" s="398">
        <v>0</v>
      </c>
      <c r="T153" s="398"/>
      <c r="U153" s="398"/>
      <c r="V153" s="398">
        <f>_xlfn.IFNA(VLOOKUP(A153,[3]進出口值表查詢結果!$C$11:$F$68,4,0),-[4]整車!$B$22)</f>
        <v>132</v>
      </c>
      <c r="W153" s="398">
        <f>_xlfn.IFNA(VLOOKUP(A153,[3]進出口值表查詢結果!$C$11:$F$68,3,0),-[4]整車!$B$22)</f>
        <v>135910</v>
      </c>
      <c r="X153" s="398">
        <f>_xlfn.IFNA(VLOOKUP(A153,[5]進出口值表查詢結果!$C$11:$F$68,4,0),-[4]整車!$B$22)</f>
        <v>0</v>
      </c>
      <c r="Y153" s="398">
        <f>_xlfn.IFNA(VLOOKUP(A153,[5]進出口值表查詢結果!$C$11:$F$68,3,0),-[4]整車!$B$22)</f>
        <v>0</v>
      </c>
      <c r="Z153" s="392">
        <f t="shared" si="26"/>
        <v>187</v>
      </c>
      <c r="AA153" s="392">
        <f t="shared" si="27"/>
        <v>197210</v>
      </c>
    </row>
    <row r="154" spans="1:27">
      <c r="A154" s="434" t="s">
        <v>336</v>
      </c>
      <c r="B154" s="398"/>
      <c r="C154" s="398"/>
      <c r="D154" s="398"/>
      <c r="E154" s="398"/>
      <c r="F154" s="398">
        <v>0</v>
      </c>
      <c r="G154" s="398"/>
      <c r="H154" s="398">
        <v>0</v>
      </c>
      <c r="I154" s="398">
        <v>0</v>
      </c>
      <c r="J154" s="399"/>
      <c r="K154" s="400"/>
      <c r="L154" s="398">
        <v>0</v>
      </c>
      <c r="M154" s="398">
        <v>0</v>
      </c>
      <c r="N154" s="398">
        <v>0</v>
      </c>
      <c r="O154" s="398">
        <v>0</v>
      </c>
      <c r="P154" s="398">
        <v>0</v>
      </c>
      <c r="Q154" s="398">
        <v>0</v>
      </c>
      <c r="R154" s="398">
        <v>0</v>
      </c>
      <c r="S154" s="398">
        <v>0</v>
      </c>
      <c r="T154" s="398"/>
      <c r="U154" s="398"/>
      <c r="V154" s="398">
        <f>_xlfn.IFNA(VLOOKUP(A154,[3]進出口值表查詢結果!$C$11:$F$68,4,0),-[4]整車!$B$22)</f>
        <v>0</v>
      </c>
      <c r="W154" s="398">
        <f>_xlfn.IFNA(VLOOKUP(A154,[3]進出口值表查詢結果!$C$11:$F$68,3,0),-[4]整車!$B$22)</f>
        <v>0</v>
      </c>
      <c r="X154" s="398">
        <f>_xlfn.IFNA(VLOOKUP(A154,[5]進出口值表查詢結果!$C$11:$F$68,4,0),-[4]整車!$B$22)</f>
        <v>0</v>
      </c>
      <c r="Y154" s="398">
        <f>_xlfn.IFNA(VLOOKUP(A154,[5]進出口值表查詢結果!$C$11:$F$68,3,0),-[4]整車!$B$22)</f>
        <v>0</v>
      </c>
      <c r="Z154" s="392">
        <f t="shared" si="26"/>
        <v>0</v>
      </c>
      <c r="AA154" s="392">
        <f t="shared" si="27"/>
        <v>0</v>
      </c>
    </row>
    <row r="155" spans="1:27">
      <c r="A155" s="434" t="s">
        <v>337</v>
      </c>
      <c r="B155" s="398"/>
      <c r="C155" s="398"/>
      <c r="D155" s="398"/>
      <c r="E155" s="398"/>
      <c r="F155" s="398">
        <v>0</v>
      </c>
      <c r="G155" s="398"/>
      <c r="H155" s="398">
        <v>0</v>
      </c>
      <c r="I155" s="398">
        <v>0</v>
      </c>
      <c r="J155" s="399"/>
      <c r="K155" s="400"/>
      <c r="L155" s="398">
        <v>0</v>
      </c>
      <c r="M155" s="398">
        <v>0</v>
      </c>
      <c r="N155" s="398">
        <v>0</v>
      </c>
      <c r="O155" s="398">
        <v>0</v>
      </c>
      <c r="P155" s="398">
        <v>0</v>
      </c>
      <c r="Q155" s="398">
        <v>0</v>
      </c>
      <c r="R155" s="398">
        <v>0</v>
      </c>
      <c r="S155" s="398">
        <v>0</v>
      </c>
      <c r="T155" s="398"/>
      <c r="U155" s="398"/>
      <c r="V155" s="398">
        <f>_xlfn.IFNA(VLOOKUP(A155,[3]進出口值表查詢結果!$C$11:$F$68,4,0),-[4]整車!$B$22)</f>
        <v>0</v>
      </c>
      <c r="W155" s="398">
        <f>_xlfn.IFNA(VLOOKUP(A155,[3]進出口值表查詢結果!$C$11:$F$68,3,0),-[4]整車!$B$22)</f>
        <v>0</v>
      </c>
      <c r="X155" s="398">
        <f>_xlfn.IFNA(VLOOKUP(A155,[5]進出口值表查詢結果!$C$11:$F$68,4,0),-[4]整車!$B$22)</f>
        <v>0</v>
      </c>
      <c r="Y155" s="398">
        <f>_xlfn.IFNA(VLOOKUP(A155,[5]進出口值表查詢結果!$C$11:$F$68,3,0),-[4]整車!$B$22)</f>
        <v>0</v>
      </c>
      <c r="Z155" s="392">
        <f t="shared" si="26"/>
        <v>0</v>
      </c>
      <c r="AA155" s="392">
        <f t="shared" si="27"/>
        <v>0</v>
      </c>
    </row>
    <row r="156" spans="1:27">
      <c r="A156" s="434" t="s">
        <v>194</v>
      </c>
      <c r="B156" s="398"/>
      <c r="C156" s="398"/>
      <c r="D156" s="398"/>
      <c r="E156" s="398"/>
      <c r="F156" s="398">
        <v>0</v>
      </c>
      <c r="G156" s="398"/>
      <c r="H156" s="398">
        <v>0</v>
      </c>
      <c r="I156" s="398">
        <v>0</v>
      </c>
      <c r="J156" s="399"/>
      <c r="K156" s="400"/>
      <c r="L156" s="398">
        <v>0</v>
      </c>
      <c r="M156" s="398">
        <v>0</v>
      </c>
      <c r="N156" s="398">
        <v>0</v>
      </c>
      <c r="O156" s="398">
        <v>0</v>
      </c>
      <c r="P156" s="398">
        <v>0</v>
      </c>
      <c r="Q156" s="398">
        <v>0</v>
      </c>
      <c r="R156" s="398">
        <v>0</v>
      </c>
      <c r="S156" s="398">
        <v>0</v>
      </c>
      <c r="T156" s="398"/>
      <c r="U156" s="398"/>
      <c r="V156" s="398">
        <f>_xlfn.IFNA(VLOOKUP(A156,[3]進出口值表查詢結果!$C$11:$F$68,4,0),-[4]整車!$B$22)</f>
        <v>0</v>
      </c>
      <c r="W156" s="398">
        <f>_xlfn.IFNA(VLOOKUP(A156,[3]進出口值表查詢結果!$C$11:$F$68,3,0),-[4]整車!$B$22)</f>
        <v>0</v>
      </c>
      <c r="X156" s="398">
        <f>_xlfn.IFNA(VLOOKUP(A156,[5]進出口值表查詢結果!$C$11:$F$68,4,0),-[4]整車!$B$22)</f>
        <v>0</v>
      </c>
      <c r="Y156" s="398">
        <f>_xlfn.IFNA(VLOOKUP(A156,[5]進出口值表查詢結果!$C$11:$F$68,3,0),-[4]整車!$B$22)</f>
        <v>0</v>
      </c>
      <c r="Z156" s="392">
        <f t="shared" si="26"/>
        <v>0</v>
      </c>
      <c r="AA156" s="392">
        <f t="shared" si="27"/>
        <v>0</v>
      </c>
    </row>
    <row r="157" spans="1:27">
      <c r="A157" s="434" t="s">
        <v>338</v>
      </c>
      <c r="B157" s="398"/>
      <c r="C157" s="398"/>
      <c r="D157" s="398"/>
      <c r="E157" s="398"/>
      <c r="F157" s="398">
        <v>0</v>
      </c>
      <c r="G157" s="398"/>
      <c r="H157" s="398">
        <v>0</v>
      </c>
      <c r="I157" s="398">
        <v>0</v>
      </c>
      <c r="J157" s="399"/>
      <c r="K157" s="400"/>
      <c r="L157" s="398">
        <v>0</v>
      </c>
      <c r="M157" s="398">
        <v>0</v>
      </c>
      <c r="N157" s="398">
        <v>0</v>
      </c>
      <c r="O157" s="398">
        <v>0</v>
      </c>
      <c r="P157" s="398">
        <v>113</v>
      </c>
      <c r="Q157" s="398">
        <v>610</v>
      </c>
      <c r="R157" s="398">
        <v>25</v>
      </c>
      <c r="S157" s="398">
        <v>408</v>
      </c>
      <c r="T157" s="398">
        <v>56</v>
      </c>
      <c r="U157" s="398">
        <v>448</v>
      </c>
      <c r="V157" s="398">
        <f>_xlfn.IFNA(VLOOKUP(A157,[3]進出口值表查詢結果!$C$11:$F$68,4,0),-[4]整車!$B$22)</f>
        <v>0</v>
      </c>
      <c r="W157" s="398">
        <f>_xlfn.IFNA(VLOOKUP(A157,[3]進出口值表查詢結果!$C$11:$F$68,3,0),-[4]整車!$B$22)</f>
        <v>0</v>
      </c>
      <c r="X157" s="398">
        <f>_xlfn.IFNA(VLOOKUP(A157,[5]進出口值表查詢結果!$C$11:$F$75,4,0),-[4]整車!$B$22)</f>
        <v>6</v>
      </c>
      <c r="Y157" s="398">
        <f>_xlfn.IFNA(VLOOKUP(A157,[5]進出口值表查詢結果!$C$11:$F$75,3,0),-[4]整車!$B$22)</f>
        <v>175</v>
      </c>
      <c r="Z157" s="392">
        <f t="shared" si="26"/>
        <v>200</v>
      </c>
      <c r="AA157" s="392">
        <f t="shared" si="27"/>
        <v>1641</v>
      </c>
    </row>
    <row r="158" spans="1:27">
      <c r="A158" s="434" t="s">
        <v>339</v>
      </c>
      <c r="B158" s="398"/>
      <c r="C158" s="398"/>
      <c r="D158" s="398"/>
      <c r="E158" s="398"/>
      <c r="F158" s="398">
        <v>0</v>
      </c>
      <c r="G158" s="398"/>
      <c r="H158" s="398">
        <v>0</v>
      </c>
      <c r="I158" s="398">
        <v>0</v>
      </c>
      <c r="J158" s="399"/>
      <c r="K158" s="400"/>
      <c r="L158" s="398">
        <v>0</v>
      </c>
      <c r="M158" s="398">
        <v>0</v>
      </c>
      <c r="N158" s="398">
        <v>0</v>
      </c>
      <c r="O158" s="398">
        <v>0</v>
      </c>
      <c r="P158" s="398">
        <v>0</v>
      </c>
      <c r="Q158" s="398">
        <v>0</v>
      </c>
      <c r="R158" s="398">
        <v>0</v>
      </c>
      <c r="S158" s="398">
        <v>0</v>
      </c>
      <c r="T158" s="398"/>
      <c r="U158" s="398"/>
      <c r="V158" s="398">
        <f>_xlfn.IFNA(VLOOKUP(A158,[3]進出口值表查詢結果!$C$11:$F$68,4,0),-[4]整車!$B$22)</f>
        <v>0</v>
      </c>
      <c r="W158" s="398">
        <f>_xlfn.IFNA(VLOOKUP(A158,[3]進出口值表查詢結果!$C$11:$F$68,3,0),-[4]整車!$B$22)</f>
        <v>0</v>
      </c>
      <c r="X158" s="398">
        <f>_xlfn.IFNA(VLOOKUP(A158,[5]進出口值表查詢結果!$C$11:$F$75,4,0),-[4]整車!$B$22)</f>
        <v>0</v>
      </c>
      <c r="Y158" s="398">
        <f>_xlfn.IFNA(VLOOKUP(A158,[5]進出口值表查詢結果!$C$11:$F$75,3,0),-[4]整車!$B$22)</f>
        <v>0</v>
      </c>
      <c r="Z158" s="392">
        <f t="shared" si="26"/>
        <v>0</v>
      </c>
      <c r="AA158" s="392">
        <f t="shared" si="27"/>
        <v>0</v>
      </c>
    </row>
    <row r="159" spans="1:27">
      <c r="A159" s="434" t="s">
        <v>340</v>
      </c>
      <c r="B159" s="398"/>
      <c r="C159" s="398"/>
      <c r="D159" s="398"/>
      <c r="E159" s="398"/>
      <c r="F159" s="398">
        <v>0</v>
      </c>
      <c r="G159" s="398"/>
      <c r="H159" s="398">
        <v>0</v>
      </c>
      <c r="I159" s="398">
        <v>0</v>
      </c>
      <c r="J159" s="399"/>
      <c r="K159" s="400"/>
      <c r="L159" s="398">
        <v>0</v>
      </c>
      <c r="M159" s="398">
        <v>0</v>
      </c>
      <c r="N159" s="398">
        <v>0</v>
      </c>
      <c r="O159" s="398">
        <v>0</v>
      </c>
      <c r="P159" s="398">
        <v>0</v>
      </c>
      <c r="Q159" s="398">
        <v>0</v>
      </c>
      <c r="R159" s="398">
        <v>0</v>
      </c>
      <c r="S159" s="398">
        <v>0</v>
      </c>
      <c r="T159" s="398"/>
      <c r="U159" s="398"/>
      <c r="V159" s="398">
        <f>_xlfn.IFNA(VLOOKUP(A159,[3]進出口值表查詢結果!$C$11:$F$68,4,0),-[4]整車!$B$22)</f>
        <v>0</v>
      </c>
      <c r="W159" s="398">
        <f>_xlfn.IFNA(VLOOKUP(A159,[3]進出口值表查詢結果!$C$11:$F$68,3,0),-[4]整車!$B$22)</f>
        <v>0</v>
      </c>
      <c r="X159" s="398">
        <f>_xlfn.IFNA(VLOOKUP(A159,[5]進出口值表查詢結果!$C$11:$F$75,4,0),-[4]整車!$B$22)</f>
        <v>0</v>
      </c>
      <c r="Y159" s="398">
        <f>_xlfn.IFNA(VLOOKUP(A159,[5]進出口值表查詢結果!$C$11:$F$75,3,0),-[4]整車!$B$22)</f>
        <v>0</v>
      </c>
      <c r="Z159" s="392">
        <f t="shared" si="26"/>
        <v>0</v>
      </c>
      <c r="AA159" s="392">
        <f t="shared" si="27"/>
        <v>0</v>
      </c>
    </row>
    <row r="160" spans="1:27">
      <c r="A160" s="434" t="s">
        <v>341</v>
      </c>
      <c r="B160" s="398"/>
      <c r="C160" s="398"/>
      <c r="D160" s="398"/>
      <c r="E160" s="398"/>
      <c r="F160" s="398">
        <v>4</v>
      </c>
      <c r="G160" s="398">
        <v>3551</v>
      </c>
      <c r="H160" s="398">
        <v>0</v>
      </c>
      <c r="I160" s="398">
        <v>0</v>
      </c>
      <c r="J160" s="399"/>
      <c r="K160" s="400"/>
      <c r="L160" s="398">
        <v>0</v>
      </c>
      <c r="M160" s="398">
        <v>0</v>
      </c>
      <c r="N160" s="398">
        <v>0</v>
      </c>
      <c r="O160" s="398">
        <v>0</v>
      </c>
      <c r="P160" s="398">
        <v>155</v>
      </c>
      <c r="Q160" s="398">
        <v>20061</v>
      </c>
      <c r="R160" s="398">
        <v>0</v>
      </c>
      <c r="S160" s="398">
        <v>0</v>
      </c>
      <c r="T160" s="398"/>
      <c r="U160" s="398"/>
      <c r="V160" s="398">
        <f>_xlfn.IFNA(VLOOKUP(A160,[3]進出口值表查詢結果!$C$11:$F$68,4,0),-[4]整車!$B$22)</f>
        <v>0</v>
      </c>
      <c r="W160" s="398">
        <f>_xlfn.IFNA(VLOOKUP(A160,[3]進出口值表查詢結果!$C$11:$F$68,3,0),-[4]整車!$B$22)</f>
        <v>0</v>
      </c>
      <c r="X160" s="398">
        <f>_xlfn.IFNA(VLOOKUP(A160,[5]進出口值表查詢結果!$C$11:$F$75,4,0),-[4]整車!$B$22)</f>
        <v>0</v>
      </c>
      <c r="Y160" s="398">
        <f>_xlfn.IFNA(VLOOKUP(A160,[5]進出口值表查詢結果!$C$11:$F$75,3,0),-[4]整車!$B$22)</f>
        <v>0</v>
      </c>
      <c r="Z160" s="392">
        <f t="shared" si="26"/>
        <v>159</v>
      </c>
      <c r="AA160" s="392">
        <f t="shared" si="27"/>
        <v>23612</v>
      </c>
    </row>
    <row r="161" spans="1:27">
      <c r="A161" s="434" t="s">
        <v>342</v>
      </c>
      <c r="B161" s="398">
        <v>17</v>
      </c>
      <c r="C161" s="398">
        <v>28291</v>
      </c>
      <c r="D161" s="398"/>
      <c r="E161" s="398"/>
      <c r="F161" s="398">
        <v>0</v>
      </c>
      <c r="G161" s="398"/>
      <c r="H161" s="398">
        <v>35</v>
      </c>
      <c r="I161" s="398">
        <v>30408</v>
      </c>
      <c r="J161" s="399"/>
      <c r="K161" s="400"/>
      <c r="L161" s="398">
        <v>39</v>
      </c>
      <c r="M161" s="398">
        <v>54290</v>
      </c>
      <c r="N161" s="398">
        <v>0</v>
      </c>
      <c r="O161" s="398">
        <v>0</v>
      </c>
      <c r="P161" s="398">
        <v>36</v>
      </c>
      <c r="Q161" s="398">
        <v>38326</v>
      </c>
      <c r="R161" s="398">
        <v>0</v>
      </c>
      <c r="S161" s="398">
        <v>0</v>
      </c>
      <c r="T161" s="398">
        <v>41</v>
      </c>
      <c r="U161" s="398">
        <v>29673</v>
      </c>
      <c r="V161" s="398">
        <f>_xlfn.IFNA(VLOOKUP(A161,[3]進出口值表查詢結果!$C$11:$F$68,4,0),-[4]整車!$B$22)</f>
        <v>0</v>
      </c>
      <c r="W161" s="398">
        <f>_xlfn.IFNA(VLOOKUP(A161,[3]進出口值表查詢結果!$C$11:$F$68,3,0),-[4]整車!$B$22)</f>
        <v>0</v>
      </c>
      <c r="X161" s="398">
        <f>_xlfn.IFNA(VLOOKUP(A161,[5]進出口值表查詢結果!$C$11:$F$75,4,0),-[4]整車!$B$22)</f>
        <v>50</v>
      </c>
      <c r="Y161" s="398">
        <f>_xlfn.IFNA(VLOOKUP(A161,[5]進出口值表查詢結果!$C$11:$F$75,3,0),-[4]整車!$B$22)</f>
        <v>63646</v>
      </c>
      <c r="Z161" s="392">
        <f t="shared" si="26"/>
        <v>218</v>
      </c>
      <c r="AA161" s="392">
        <f t="shared" si="27"/>
        <v>244634</v>
      </c>
    </row>
    <row r="162" spans="1:27">
      <c r="A162" s="434" t="s">
        <v>343</v>
      </c>
      <c r="B162" s="398"/>
      <c r="C162" s="398"/>
      <c r="D162" s="398"/>
      <c r="E162" s="398"/>
      <c r="F162" s="398">
        <v>0</v>
      </c>
      <c r="G162" s="398"/>
      <c r="H162" s="398">
        <v>0</v>
      </c>
      <c r="I162" s="398">
        <v>0</v>
      </c>
      <c r="J162" s="399">
        <v>5</v>
      </c>
      <c r="K162" s="400">
        <v>802</v>
      </c>
      <c r="L162" s="398">
        <v>0</v>
      </c>
      <c r="M162" s="398">
        <v>0</v>
      </c>
      <c r="N162" s="398">
        <v>0</v>
      </c>
      <c r="O162" s="398">
        <v>0</v>
      </c>
      <c r="P162" s="398">
        <v>0</v>
      </c>
      <c r="Q162" s="398">
        <v>0</v>
      </c>
      <c r="R162" s="398">
        <v>0</v>
      </c>
      <c r="S162" s="398">
        <v>0</v>
      </c>
      <c r="T162" s="398"/>
      <c r="U162" s="398"/>
      <c r="V162" s="398">
        <f>_xlfn.IFNA(VLOOKUP(A162,[3]進出口值表查詢結果!$C$11:$F$68,4,0),-[4]整車!$B$22)</f>
        <v>0</v>
      </c>
      <c r="W162" s="398">
        <f>_xlfn.IFNA(VLOOKUP(A162,[3]進出口值表查詢結果!$C$11:$F$68,3,0),-[4]整車!$B$22)</f>
        <v>0</v>
      </c>
      <c r="X162" s="398">
        <f>_xlfn.IFNA(VLOOKUP(A162,[5]進出口值表查詢結果!$C$11:$F$75,4,0),-[4]整車!$B$22)</f>
        <v>0</v>
      </c>
      <c r="Y162" s="398">
        <f>_xlfn.IFNA(VLOOKUP(A162,[5]進出口值表查詢結果!$C$11:$F$75,3,0),-[4]整車!$B$22)</f>
        <v>0</v>
      </c>
      <c r="Z162" s="392">
        <f t="shared" si="26"/>
        <v>5</v>
      </c>
      <c r="AA162" s="392">
        <f t="shared" si="27"/>
        <v>802</v>
      </c>
    </row>
    <row r="163" spans="1:27">
      <c r="A163" s="434" t="s">
        <v>344</v>
      </c>
      <c r="B163" s="398"/>
      <c r="C163" s="398"/>
      <c r="D163" s="398"/>
      <c r="E163" s="398"/>
      <c r="F163" s="398">
        <v>0</v>
      </c>
      <c r="G163" s="398"/>
      <c r="H163" s="398">
        <v>0</v>
      </c>
      <c r="I163" s="398">
        <v>0</v>
      </c>
      <c r="J163" s="399">
        <v>120</v>
      </c>
      <c r="K163" s="400">
        <v>401</v>
      </c>
      <c r="L163" s="398">
        <v>82</v>
      </c>
      <c r="M163" s="398">
        <v>6803</v>
      </c>
      <c r="N163" s="398">
        <v>0</v>
      </c>
      <c r="O163" s="398">
        <v>0</v>
      </c>
      <c r="P163" s="398">
        <v>512</v>
      </c>
      <c r="Q163" s="398">
        <v>5219</v>
      </c>
      <c r="R163" s="398">
        <v>0</v>
      </c>
      <c r="S163" s="398">
        <v>0</v>
      </c>
      <c r="T163" s="398"/>
      <c r="U163" s="398"/>
      <c r="V163" s="398">
        <f>_xlfn.IFNA(VLOOKUP(A163,[3]進出口值表查詢結果!$C$11:$F$68,4,0),-[4]整車!$B$22)</f>
        <v>0</v>
      </c>
      <c r="W163" s="398">
        <f>_xlfn.IFNA(VLOOKUP(A163,[3]進出口值表查詢結果!$C$11:$F$68,3,0),-[4]整車!$B$22)</f>
        <v>0</v>
      </c>
      <c r="X163" s="398">
        <f>_xlfn.IFNA(VLOOKUP(A163,[5]進出口值表查詢結果!$C$11:$F$75,4,0),-[4]整車!$B$22)</f>
        <v>0</v>
      </c>
      <c r="Y163" s="398">
        <f>_xlfn.IFNA(VLOOKUP(A163,[5]進出口值表查詢結果!$C$11:$F$75,3,0),-[4]整車!$B$22)</f>
        <v>0</v>
      </c>
      <c r="Z163" s="392">
        <f t="shared" si="26"/>
        <v>714</v>
      </c>
      <c r="AA163" s="392">
        <f t="shared" si="27"/>
        <v>12423</v>
      </c>
    </row>
    <row r="164" spans="1:27">
      <c r="A164" s="434" t="s">
        <v>345</v>
      </c>
      <c r="B164" s="398"/>
      <c r="C164" s="398"/>
      <c r="D164" s="398"/>
      <c r="E164" s="398"/>
      <c r="F164" s="398">
        <v>0</v>
      </c>
      <c r="G164" s="398"/>
      <c r="H164" s="398">
        <v>0</v>
      </c>
      <c r="I164" s="398">
        <v>0</v>
      </c>
      <c r="J164" s="399"/>
      <c r="K164" s="400"/>
      <c r="L164" s="398">
        <v>0</v>
      </c>
      <c r="M164" s="398">
        <v>0</v>
      </c>
      <c r="N164" s="398">
        <v>0</v>
      </c>
      <c r="O164" s="398">
        <v>0</v>
      </c>
      <c r="P164" s="398">
        <v>0</v>
      </c>
      <c r="Q164" s="398">
        <v>0</v>
      </c>
      <c r="R164" s="398">
        <v>0</v>
      </c>
      <c r="S164" s="398">
        <v>0</v>
      </c>
      <c r="T164" s="398"/>
      <c r="U164" s="398"/>
      <c r="V164" s="398">
        <f>_xlfn.IFNA(VLOOKUP(A164,[3]進出口值表查詢結果!$C$11:$F$68,4,0),-[4]整車!$B$22)</f>
        <v>0</v>
      </c>
      <c r="W164" s="398">
        <f>_xlfn.IFNA(VLOOKUP(A164,[3]進出口值表查詢結果!$C$11:$F$68,3,0),-[4]整車!$B$22)</f>
        <v>0</v>
      </c>
      <c r="X164" s="398">
        <f>_xlfn.IFNA(VLOOKUP(A164,[5]進出口值表查詢結果!$C$11:$F$75,4,0),-[4]整車!$B$22)</f>
        <v>0</v>
      </c>
      <c r="Y164" s="398">
        <f>_xlfn.IFNA(VLOOKUP(A164,[5]進出口值表查詢結果!$C$11:$F$75,3,0),-[4]整車!$B$22)</f>
        <v>0</v>
      </c>
      <c r="Z164" s="392">
        <f t="shared" si="26"/>
        <v>0</v>
      </c>
      <c r="AA164" s="392">
        <f t="shared" si="27"/>
        <v>0</v>
      </c>
    </row>
    <row r="165" spans="1:27">
      <c r="A165" s="434" t="s">
        <v>346</v>
      </c>
      <c r="B165" s="398"/>
      <c r="C165" s="398"/>
      <c r="D165" s="398"/>
      <c r="E165" s="398"/>
      <c r="F165" s="398">
        <v>0</v>
      </c>
      <c r="G165" s="398"/>
      <c r="H165" s="398">
        <v>0</v>
      </c>
      <c r="I165" s="398">
        <v>0</v>
      </c>
      <c r="J165" s="399"/>
      <c r="K165" s="400"/>
      <c r="L165" s="398">
        <v>0</v>
      </c>
      <c r="M165" s="398">
        <v>0</v>
      </c>
      <c r="N165" s="398">
        <v>0</v>
      </c>
      <c r="O165" s="398">
        <v>0</v>
      </c>
      <c r="P165" s="398">
        <v>0</v>
      </c>
      <c r="Q165" s="398">
        <v>0</v>
      </c>
      <c r="R165" s="398">
        <v>0</v>
      </c>
      <c r="S165" s="398">
        <v>0</v>
      </c>
      <c r="T165" s="398"/>
      <c r="U165" s="398"/>
      <c r="V165" s="398">
        <f>_xlfn.IFNA(VLOOKUP(A165,[3]進出口值表查詢結果!$C$11:$F$68,4,0),-[4]整車!$B$22)</f>
        <v>0</v>
      </c>
      <c r="W165" s="398">
        <f>_xlfn.IFNA(VLOOKUP(A165,[3]進出口值表查詢結果!$C$11:$F$68,3,0),-[4]整車!$B$22)</f>
        <v>0</v>
      </c>
      <c r="X165" s="398">
        <f>_xlfn.IFNA(VLOOKUP(A165,[5]進出口值表查詢結果!$C$11:$F$75,4,0),-[4]整車!$B$22)</f>
        <v>0</v>
      </c>
      <c r="Y165" s="398">
        <f>_xlfn.IFNA(VLOOKUP(A165,[5]進出口值表查詢結果!$C$11:$F$75,3,0),-[4]整車!$B$22)</f>
        <v>0</v>
      </c>
      <c r="Z165" s="392">
        <f t="shared" si="26"/>
        <v>0</v>
      </c>
      <c r="AA165" s="392">
        <f t="shared" si="27"/>
        <v>0</v>
      </c>
    </row>
    <row r="166" spans="1:27">
      <c r="A166" s="434" t="s">
        <v>347</v>
      </c>
      <c r="B166" s="398"/>
      <c r="C166" s="398"/>
      <c r="D166" s="398"/>
      <c r="E166" s="398"/>
      <c r="F166" s="398">
        <v>0</v>
      </c>
      <c r="G166" s="398"/>
      <c r="H166" s="398">
        <v>0</v>
      </c>
      <c r="I166" s="398">
        <v>0</v>
      </c>
      <c r="J166" s="399"/>
      <c r="K166" s="400"/>
      <c r="L166" s="398">
        <v>0</v>
      </c>
      <c r="M166" s="398">
        <v>0</v>
      </c>
      <c r="N166" s="398">
        <v>0</v>
      </c>
      <c r="O166" s="398">
        <v>0</v>
      </c>
      <c r="P166" s="398">
        <v>0</v>
      </c>
      <c r="Q166" s="398">
        <v>0</v>
      </c>
      <c r="R166" s="398">
        <v>0</v>
      </c>
      <c r="S166" s="398">
        <v>0</v>
      </c>
      <c r="T166" s="398"/>
      <c r="U166" s="398"/>
      <c r="V166" s="398">
        <f>_xlfn.IFNA(VLOOKUP(A166,[3]進出口值表查詢結果!$C$11:$F$68,4,0),-[4]整車!$B$22)</f>
        <v>0</v>
      </c>
      <c r="W166" s="398">
        <f>_xlfn.IFNA(VLOOKUP(A166,[3]進出口值表查詢結果!$C$11:$F$68,3,0),-[4]整車!$B$22)</f>
        <v>0</v>
      </c>
      <c r="X166" s="398">
        <f>_xlfn.IFNA(VLOOKUP(A166,[5]進出口值表查詢結果!$C$11:$F$75,4,0),-[4]整車!$B$22)</f>
        <v>0</v>
      </c>
      <c r="Y166" s="398">
        <f>_xlfn.IFNA(VLOOKUP(A166,[5]進出口值表查詢結果!$C$11:$F$75,3,0),-[4]整車!$B$22)</f>
        <v>0</v>
      </c>
      <c r="Z166" s="392">
        <f t="shared" si="26"/>
        <v>0</v>
      </c>
      <c r="AA166" s="392">
        <f t="shared" si="27"/>
        <v>0</v>
      </c>
    </row>
    <row r="167" spans="1:27">
      <c r="A167" s="434" t="s">
        <v>348</v>
      </c>
      <c r="B167" s="398"/>
      <c r="C167" s="398"/>
      <c r="D167" s="398"/>
      <c r="E167" s="398"/>
      <c r="F167" s="398">
        <v>0</v>
      </c>
      <c r="G167" s="398"/>
      <c r="H167" s="398">
        <v>0</v>
      </c>
      <c r="I167" s="398">
        <v>0</v>
      </c>
      <c r="J167" s="399"/>
      <c r="K167" s="400"/>
      <c r="L167" s="398">
        <v>0</v>
      </c>
      <c r="M167" s="398">
        <v>0</v>
      </c>
      <c r="N167" s="398">
        <v>0</v>
      </c>
      <c r="O167" s="398">
        <v>0</v>
      </c>
      <c r="P167" s="398">
        <v>0</v>
      </c>
      <c r="Q167" s="398">
        <v>0</v>
      </c>
      <c r="R167" s="398">
        <v>0</v>
      </c>
      <c r="S167" s="398">
        <v>0</v>
      </c>
      <c r="T167" s="398"/>
      <c r="U167" s="398"/>
      <c r="V167" s="398">
        <f>_xlfn.IFNA(VLOOKUP(A167,[3]進出口值表查詢結果!$C$11:$F$68,4,0),-[4]整車!$B$22)</f>
        <v>0</v>
      </c>
      <c r="W167" s="398">
        <f>_xlfn.IFNA(VLOOKUP(A167,[3]進出口值表查詢結果!$C$11:$F$68,3,0),-[4]整車!$B$22)</f>
        <v>0</v>
      </c>
      <c r="X167" s="398">
        <f>_xlfn.IFNA(VLOOKUP(A167,[5]進出口值表查詢結果!$C$11:$F$75,4,0),-[4]整車!$B$22)</f>
        <v>0</v>
      </c>
      <c r="Y167" s="398">
        <f>_xlfn.IFNA(VLOOKUP(A167,[5]進出口值表查詢結果!$C$11:$F$75,3,0),-[4]整車!$B$22)</f>
        <v>0</v>
      </c>
      <c r="Z167" s="392">
        <f t="shared" si="26"/>
        <v>0</v>
      </c>
      <c r="AA167" s="392">
        <f t="shared" si="27"/>
        <v>0</v>
      </c>
    </row>
    <row r="168" spans="1:27">
      <c r="A168" s="434" t="s">
        <v>349</v>
      </c>
      <c r="B168" s="398">
        <v>30</v>
      </c>
      <c r="C168" s="398">
        <v>67</v>
      </c>
      <c r="D168" s="398">
        <v>30</v>
      </c>
      <c r="E168" s="398">
        <v>167</v>
      </c>
      <c r="F168" s="398">
        <v>0</v>
      </c>
      <c r="G168" s="398"/>
      <c r="H168" s="398">
        <v>0</v>
      </c>
      <c r="I168" s="398">
        <v>0</v>
      </c>
      <c r="J168" s="399"/>
      <c r="K168" s="400"/>
      <c r="L168" s="398">
        <v>0</v>
      </c>
      <c r="M168" s="398">
        <v>0</v>
      </c>
      <c r="N168" s="398">
        <v>0</v>
      </c>
      <c r="O168" s="398">
        <v>0</v>
      </c>
      <c r="P168" s="398">
        <v>0</v>
      </c>
      <c r="Q168" s="398">
        <v>0</v>
      </c>
      <c r="R168" s="398">
        <v>0</v>
      </c>
      <c r="S168" s="398">
        <v>0</v>
      </c>
      <c r="T168" s="398">
        <v>10</v>
      </c>
      <c r="U168" s="398">
        <v>103</v>
      </c>
      <c r="V168" s="398">
        <f>_xlfn.IFNA(VLOOKUP(A168,[3]進出口值表查詢結果!$C$11:$F$68,4,0),-[4]整車!$B$22)</f>
        <v>0</v>
      </c>
      <c r="W168" s="398">
        <f>_xlfn.IFNA(VLOOKUP(A168,[3]進出口值表查詢結果!$C$11:$F$68,3,0),-[4]整車!$B$22)</f>
        <v>0</v>
      </c>
      <c r="X168" s="398">
        <f>_xlfn.IFNA(VLOOKUP(A168,[5]進出口值表查詢結果!$C$11:$F$75,4,0),-[4]整車!$B$22)</f>
        <v>0</v>
      </c>
      <c r="Y168" s="398">
        <f>_xlfn.IFNA(VLOOKUP(A168,[5]進出口值表查詢結果!$C$11:$F$75,3,0),-[4]整車!$B$22)</f>
        <v>0</v>
      </c>
      <c r="Z168" s="392">
        <f t="shared" ref="Z168:Z185" si="29">SUM(B168,D168,F168,H168,J168,L168,N168,P168,R168,T168,V168,X168)</f>
        <v>70</v>
      </c>
      <c r="AA168" s="392">
        <f t="shared" ref="AA168:AA185" si="30">SUM(C168,E168,G168,I168,K168,M168,O168,Q168,S168,U168,W168,Y168)</f>
        <v>337</v>
      </c>
    </row>
    <row r="169" spans="1:27">
      <c r="A169" s="434" t="s">
        <v>403</v>
      </c>
      <c r="B169" s="398"/>
      <c r="C169" s="398"/>
      <c r="D169" s="398"/>
      <c r="E169" s="398"/>
      <c r="F169" s="398">
        <v>0</v>
      </c>
      <c r="G169" s="398"/>
      <c r="H169" s="398">
        <v>0</v>
      </c>
      <c r="I169" s="398">
        <v>0</v>
      </c>
      <c r="J169" s="399"/>
      <c r="K169" s="400"/>
      <c r="L169" s="398">
        <v>0</v>
      </c>
      <c r="M169" s="398">
        <v>0</v>
      </c>
      <c r="N169" s="398">
        <v>0</v>
      </c>
      <c r="O169" s="398">
        <v>0</v>
      </c>
      <c r="P169" s="398">
        <v>0</v>
      </c>
      <c r="Q169" s="398">
        <v>0</v>
      </c>
      <c r="R169" s="398">
        <v>0</v>
      </c>
      <c r="S169" s="398">
        <v>0</v>
      </c>
      <c r="T169" s="398"/>
      <c r="U169" s="398"/>
      <c r="V169" s="398">
        <f>_xlfn.IFNA(VLOOKUP(A169,[3]進出口值表查詢結果!$C$11:$F$68,4,0),-[4]整車!$B$22)</f>
        <v>0</v>
      </c>
      <c r="W169" s="398">
        <f>_xlfn.IFNA(VLOOKUP(A169,[3]進出口值表查詢結果!$C$11:$F$68,3,0),-[4]整車!$B$22)</f>
        <v>0</v>
      </c>
      <c r="X169" s="398">
        <f>_xlfn.IFNA(VLOOKUP(A169,[5]進出口值表查詢結果!$C$11:$F$75,4,0),-[4]整車!$B$22)</f>
        <v>52</v>
      </c>
      <c r="Y169" s="398">
        <f>_xlfn.IFNA(VLOOKUP(A169,[5]進出口值表查詢結果!$C$11:$F$75,3,0),-[4]整車!$B$22)</f>
        <v>175</v>
      </c>
      <c r="Z169" s="392">
        <f t="shared" si="29"/>
        <v>52</v>
      </c>
      <c r="AA169" s="392">
        <f t="shared" si="30"/>
        <v>175</v>
      </c>
    </row>
    <row r="170" spans="1:27">
      <c r="A170" s="434" t="s">
        <v>350</v>
      </c>
      <c r="B170" s="398">
        <v>6</v>
      </c>
      <c r="C170" s="398">
        <v>400</v>
      </c>
      <c r="D170" s="398"/>
      <c r="E170" s="398"/>
      <c r="F170" s="398">
        <v>0</v>
      </c>
      <c r="G170" s="398"/>
      <c r="H170" s="398">
        <v>0</v>
      </c>
      <c r="I170" s="398">
        <v>0</v>
      </c>
      <c r="J170" s="399"/>
      <c r="K170" s="400"/>
      <c r="L170" s="398">
        <v>0</v>
      </c>
      <c r="M170" s="398">
        <v>0</v>
      </c>
      <c r="N170" s="398">
        <v>0</v>
      </c>
      <c r="O170" s="398">
        <v>0</v>
      </c>
      <c r="P170" s="398">
        <v>0</v>
      </c>
      <c r="Q170" s="398">
        <v>0</v>
      </c>
      <c r="R170" s="398">
        <v>0</v>
      </c>
      <c r="S170" s="398">
        <v>0</v>
      </c>
      <c r="T170" s="398"/>
      <c r="U170" s="398"/>
      <c r="V170" s="398">
        <f>_xlfn.IFNA(VLOOKUP(A170,[3]進出口值表查詢結果!$C$11:$F$68,4,0),-[4]整車!$B$22)</f>
        <v>0</v>
      </c>
      <c r="W170" s="398">
        <f>_xlfn.IFNA(VLOOKUP(A170,[3]進出口值表查詢結果!$C$11:$F$68,3,0),-[4]整車!$B$22)</f>
        <v>0</v>
      </c>
      <c r="X170" s="398">
        <f>_xlfn.IFNA(VLOOKUP(A170,[5]進出口值表查詢結果!$C$11:$F$75,4,0),-[4]整車!$B$22)</f>
        <v>0</v>
      </c>
      <c r="Y170" s="398">
        <f>_xlfn.IFNA(VLOOKUP(A170,[5]進出口值表查詢結果!$C$11:$F$75,3,0),-[4]整車!$B$22)</f>
        <v>0</v>
      </c>
      <c r="Z170" s="392">
        <f t="shared" si="29"/>
        <v>6</v>
      </c>
      <c r="AA170" s="392">
        <f t="shared" si="30"/>
        <v>400</v>
      </c>
    </row>
    <row r="171" spans="1:27">
      <c r="A171" s="434" t="s">
        <v>351</v>
      </c>
      <c r="B171" s="398"/>
      <c r="C171" s="398"/>
      <c r="D171" s="398"/>
      <c r="E171" s="398"/>
      <c r="F171" s="398">
        <v>0</v>
      </c>
      <c r="G171" s="398"/>
      <c r="H171" s="398">
        <v>0</v>
      </c>
      <c r="I171" s="398">
        <v>0</v>
      </c>
      <c r="J171" s="399"/>
      <c r="K171" s="400"/>
      <c r="L171" s="398">
        <v>0</v>
      </c>
      <c r="M171" s="398">
        <v>0</v>
      </c>
      <c r="N171" s="398">
        <v>0</v>
      </c>
      <c r="O171" s="398">
        <v>0</v>
      </c>
      <c r="P171" s="398">
        <v>12</v>
      </c>
      <c r="Q171" s="398">
        <v>407</v>
      </c>
      <c r="R171" s="398">
        <v>0</v>
      </c>
      <c r="S171" s="398">
        <v>0</v>
      </c>
      <c r="T171" s="398"/>
      <c r="U171" s="398"/>
      <c r="V171" s="398">
        <f>_xlfn.IFNA(VLOOKUP(A171,[3]進出口值表查詢結果!$C$11:$F$68,4,0),-[4]整車!$B$22)</f>
        <v>0</v>
      </c>
      <c r="W171" s="398">
        <f>_xlfn.IFNA(VLOOKUP(A171,[3]進出口值表查詢結果!$C$11:$F$68,3,0),-[4]整車!$B$22)</f>
        <v>0</v>
      </c>
      <c r="X171" s="398">
        <f>_xlfn.IFNA(VLOOKUP(A171,[5]進出口值表查詢結果!$C$11:$F$75,4,0),-[4]整車!$B$22)</f>
        <v>40</v>
      </c>
      <c r="Y171" s="398">
        <f>_xlfn.IFNA(VLOOKUP(A171,[5]進出口值表查詢結果!$C$11:$F$75,3,0),-[4]整車!$B$22)</f>
        <v>420</v>
      </c>
      <c r="Z171" s="392">
        <f t="shared" si="29"/>
        <v>52</v>
      </c>
      <c r="AA171" s="392">
        <f t="shared" si="30"/>
        <v>827</v>
      </c>
    </row>
    <row r="172" spans="1:27">
      <c r="A172" s="434" t="s">
        <v>352</v>
      </c>
      <c r="B172" s="398"/>
      <c r="C172" s="398"/>
      <c r="D172" s="398"/>
      <c r="E172" s="398"/>
      <c r="F172" s="398">
        <v>0</v>
      </c>
      <c r="G172" s="398"/>
      <c r="H172" s="398">
        <v>0</v>
      </c>
      <c r="I172" s="398">
        <v>0</v>
      </c>
      <c r="J172" s="399"/>
      <c r="K172" s="400"/>
      <c r="L172" s="398">
        <v>0</v>
      </c>
      <c r="M172" s="398">
        <v>0</v>
      </c>
      <c r="N172" s="398">
        <v>0</v>
      </c>
      <c r="O172" s="398">
        <v>0</v>
      </c>
      <c r="P172" s="398">
        <v>0</v>
      </c>
      <c r="Q172" s="398">
        <v>0</v>
      </c>
      <c r="R172" s="398">
        <v>0</v>
      </c>
      <c r="S172" s="398">
        <v>0</v>
      </c>
      <c r="T172" s="398"/>
      <c r="U172" s="398"/>
      <c r="V172" s="398">
        <f>_xlfn.IFNA(VLOOKUP(A172,[3]進出口值表查詢結果!$C$11:$F$68,4,0),-[4]整車!$B$22)</f>
        <v>0</v>
      </c>
      <c r="W172" s="398">
        <f>_xlfn.IFNA(VLOOKUP(A172,[3]進出口值表查詢結果!$C$11:$F$68,3,0),-[4]整車!$B$22)</f>
        <v>0</v>
      </c>
      <c r="X172" s="398">
        <f>_xlfn.IFNA(VLOOKUP(A172,[5]進出口值表查詢結果!$C$11:$F$75,4,0),-[4]整車!$B$22)</f>
        <v>0</v>
      </c>
      <c r="Y172" s="398">
        <f>_xlfn.IFNA(VLOOKUP(A172,[5]進出口值表查詢結果!$C$11:$F$75,3,0),-[4]整車!$B$22)</f>
        <v>0</v>
      </c>
      <c r="Z172" s="392">
        <f t="shared" si="29"/>
        <v>0</v>
      </c>
      <c r="AA172" s="392">
        <f t="shared" si="30"/>
        <v>0</v>
      </c>
    </row>
    <row r="173" spans="1:27">
      <c r="A173" s="434" t="s">
        <v>192</v>
      </c>
      <c r="B173" s="398"/>
      <c r="C173" s="398"/>
      <c r="D173" s="398"/>
      <c r="E173" s="398"/>
      <c r="F173" s="398">
        <v>0</v>
      </c>
      <c r="G173" s="398"/>
      <c r="H173" s="398">
        <v>0</v>
      </c>
      <c r="I173" s="398">
        <v>0</v>
      </c>
      <c r="J173" s="399"/>
      <c r="K173" s="400"/>
      <c r="L173" s="398">
        <v>0</v>
      </c>
      <c r="M173" s="398">
        <v>0</v>
      </c>
      <c r="N173" s="398">
        <v>0</v>
      </c>
      <c r="O173" s="398">
        <v>0</v>
      </c>
      <c r="P173" s="398">
        <v>0</v>
      </c>
      <c r="Q173" s="398">
        <v>0</v>
      </c>
      <c r="R173" s="398">
        <v>0</v>
      </c>
      <c r="S173" s="398">
        <v>0</v>
      </c>
      <c r="T173" s="398"/>
      <c r="U173" s="398"/>
      <c r="V173" s="398">
        <f>_xlfn.IFNA(VLOOKUP(A173,[3]進出口值表查詢結果!$C$11:$F$68,4,0),-[4]整車!$B$22)</f>
        <v>0</v>
      </c>
      <c r="W173" s="398">
        <f>_xlfn.IFNA(VLOOKUP(A173,[3]進出口值表查詢結果!$C$11:$F$68,3,0),-[4]整車!$B$22)</f>
        <v>0</v>
      </c>
      <c r="X173" s="398">
        <f>_xlfn.IFNA(VLOOKUP(A173,[5]進出口值表查詢結果!$C$11:$F$75,4,0),-[4]整車!$B$22)</f>
        <v>0</v>
      </c>
      <c r="Y173" s="398">
        <f>_xlfn.IFNA(VLOOKUP(A173,[5]進出口值表查詢結果!$C$11:$F$75,3,0),-[4]整車!$B$22)</f>
        <v>0</v>
      </c>
      <c r="Z173" s="392">
        <f t="shared" si="29"/>
        <v>0</v>
      </c>
      <c r="AA173" s="392">
        <f t="shared" si="30"/>
        <v>0</v>
      </c>
    </row>
    <row r="174" spans="1:27">
      <c r="A174" s="434" t="s">
        <v>353</v>
      </c>
      <c r="B174" s="398"/>
      <c r="C174" s="398"/>
      <c r="D174" s="398"/>
      <c r="E174" s="398"/>
      <c r="F174" s="398">
        <v>0</v>
      </c>
      <c r="G174" s="398"/>
      <c r="H174" s="398">
        <v>0</v>
      </c>
      <c r="I174" s="398">
        <v>0</v>
      </c>
      <c r="J174" s="399"/>
      <c r="K174" s="400"/>
      <c r="L174" s="398">
        <v>0</v>
      </c>
      <c r="M174" s="398">
        <v>0</v>
      </c>
      <c r="N174" s="398">
        <v>0</v>
      </c>
      <c r="O174" s="398">
        <v>0</v>
      </c>
      <c r="P174" s="398">
        <v>0</v>
      </c>
      <c r="Q174" s="398">
        <v>0</v>
      </c>
      <c r="R174" s="398">
        <v>0</v>
      </c>
      <c r="S174" s="398">
        <v>0</v>
      </c>
      <c r="T174" s="398"/>
      <c r="U174" s="398"/>
      <c r="V174" s="398">
        <f>_xlfn.IFNA(VLOOKUP(A174,[3]進出口值表查詢結果!$C$11:$F$68,4,0),-[4]整車!$B$22)</f>
        <v>0</v>
      </c>
      <c r="W174" s="398">
        <f>_xlfn.IFNA(VLOOKUP(A174,[3]進出口值表查詢結果!$C$11:$F$68,3,0),-[4]整車!$B$22)</f>
        <v>0</v>
      </c>
      <c r="X174" s="398">
        <f>_xlfn.IFNA(VLOOKUP(A174,[5]進出口值表查詢結果!$C$11:$F$75,4,0),-[4]整車!$B$22)</f>
        <v>18</v>
      </c>
      <c r="Y174" s="398">
        <f>_xlfn.IFNA(VLOOKUP(A174,[5]進出口值表查詢結果!$C$11:$F$75,3,0),-[4]整車!$B$22)</f>
        <v>3324</v>
      </c>
      <c r="Z174" s="392">
        <f t="shared" si="29"/>
        <v>18</v>
      </c>
      <c r="AA174" s="392">
        <f t="shared" si="30"/>
        <v>3324</v>
      </c>
    </row>
    <row r="175" spans="1:27">
      <c r="A175" s="434" t="s">
        <v>354</v>
      </c>
      <c r="B175" s="398"/>
      <c r="C175" s="398"/>
      <c r="D175" s="398"/>
      <c r="E175" s="398"/>
      <c r="F175" s="398">
        <v>0</v>
      </c>
      <c r="G175" s="398"/>
      <c r="H175" s="398">
        <v>0</v>
      </c>
      <c r="I175" s="398">
        <v>0</v>
      </c>
      <c r="J175" s="399"/>
      <c r="K175" s="400"/>
      <c r="L175" s="398">
        <v>0</v>
      </c>
      <c r="M175" s="398">
        <v>0</v>
      </c>
      <c r="N175" s="398">
        <v>0</v>
      </c>
      <c r="O175" s="398">
        <v>0</v>
      </c>
      <c r="P175" s="398">
        <v>0</v>
      </c>
      <c r="Q175" s="398">
        <v>0</v>
      </c>
      <c r="R175" s="398">
        <v>0</v>
      </c>
      <c r="S175" s="398">
        <v>0</v>
      </c>
      <c r="T175" s="398"/>
      <c r="U175" s="398"/>
      <c r="V175" s="398">
        <f>_xlfn.IFNA(VLOOKUP(A175,[3]進出口值表查詢結果!$C$11:$F$68,4,0),-[4]整車!$B$22)</f>
        <v>0</v>
      </c>
      <c r="W175" s="398">
        <f>_xlfn.IFNA(VLOOKUP(A175,[3]進出口值表查詢結果!$C$11:$F$68,3,0),-[4]整車!$B$22)</f>
        <v>0</v>
      </c>
      <c r="X175" s="398">
        <f>_xlfn.IFNA(VLOOKUP(A175,[5]進出口值表查詢結果!$C$11:$F$75,4,0),-[4]整車!$B$22)</f>
        <v>0</v>
      </c>
      <c r="Y175" s="398">
        <f>_xlfn.IFNA(VLOOKUP(A175,[5]進出口值表查詢結果!$C$11:$F$75,3,0),-[4]整車!$B$22)</f>
        <v>0</v>
      </c>
      <c r="Z175" s="392">
        <f t="shared" si="29"/>
        <v>0</v>
      </c>
      <c r="AA175" s="392">
        <f t="shared" si="30"/>
        <v>0</v>
      </c>
    </row>
    <row r="176" spans="1:27">
      <c r="A176" s="434" t="s">
        <v>355</v>
      </c>
      <c r="B176" s="398"/>
      <c r="C176" s="398"/>
      <c r="D176" s="398"/>
      <c r="E176" s="398"/>
      <c r="F176" s="398">
        <v>0</v>
      </c>
      <c r="G176" s="398"/>
      <c r="H176" s="398">
        <v>0</v>
      </c>
      <c r="I176" s="398">
        <v>0</v>
      </c>
      <c r="J176" s="399"/>
      <c r="K176" s="400"/>
      <c r="L176" s="398">
        <v>0</v>
      </c>
      <c r="M176" s="398">
        <v>0</v>
      </c>
      <c r="N176" s="398">
        <v>0</v>
      </c>
      <c r="O176" s="398">
        <v>0</v>
      </c>
      <c r="P176" s="398">
        <v>0</v>
      </c>
      <c r="Q176" s="398">
        <v>0</v>
      </c>
      <c r="R176" s="398">
        <v>0</v>
      </c>
      <c r="S176" s="398">
        <v>0</v>
      </c>
      <c r="T176" s="398"/>
      <c r="U176" s="398"/>
      <c r="V176" s="398">
        <f>_xlfn.IFNA(VLOOKUP(A176,[3]進出口值表查詢結果!$C$11:$F$68,4,0),-[4]整車!$B$22)</f>
        <v>0</v>
      </c>
      <c r="W176" s="398">
        <f>_xlfn.IFNA(VLOOKUP(A176,[3]進出口值表查詢結果!$C$11:$F$68,3,0),-[4]整車!$B$22)</f>
        <v>0</v>
      </c>
      <c r="X176" s="398">
        <f>_xlfn.IFNA(VLOOKUP(A176,[5]進出口值表查詢結果!$C$11:$F$75,4,0),-[4]整車!$B$22)</f>
        <v>0</v>
      </c>
      <c r="Y176" s="398">
        <f>_xlfn.IFNA(VLOOKUP(A176,[5]進出口值表查詢結果!$C$11:$F$75,3,0),-[4]整車!$B$22)</f>
        <v>0</v>
      </c>
      <c r="Z176" s="392">
        <f t="shared" si="29"/>
        <v>0</v>
      </c>
      <c r="AA176" s="392">
        <f t="shared" si="30"/>
        <v>0</v>
      </c>
    </row>
    <row r="177" spans="1:27">
      <c r="A177" s="434" t="s">
        <v>356</v>
      </c>
      <c r="B177" s="398"/>
      <c r="C177" s="398"/>
      <c r="D177" s="398"/>
      <c r="E177" s="398"/>
      <c r="F177" s="398">
        <v>0</v>
      </c>
      <c r="G177" s="398"/>
      <c r="H177" s="398">
        <v>0</v>
      </c>
      <c r="I177" s="398">
        <v>0</v>
      </c>
      <c r="J177" s="399"/>
      <c r="K177" s="400"/>
      <c r="L177" s="398">
        <v>0</v>
      </c>
      <c r="M177" s="398">
        <v>0</v>
      </c>
      <c r="N177" s="398">
        <v>0</v>
      </c>
      <c r="O177" s="398">
        <v>0</v>
      </c>
      <c r="P177" s="398">
        <v>0</v>
      </c>
      <c r="Q177" s="398">
        <v>0</v>
      </c>
      <c r="R177" s="398">
        <v>0</v>
      </c>
      <c r="S177" s="398">
        <v>0</v>
      </c>
      <c r="T177" s="398"/>
      <c r="U177" s="398"/>
      <c r="V177" s="398">
        <f>_xlfn.IFNA(VLOOKUP(A177,[3]進出口值表查詢結果!$C$11:$F$68,4,0),-[4]整車!$B$22)</f>
        <v>0</v>
      </c>
      <c r="W177" s="398">
        <f>_xlfn.IFNA(VLOOKUP(A177,[3]進出口值表查詢結果!$C$11:$F$68,3,0),-[4]整車!$B$22)</f>
        <v>0</v>
      </c>
      <c r="X177" s="398">
        <f>_xlfn.IFNA(VLOOKUP(A177,[5]進出口值表查詢結果!$C$11:$F$75,4,0),-[4]整車!$B$22)</f>
        <v>0</v>
      </c>
      <c r="Y177" s="398">
        <f>_xlfn.IFNA(VLOOKUP(A177,[5]進出口值表查詢結果!$C$11:$F$75,3,0),-[4]整車!$B$22)</f>
        <v>0</v>
      </c>
      <c r="Z177" s="392">
        <f t="shared" si="29"/>
        <v>0</v>
      </c>
      <c r="AA177" s="392">
        <f t="shared" si="30"/>
        <v>0</v>
      </c>
    </row>
    <row r="178" spans="1:27">
      <c r="A178" s="434" t="s">
        <v>357</v>
      </c>
      <c r="B178" s="398"/>
      <c r="C178" s="398"/>
      <c r="D178" s="398"/>
      <c r="E178" s="398"/>
      <c r="F178" s="398">
        <v>0</v>
      </c>
      <c r="G178" s="398"/>
      <c r="H178" s="398">
        <v>0</v>
      </c>
      <c r="I178" s="398">
        <v>0</v>
      </c>
      <c r="J178" s="399"/>
      <c r="K178" s="400">
        <v>0</v>
      </c>
      <c r="L178" s="398">
        <v>0</v>
      </c>
      <c r="M178" s="398">
        <v>0</v>
      </c>
      <c r="N178" s="398">
        <v>0</v>
      </c>
      <c r="O178" s="398">
        <v>0</v>
      </c>
      <c r="P178" s="398">
        <v>0</v>
      </c>
      <c r="Q178" s="398">
        <v>0</v>
      </c>
      <c r="R178" s="398">
        <v>0</v>
      </c>
      <c r="S178" s="398">
        <v>0</v>
      </c>
      <c r="T178" s="398"/>
      <c r="U178" s="398"/>
      <c r="V178" s="398">
        <f>_xlfn.IFNA(VLOOKUP(A178,[3]進出口值表查詢結果!$C$11:$F$68,4,0),-[4]整車!$B$22)</f>
        <v>0</v>
      </c>
      <c r="W178" s="398">
        <f>_xlfn.IFNA(VLOOKUP(A178,[3]進出口值表查詢結果!$C$11:$F$68,3,0),-[4]整車!$B$22)</f>
        <v>0</v>
      </c>
      <c r="X178" s="398">
        <f>_xlfn.IFNA(VLOOKUP(A178,[5]進出口值表查詢結果!$C$11:$F$75,4,0),-[4]整車!$B$22)</f>
        <v>0</v>
      </c>
      <c r="Y178" s="398">
        <f>_xlfn.IFNA(VLOOKUP(A178,[5]進出口值表查詢結果!$C$11:$F$75,3,0),-[4]整車!$B$22)</f>
        <v>0</v>
      </c>
      <c r="Z178" s="392">
        <f t="shared" si="29"/>
        <v>0</v>
      </c>
      <c r="AA178" s="392">
        <f t="shared" si="30"/>
        <v>0</v>
      </c>
    </row>
    <row r="179" spans="1:27">
      <c r="A179" s="434" t="s">
        <v>358</v>
      </c>
      <c r="B179" s="398"/>
      <c r="C179" s="398"/>
      <c r="D179" s="398"/>
      <c r="E179" s="398"/>
      <c r="F179" s="398">
        <v>0</v>
      </c>
      <c r="G179" s="398"/>
      <c r="H179" s="398">
        <v>0</v>
      </c>
      <c r="I179" s="398">
        <v>0</v>
      </c>
      <c r="J179" s="399"/>
      <c r="K179" s="400">
        <v>0</v>
      </c>
      <c r="L179" s="398">
        <v>0</v>
      </c>
      <c r="M179" s="398">
        <v>0</v>
      </c>
      <c r="N179" s="398">
        <v>0</v>
      </c>
      <c r="O179" s="398">
        <v>0</v>
      </c>
      <c r="P179" s="398">
        <v>0</v>
      </c>
      <c r="Q179" s="398">
        <v>0</v>
      </c>
      <c r="R179" s="398">
        <v>0</v>
      </c>
      <c r="S179" s="398">
        <v>0</v>
      </c>
      <c r="T179" s="398"/>
      <c r="U179" s="398"/>
      <c r="V179" s="398">
        <f>_xlfn.IFNA(VLOOKUP(A179,[3]進出口值表查詢結果!$C$11:$F$68,4,0),-[4]整車!$B$22)</f>
        <v>0</v>
      </c>
      <c r="W179" s="398">
        <f>_xlfn.IFNA(VLOOKUP(A179,[3]進出口值表查詢結果!$C$11:$F$68,3,0),-[4]整車!$B$22)</f>
        <v>0</v>
      </c>
      <c r="X179" s="398">
        <f>_xlfn.IFNA(VLOOKUP(A179,[5]進出口值表查詢結果!$C$11:$F$75,4,0),-[4]整車!$B$22)</f>
        <v>0</v>
      </c>
      <c r="Y179" s="398">
        <f>_xlfn.IFNA(VLOOKUP(A179,[5]進出口值表查詢結果!$C$11:$F$75,3,0),-[4]整車!$B$22)</f>
        <v>0</v>
      </c>
      <c r="Z179" s="392">
        <f t="shared" si="29"/>
        <v>0</v>
      </c>
      <c r="AA179" s="392">
        <f t="shared" si="30"/>
        <v>0</v>
      </c>
    </row>
    <row r="180" spans="1:27">
      <c r="A180" s="434" t="s">
        <v>359</v>
      </c>
      <c r="B180" s="398"/>
      <c r="C180" s="398"/>
      <c r="D180" s="398"/>
      <c r="E180" s="398"/>
      <c r="F180" s="398">
        <v>0</v>
      </c>
      <c r="G180" s="398"/>
      <c r="H180" s="398">
        <v>0</v>
      </c>
      <c r="I180" s="398">
        <v>0</v>
      </c>
      <c r="J180" s="399"/>
      <c r="K180" s="400">
        <v>0</v>
      </c>
      <c r="L180" s="398">
        <v>0</v>
      </c>
      <c r="M180" s="398">
        <v>0</v>
      </c>
      <c r="N180" s="398">
        <v>0</v>
      </c>
      <c r="O180" s="398">
        <v>0</v>
      </c>
      <c r="P180" s="398">
        <v>0</v>
      </c>
      <c r="Q180" s="398">
        <v>0</v>
      </c>
      <c r="R180" s="398">
        <v>0</v>
      </c>
      <c r="S180" s="398">
        <v>0</v>
      </c>
      <c r="T180" s="398"/>
      <c r="U180" s="398"/>
      <c r="V180" s="398">
        <f>_xlfn.IFNA(VLOOKUP(A180,[3]進出口值表查詢結果!$C$11:$F$68,4,0),-[4]整車!$B$22)</f>
        <v>0</v>
      </c>
      <c r="W180" s="398">
        <f>_xlfn.IFNA(VLOOKUP(A180,[3]進出口值表查詢結果!$C$11:$F$68,3,0),-[4]整車!$B$22)</f>
        <v>0</v>
      </c>
      <c r="X180" s="398">
        <f>_xlfn.IFNA(VLOOKUP(A180,[5]進出口值表查詢結果!$C$11:$F$75,4,0),-[4]整車!$B$22)</f>
        <v>0</v>
      </c>
      <c r="Y180" s="398">
        <f>_xlfn.IFNA(VLOOKUP(A180,[5]進出口值表查詢結果!$C$11:$F$75,3,0),-[4]整車!$B$22)</f>
        <v>0</v>
      </c>
      <c r="Z180" s="392">
        <f t="shared" si="29"/>
        <v>0</v>
      </c>
      <c r="AA180" s="392">
        <f t="shared" si="30"/>
        <v>0</v>
      </c>
    </row>
    <row r="181" spans="1:27">
      <c r="A181" s="434" t="s">
        <v>360</v>
      </c>
      <c r="B181" s="398"/>
      <c r="C181" s="398"/>
      <c r="D181" s="398"/>
      <c r="E181" s="398"/>
      <c r="F181" s="398">
        <v>0</v>
      </c>
      <c r="G181" s="398"/>
      <c r="H181" s="398">
        <v>0</v>
      </c>
      <c r="I181" s="398">
        <v>0</v>
      </c>
      <c r="J181" s="399"/>
      <c r="K181" s="400">
        <v>0</v>
      </c>
      <c r="L181" s="398">
        <v>0</v>
      </c>
      <c r="M181" s="398">
        <v>0</v>
      </c>
      <c r="N181" s="398">
        <v>0</v>
      </c>
      <c r="O181" s="398">
        <v>0</v>
      </c>
      <c r="P181" s="398">
        <v>0</v>
      </c>
      <c r="Q181" s="398">
        <v>0</v>
      </c>
      <c r="R181" s="398">
        <v>0</v>
      </c>
      <c r="S181" s="398">
        <v>0</v>
      </c>
      <c r="T181" s="398"/>
      <c r="U181" s="398"/>
      <c r="V181" s="398">
        <f>_xlfn.IFNA(VLOOKUP(A181,[3]進出口值表查詢結果!$C$11:$F$68,4,0),-[4]整車!$B$22)</f>
        <v>0</v>
      </c>
      <c r="W181" s="398">
        <f>_xlfn.IFNA(VLOOKUP(A181,[3]進出口值表查詢結果!$C$11:$F$68,3,0),-[4]整車!$B$22)</f>
        <v>0</v>
      </c>
      <c r="X181" s="398">
        <f>_xlfn.IFNA(VLOOKUP(A181,[5]進出口值表查詢結果!$C$11:$F$75,4,0),-[4]整車!$B$22)</f>
        <v>0</v>
      </c>
      <c r="Y181" s="398">
        <f>_xlfn.IFNA(VLOOKUP(A181,[5]進出口值表查詢結果!$C$11:$F$75,3,0),-[4]整車!$B$22)</f>
        <v>0</v>
      </c>
      <c r="Z181" s="392">
        <f t="shared" si="29"/>
        <v>0</v>
      </c>
      <c r="AA181" s="392">
        <f t="shared" si="30"/>
        <v>0</v>
      </c>
    </row>
    <row r="182" spans="1:27">
      <c r="A182" s="434" t="s">
        <v>361</v>
      </c>
      <c r="B182" s="398"/>
      <c r="C182" s="398"/>
      <c r="D182" s="398"/>
      <c r="E182" s="398"/>
      <c r="F182" s="398">
        <v>0</v>
      </c>
      <c r="G182" s="398"/>
      <c r="H182" s="398">
        <v>0</v>
      </c>
      <c r="I182" s="398">
        <v>0</v>
      </c>
      <c r="J182" s="399"/>
      <c r="K182" s="400">
        <v>0</v>
      </c>
      <c r="L182" s="398">
        <v>0</v>
      </c>
      <c r="M182" s="398">
        <v>0</v>
      </c>
      <c r="N182" s="398">
        <v>0</v>
      </c>
      <c r="O182" s="398">
        <v>0</v>
      </c>
      <c r="P182" s="398">
        <v>0</v>
      </c>
      <c r="Q182" s="398">
        <v>0</v>
      </c>
      <c r="R182" s="398">
        <v>0</v>
      </c>
      <c r="S182" s="398">
        <v>0</v>
      </c>
      <c r="T182" s="398"/>
      <c r="U182" s="398"/>
      <c r="V182" s="398">
        <f>_xlfn.IFNA(VLOOKUP(A182,[3]進出口值表查詢結果!$C$11:$F$68,4,0),-[4]整車!$B$22)</f>
        <v>0</v>
      </c>
      <c r="W182" s="398">
        <f>_xlfn.IFNA(VLOOKUP(A182,[3]進出口值表查詢結果!$C$11:$F$68,3,0),-[4]整車!$B$22)</f>
        <v>0</v>
      </c>
      <c r="X182" s="398">
        <f>_xlfn.IFNA(VLOOKUP(A182,[5]進出口值表查詢結果!$C$11:$F$75,4,0),-[4]整車!$B$22)</f>
        <v>0</v>
      </c>
      <c r="Y182" s="398">
        <f>_xlfn.IFNA(VLOOKUP(A182,[5]進出口值表查詢結果!$C$11:$F$75,3,0),-[4]整車!$B$22)</f>
        <v>0</v>
      </c>
      <c r="Z182" s="392">
        <f t="shared" si="29"/>
        <v>0</v>
      </c>
      <c r="AA182" s="392">
        <f t="shared" si="30"/>
        <v>0</v>
      </c>
    </row>
    <row r="183" spans="1:27">
      <c r="A183" s="434" t="s">
        <v>362</v>
      </c>
      <c r="B183" s="398"/>
      <c r="C183" s="398"/>
      <c r="D183" s="398"/>
      <c r="E183" s="398"/>
      <c r="F183" s="398">
        <v>0</v>
      </c>
      <c r="G183" s="398"/>
      <c r="H183" s="398">
        <v>0</v>
      </c>
      <c r="I183" s="398">
        <v>0</v>
      </c>
      <c r="J183" s="399"/>
      <c r="K183" s="400">
        <v>0</v>
      </c>
      <c r="L183" s="398">
        <v>0</v>
      </c>
      <c r="M183" s="398">
        <v>0</v>
      </c>
      <c r="N183" s="398">
        <v>0</v>
      </c>
      <c r="O183" s="398">
        <v>0</v>
      </c>
      <c r="P183" s="398">
        <v>0</v>
      </c>
      <c r="Q183" s="398">
        <v>0</v>
      </c>
      <c r="R183" s="398">
        <v>0</v>
      </c>
      <c r="S183" s="398">
        <v>0</v>
      </c>
      <c r="T183" s="398"/>
      <c r="U183" s="398"/>
      <c r="V183" s="398">
        <f>_xlfn.IFNA(VLOOKUP(A183,[3]進出口值表查詢結果!$C$11:$F$68,4,0),-[4]整車!$B$22)</f>
        <v>0</v>
      </c>
      <c r="W183" s="398">
        <f>_xlfn.IFNA(VLOOKUP(A183,[3]進出口值表查詢結果!$C$11:$F$68,3,0),-[4]整車!$B$22)</f>
        <v>0</v>
      </c>
      <c r="X183" s="398">
        <f>_xlfn.IFNA(VLOOKUP(A183,[5]進出口值表查詢結果!$C$11:$F$75,4,0),-[4]整車!$B$22)</f>
        <v>0</v>
      </c>
      <c r="Y183" s="398">
        <f>_xlfn.IFNA(VLOOKUP(A183,[5]進出口值表查詢結果!$C$11:$F$75,3,0),-[4]整車!$B$22)</f>
        <v>0</v>
      </c>
      <c r="Z183" s="392">
        <f t="shared" si="29"/>
        <v>0</v>
      </c>
      <c r="AA183" s="392">
        <f t="shared" si="30"/>
        <v>0</v>
      </c>
    </row>
    <row r="184" spans="1:27">
      <c r="A184" s="434" t="s">
        <v>363</v>
      </c>
      <c r="B184" s="398"/>
      <c r="C184" s="398"/>
      <c r="D184" s="398"/>
      <c r="E184" s="398"/>
      <c r="F184" s="398">
        <v>0</v>
      </c>
      <c r="G184" s="398"/>
      <c r="H184" s="398">
        <v>0</v>
      </c>
      <c r="I184" s="398">
        <v>0</v>
      </c>
      <c r="J184" s="399"/>
      <c r="K184" s="400">
        <v>0</v>
      </c>
      <c r="L184" s="398">
        <v>0</v>
      </c>
      <c r="M184" s="398">
        <v>0</v>
      </c>
      <c r="N184" s="398">
        <v>0</v>
      </c>
      <c r="O184" s="398">
        <v>0</v>
      </c>
      <c r="P184" s="398">
        <v>0</v>
      </c>
      <c r="Q184" s="398">
        <v>0</v>
      </c>
      <c r="R184" s="398">
        <v>0</v>
      </c>
      <c r="S184" s="398">
        <v>0</v>
      </c>
      <c r="T184" s="398"/>
      <c r="U184" s="398"/>
      <c r="V184" s="398">
        <f>_xlfn.IFNA(VLOOKUP(A184,[3]進出口值表查詢結果!$C$11:$F$68,4,0),-[4]整車!$B$22)</f>
        <v>0</v>
      </c>
      <c r="W184" s="398">
        <f>_xlfn.IFNA(VLOOKUP(A184,[3]進出口值表查詢結果!$C$11:$F$68,3,0),-[4]整車!$B$22)</f>
        <v>0</v>
      </c>
      <c r="X184" s="398">
        <f>_xlfn.IFNA(VLOOKUP(A184,[5]進出口值表查詢結果!$C$11:$F$75,4,0),-[4]整車!$B$22)</f>
        <v>0</v>
      </c>
      <c r="Y184" s="398">
        <f>_xlfn.IFNA(VLOOKUP(A184,[5]進出口值表查詢結果!$C$11:$F$75,3,0),-[4]整車!$B$22)</f>
        <v>0</v>
      </c>
      <c r="Z184" s="392">
        <f t="shared" si="29"/>
        <v>0</v>
      </c>
      <c r="AA184" s="392">
        <f t="shared" si="30"/>
        <v>0</v>
      </c>
    </row>
    <row r="185" spans="1:27">
      <c r="A185" s="434" t="s">
        <v>364</v>
      </c>
      <c r="B185" s="398"/>
      <c r="C185" s="398"/>
      <c r="D185" s="398"/>
      <c r="E185" s="398"/>
      <c r="F185" s="398">
        <v>0</v>
      </c>
      <c r="G185" s="398"/>
      <c r="H185" s="398">
        <v>0</v>
      </c>
      <c r="I185" s="398">
        <v>0</v>
      </c>
      <c r="J185" s="399"/>
      <c r="K185" s="400">
        <v>0</v>
      </c>
      <c r="L185" s="398">
        <v>0</v>
      </c>
      <c r="M185" s="398">
        <v>0</v>
      </c>
      <c r="N185" s="398">
        <v>0</v>
      </c>
      <c r="O185" s="398">
        <v>0</v>
      </c>
      <c r="P185" s="398">
        <v>0</v>
      </c>
      <c r="Q185" s="398">
        <v>0</v>
      </c>
      <c r="R185" s="398">
        <v>0</v>
      </c>
      <c r="S185" s="398">
        <v>0</v>
      </c>
      <c r="T185" s="398"/>
      <c r="U185" s="398"/>
      <c r="V185" s="398">
        <f>_xlfn.IFNA(VLOOKUP(A185,[3]進出口值表查詢結果!$C$11:$F$68,4,0),-[4]整車!$B$22)</f>
        <v>0</v>
      </c>
      <c r="W185" s="398">
        <f>_xlfn.IFNA(VLOOKUP(A185,[3]進出口值表查詢結果!$C$11:$F$68,3,0),-[4]整車!$B$22)</f>
        <v>0</v>
      </c>
      <c r="X185" s="398">
        <f>_xlfn.IFNA(VLOOKUP(A185,[5]進出口值表查詢結果!$C$11:$F$75,4,0),-[4]整車!$B$22)</f>
        <v>0</v>
      </c>
      <c r="Y185" s="398">
        <f>_xlfn.IFNA(VLOOKUP(A185,[5]進出口值表查詢結果!$C$11:$F$75,3,0),-[4]整車!$B$22)</f>
        <v>0</v>
      </c>
      <c r="Z185" s="392">
        <f t="shared" si="29"/>
        <v>0</v>
      </c>
      <c r="AA185" s="392">
        <f t="shared" si="30"/>
        <v>0</v>
      </c>
    </row>
    <row r="186" spans="1:27">
      <c r="A186" s="434" t="s">
        <v>365</v>
      </c>
      <c r="B186" s="398"/>
      <c r="C186" s="398"/>
      <c r="D186" s="398"/>
      <c r="E186" s="398"/>
      <c r="F186" s="398">
        <v>0</v>
      </c>
      <c r="G186" s="398"/>
      <c r="H186" s="398">
        <v>0</v>
      </c>
      <c r="I186" s="398">
        <v>0</v>
      </c>
      <c r="J186" s="399"/>
      <c r="K186" s="400"/>
      <c r="L186" s="398">
        <v>0</v>
      </c>
      <c r="M186" s="398">
        <v>0</v>
      </c>
      <c r="N186" s="398">
        <v>0</v>
      </c>
      <c r="O186" s="398">
        <v>0</v>
      </c>
      <c r="P186" s="398">
        <v>0</v>
      </c>
      <c r="Q186" s="398">
        <v>0</v>
      </c>
      <c r="R186" s="398">
        <v>0</v>
      </c>
      <c r="S186" s="398">
        <v>0</v>
      </c>
      <c r="T186" s="398"/>
      <c r="U186" s="398"/>
      <c r="V186" s="398">
        <f>_xlfn.IFNA(VLOOKUP(A186,[3]進出口值表查詢結果!$C$11:$F$68,4,0),-[4]整車!$B$22)</f>
        <v>0</v>
      </c>
      <c r="W186" s="398">
        <f>_xlfn.IFNA(VLOOKUP(A186,[3]進出口值表查詢結果!$C$11:$F$68,3,0),-[4]整車!$B$22)</f>
        <v>0</v>
      </c>
      <c r="X186" s="398">
        <f>_xlfn.IFNA(VLOOKUP(A186,[5]進出口值表查詢結果!$C$11:$F$75,4,0),-[4]整車!$B$22)</f>
        <v>0</v>
      </c>
      <c r="Y186" s="398">
        <f>_xlfn.IFNA(VLOOKUP(A186,[5]進出口值表查詢結果!$C$11:$F$75,3,0),-[4]整車!$B$22)</f>
        <v>0</v>
      </c>
      <c r="Z186" s="392">
        <f t="shared" ref="Z186:Z200" si="31">SUM(B186,D186,F186,H186,J186,L186,N186,P186,R186,T186,V186,X186)</f>
        <v>0</v>
      </c>
      <c r="AA186" s="392"/>
    </row>
    <row r="187" spans="1:27">
      <c r="A187" s="434" t="s">
        <v>366</v>
      </c>
      <c r="B187" s="398"/>
      <c r="C187" s="398"/>
      <c r="D187" s="398"/>
      <c r="E187" s="398"/>
      <c r="F187" s="398">
        <v>0</v>
      </c>
      <c r="G187" s="398"/>
      <c r="H187" s="398">
        <v>0</v>
      </c>
      <c r="I187" s="398">
        <v>0</v>
      </c>
      <c r="J187" s="399"/>
      <c r="K187" s="400">
        <v>0</v>
      </c>
      <c r="L187" s="398">
        <v>0</v>
      </c>
      <c r="M187" s="398">
        <v>0</v>
      </c>
      <c r="N187" s="398">
        <v>0</v>
      </c>
      <c r="O187" s="398">
        <v>0</v>
      </c>
      <c r="P187" s="398">
        <v>0</v>
      </c>
      <c r="Q187" s="398">
        <v>0</v>
      </c>
      <c r="R187" s="398">
        <v>0</v>
      </c>
      <c r="S187" s="398">
        <v>0</v>
      </c>
      <c r="T187" s="398"/>
      <c r="U187" s="398"/>
      <c r="V187" s="398">
        <f>_xlfn.IFNA(VLOOKUP(A187,[3]進出口值表查詢結果!$C$11:$F$68,4,0),-[4]整車!$B$22)</f>
        <v>0</v>
      </c>
      <c r="W187" s="398">
        <f>_xlfn.IFNA(VLOOKUP(A187,[3]進出口值表查詢結果!$C$11:$F$68,3,0),-[4]整車!$B$22)</f>
        <v>0</v>
      </c>
      <c r="X187" s="398">
        <f>_xlfn.IFNA(VLOOKUP(A187,[5]進出口值表查詢結果!$C$11:$F$75,4,0),-[4]整車!$B$22)</f>
        <v>0</v>
      </c>
      <c r="Y187" s="398">
        <f>_xlfn.IFNA(VLOOKUP(A187,[5]進出口值表查詢結果!$C$11:$F$75,3,0),-[4]整車!$B$22)</f>
        <v>0</v>
      </c>
      <c r="Z187" s="392">
        <f t="shared" si="31"/>
        <v>0</v>
      </c>
      <c r="AA187" s="392">
        <f t="shared" ref="AA187:AA200" si="32">SUM(C187,E187,G187,I187,K187,M187,O187,Q187,S187,U187,W187,Y187)</f>
        <v>0</v>
      </c>
    </row>
    <row r="188" spans="1:27">
      <c r="A188" s="434" t="s">
        <v>367</v>
      </c>
      <c r="B188" s="398"/>
      <c r="C188" s="398"/>
      <c r="D188" s="398"/>
      <c r="E188" s="398"/>
      <c r="F188" s="398">
        <v>0</v>
      </c>
      <c r="G188" s="398"/>
      <c r="H188" s="398">
        <v>0</v>
      </c>
      <c r="I188" s="398">
        <v>0</v>
      </c>
      <c r="J188" s="399"/>
      <c r="K188" s="400">
        <v>0</v>
      </c>
      <c r="L188" s="398">
        <v>0</v>
      </c>
      <c r="M188" s="398">
        <v>0</v>
      </c>
      <c r="N188" s="398">
        <v>0</v>
      </c>
      <c r="O188" s="398">
        <v>0</v>
      </c>
      <c r="P188" s="398">
        <v>0</v>
      </c>
      <c r="Q188" s="398">
        <v>0</v>
      </c>
      <c r="R188" s="398">
        <v>0</v>
      </c>
      <c r="S188" s="398">
        <v>0</v>
      </c>
      <c r="T188" s="398"/>
      <c r="U188" s="398"/>
      <c r="V188" s="398">
        <f>_xlfn.IFNA(VLOOKUP(A188,[3]進出口值表查詢結果!$C$11:$F$68,4,0),-[4]整車!$B$22)</f>
        <v>0</v>
      </c>
      <c r="W188" s="398">
        <f>_xlfn.IFNA(VLOOKUP(A188,[3]進出口值表查詢結果!$C$11:$F$68,3,0),-[4]整車!$B$22)</f>
        <v>0</v>
      </c>
      <c r="X188" s="398">
        <f>_xlfn.IFNA(VLOOKUP(A188,[5]進出口值表查詢結果!$C$11:$F$75,4,0),-[4]整車!$B$22)</f>
        <v>0</v>
      </c>
      <c r="Y188" s="398">
        <f>_xlfn.IFNA(VLOOKUP(A188,[5]進出口值表查詢結果!$C$11:$F$75,3,0),-[4]整車!$B$22)</f>
        <v>0</v>
      </c>
      <c r="Z188" s="392">
        <f t="shared" si="31"/>
        <v>0</v>
      </c>
      <c r="AA188" s="392">
        <f t="shared" si="32"/>
        <v>0</v>
      </c>
    </row>
    <row r="189" spans="1:27">
      <c r="A189" s="440" t="s">
        <v>368</v>
      </c>
      <c r="B189" s="419">
        <f t="shared" ref="B189:Y189" si="33">SUM(B190:B203)</f>
        <v>0</v>
      </c>
      <c r="C189" s="419">
        <f t="shared" si="33"/>
        <v>0</v>
      </c>
      <c r="D189" s="419">
        <f t="shared" si="33"/>
        <v>0</v>
      </c>
      <c r="E189" s="419">
        <f t="shared" si="33"/>
        <v>0</v>
      </c>
      <c r="F189" s="419">
        <f t="shared" si="33"/>
        <v>0</v>
      </c>
      <c r="G189" s="419">
        <f t="shared" si="33"/>
        <v>0</v>
      </c>
      <c r="H189" s="419">
        <f t="shared" si="33"/>
        <v>10</v>
      </c>
      <c r="I189" s="419">
        <f t="shared" si="33"/>
        <v>1060</v>
      </c>
      <c r="J189" s="420">
        <f t="shared" si="33"/>
        <v>0</v>
      </c>
      <c r="K189" s="421">
        <f t="shared" si="33"/>
        <v>0</v>
      </c>
      <c r="L189" s="419">
        <f t="shared" si="33"/>
        <v>10</v>
      </c>
      <c r="M189" s="419">
        <f t="shared" si="33"/>
        <v>1039</v>
      </c>
      <c r="N189" s="419">
        <f t="shared" si="33"/>
        <v>1</v>
      </c>
      <c r="O189" s="419">
        <f t="shared" si="33"/>
        <v>2028</v>
      </c>
      <c r="P189" s="419">
        <f t="shared" si="33"/>
        <v>0</v>
      </c>
      <c r="Q189" s="419">
        <f t="shared" si="33"/>
        <v>0</v>
      </c>
      <c r="R189" s="419">
        <f t="shared" si="33"/>
        <v>5</v>
      </c>
      <c r="S189" s="419">
        <f t="shared" si="33"/>
        <v>543</v>
      </c>
      <c r="T189" s="419">
        <f t="shared" si="33"/>
        <v>19</v>
      </c>
      <c r="U189" s="419">
        <f t="shared" si="33"/>
        <v>12461</v>
      </c>
      <c r="V189" s="419">
        <f>SUM(V190:V203)</f>
        <v>7</v>
      </c>
      <c r="W189" s="419">
        <f>SUM(W190:W203)</f>
        <v>8701</v>
      </c>
      <c r="X189" s="419">
        <f t="shared" si="33"/>
        <v>0</v>
      </c>
      <c r="Y189" s="419">
        <f t="shared" si="33"/>
        <v>0</v>
      </c>
      <c r="Z189" s="405">
        <f t="shared" si="31"/>
        <v>52</v>
      </c>
      <c r="AA189" s="405">
        <f t="shared" si="32"/>
        <v>25832</v>
      </c>
    </row>
    <row r="190" spans="1:27">
      <c r="A190" s="401" t="s">
        <v>141</v>
      </c>
      <c r="B190" s="398"/>
      <c r="C190" s="398"/>
      <c r="D190" s="398">
        <v>0</v>
      </c>
      <c r="E190" s="398">
        <v>0</v>
      </c>
      <c r="F190" s="398">
        <v>0</v>
      </c>
      <c r="G190" s="398"/>
      <c r="H190" s="398">
        <v>0</v>
      </c>
      <c r="I190" s="398">
        <v>0</v>
      </c>
      <c r="J190" s="399">
        <v>0</v>
      </c>
      <c r="K190" s="400">
        <v>0</v>
      </c>
      <c r="L190" s="398">
        <v>0</v>
      </c>
      <c r="M190" s="398">
        <v>0</v>
      </c>
      <c r="N190" s="398">
        <v>0</v>
      </c>
      <c r="O190" s="398">
        <v>0</v>
      </c>
      <c r="P190" s="398">
        <v>0</v>
      </c>
      <c r="Q190" s="398">
        <v>0</v>
      </c>
      <c r="R190" s="398">
        <v>0</v>
      </c>
      <c r="S190" s="398">
        <v>0</v>
      </c>
      <c r="T190" s="398"/>
      <c r="U190" s="398"/>
      <c r="V190" s="398">
        <f>_xlfn.IFNA(VLOOKUP(A190,[3]進出口值表查詢結果!$C$11:$F$68,4,0),-[4]整車!$B$22)</f>
        <v>0</v>
      </c>
      <c r="W190" s="398">
        <f>_xlfn.IFNA(VLOOKUP(A190,[3]進出口值表查詢結果!$C$11:$F$68,3,0),-[4]整車!$B$22)</f>
        <v>0</v>
      </c>
      <c r="X190" s="398">
        <f>_xlfn.IFNA(VLOOKUP(A190,[5]進出口值表查詢結果!$C$11:$F$80,4,0),-[4]整車!$B$22)</f>
        <v>0</v>
      </c>
      <c r="Y190" s="398">
        <f>_xlfn.IFNA(VLOOKUP(A190,[5]進出口值表查詢結果!$C$11:$F$80,3,0),-[4]整車!$B$22)</f>
        <v>0</v>
      </c>
      <c r="Z190" s="392">
        <f t="shared" si="31"/>
        <v>0</v>
      </c>
      <c r="AA190" s="392">
        <f t="shared" si="32"/>
        <v>0</v>
      </c>
    </row>
    <row r="191" spans="1:27">
      <c r="A191" s="403" t="s">
        <v>369</v>
      </c>
      <c r="B191" s="398"/>
      <c r="C191" s="398"/>
      <c r="D191" s="398"/>
      <c r="E191" s="398">
        <v>0</v>
      </c>
      <c r="F191" s="398">
        <v>0</v>
      </c>
      <c r="G191" s="398"/>
      <c r="H191" s="398">
        <v>0</v>
      </c>
      <c r="I191" s="398">
        <v>0</v>
      </c>
      <c r="J191" s="399">
        <v>0</v>
      </c>
      <c r="K191" s="400">
        <v>0</v>
      </c>
      <c r="L191" s="398">
        <v>0</v>
      </c>
      <c r="M191" s="398">
        <v>0</v>
      </c>
      <c r="N191" s="398">
        <v>0</v>
      </c>
      <c r="O191" s="398">
        <v>0</v>
      </c>
      <c r="P191" s="398">
        <v>0</v>
      </c>
      <c r="Q191" s="398">
        <v>0</v>
      </c>
      <c r="R191" s="398">
        <v>0</v>
      </c>
      <c r="S191" s="398">
        <v>0</v>
      </c>
      <c r="T191" s="398"/>
      <c r="U191" s="398"/>
      <c r="V191" s="398">
        <f>_xlfn.IFNA(VLOOKUP(A191,[3]進出口值表查詢結果!$C$11:$F$68,4,0),-[4]整車!$B$22)</f>
        <v>0</v>
      </c>
      <c r="W191" s="398">
        <f>_xlfn.IFNA(VLOOKUP(A191,[3]進出口值表查詢結果!$C$11:$F$68,3,0),-[4]整車!$B$22)</f>
        <v>0</v>
      </c>
      <c r="X191" s="398">
        <f>_xlfn.IFNA(VLOOKUP(A191,[5]進出口值表查詢結果!$C$11:$F$80,4,0),-[4]整車!$B$22)</f>
        <v>0</v>
      </c>
      <c r="Y191" s="398">
        <f>_xlfn.IFNA(VLOOKUP(A191,[5]進出口值表查詢結果!$C$11:$F$80,3,0),-[4]整車!$B$22)</f>
        <v>0</v>
      </c>
      <c r="Z191" s="392">
        <f t="shared" si="31"/>
        <v>0</v>
      </c>
      <c r="AA191" s="392">
        <f t="shared" si="32"/>
        <v>0</v>
      </c>
    </row>
    <row r="192" spans="1:27">
      <c r="A192" s="401" t="s">
        <v>370</v>
      </c>
      <c r="B192" s="398"/>
      <c r="C192" s="398"/>
      <c r="D192" s="398"/>
      <c r="E192" s="398">
        <v>0</v>
      </c>
      <c r="F192" s="398">
        <v>0</v>
      </c>
      <c r="G192" s="398"/>
      <c r="H192" s="398">
        <v>0</v>
      </c>
      <c r="I192" s="398">
        <v>0</v>
      </c>
      <c r="J192" s="399">
        <v>0</v>
      </c>
      <c r="K192" s="400">
        <v>0</v>
      </c>
      <c r="L192" s="398">
        <v>0</v>
      </c>
      <c r="M192" s="398">
        <v>0</v>
      </c>
      <c r="N192" s="398">
        <v>0</v>
      </c>
      <c r="O192" s="398">
        <v>0</v>
      </c>
      <c r="P192" s="398">
        <v>0</v>
      </c>
      <c r="Q192" s="398">
        <v>0</v>
      </c>
      <c r="R192" s="398">
        <v>0</v>
      </c>
      <c r="S192" s="398">
        <v>0</v>
      </c>
      <c r="T192" s="398"/>
      <c r="U192" s="398"/>
      <c r="V192" s="398">
        <f>_xlfn.IFNA(VLOOKUP(A192,[3]進出口值表查詢結果!$C$11:$F$68,4,0),-[4]整車!$B$22)</f>
        <v>0</v>
      </c>
      <c r="W192" s="398">
        <f>_xlfn.IFNA(VLOOKUP(A192,[3]進出口值表查詢結果!$C$11:$F$68,3,0),-[4]整車!$B$22)</f>
        <v>0</v>
      </c>
      <c r="X192" s="398">
        <f>_xlfn.IFNA(VLOOKUP(A192,[5]進出口值表查詢結果!$C$11:$F$80,4,0),-[4]整車!$B$22)</f>
        <v>0</v>
      </c>
      <c r="Y192" s="398">
        <f>_xlfn.IFNA(VLOOKUP(A192,[5]進出口值表查詢結果!$C$11:$F$80,3,0),-[4]整車!$B$22)</f>
        <v>0</v>
      </c>
      <c r="Z192" s="392">
        <f t="shared" si="31"/>
        <v>0</v>
      </c>
      <c r="AA192" s="392">
        <f t="shared" si="32"/>
        <v>0</v>
      </c>
    </row>
    <row r="193" spans="1:27">
      <c r="A193" s="423" t="s">
        <v>371</v>
      </c>
      <c r="B193" s="398"/>
      <c r="C193" s="398"/>
      <c r="D193" s="398"/>
      <c r="E193" s="398">
        <v>0</v>
      </c>
      <c r="F193" s="398">
        <v>0</v>
      </c>
      <c r="G193" s="398"/>
      <c r="H193" s="398">
        <v>10</v>
      </c>
      <c r="I193" s="398">
        <v>1060</v>
      </c>
      <c r="J193" s="399">
        <v>0</v>
      </c>
      <c r="K193" s="400">
        <v>0</v>
      </c>
      <c r="L193" s="398">
        <v>0</v>
      </c>
      <c r="M193" s="398">
        <v>0</v>
      </c>
      <c r="N193" s="398">
        <v>0</v>
      </c>
      <c r="O193" s="398">
        <v>0</v>
      </c>
      <c r="P193" s="398">
        <v>0</v>
      </c>
      <c r="Q193" s="398">
        <v>0</v>
      </c>
      <c r="R193" s="398">
        <v>0</v>
      </c>
      <c r="S193" s="398">
        <v>0</v>
      </c>
      <c r="T193" s="398"/>
      <c r="U193" s="398"/>
      <c r="V193" s="398">
        <f>_xlfn.IFNA(VLOOKUP(A193,[3]進出口值表查詢結果!$C$11:$F$68,4,0),-[4]整車!$B$22)</f>
        <v>0</v>
      </c>
      <c r="W193" s="398">
        <f>_xlfn.IFNA(VLOOKUP(A193,[3]進出口值表查詢結果!$C$11:$F$68,3,0),-[4]整車!$B$22)</f>
        <v>0</v>
      </c>
      <c r="X193" s="398">
        <f>_xlfn.IFNA(VLOOKUP(A193,[5]進出口值表查詢結果!$C$11:$F$80,4,0),-[4]整車!$B$22)</f>
        <v>0</v>
      </c>
      <c r="Y193" s="398">
        <f>_xlfn.IFNA(VLOOKUP(A193,[5]進出口值表查詢結果!$C$11:$F$80,3,0),-[4]整車!$B$22)</f>
        <v>0</v>
      </c>
      <c r="Z193" s="392">
        <f t="shared" si="31"/>
        <v>10</v>
      </c>
      <c r="AA193" s="392">
        <f t="shared" si="32"/>
        <v>1060</v>
      </c>
    </row>
    <row r="194" spans="1:27">
      <c r="A194" s="434" t="s">
        <v>372</v>
      </c>
      <c r="B194" s="398"/>
      <c r="C194" s="398"/>
      <c r="D194" s="398"/>
      <c r="E194" s="398">
        <v>0</v>
      </c>
      <c r="F194" s="398">
        <v>0</v>
      </c>
      <c r="G194" s="398"/>
      <c r="H194" s="398">
        <v>0</v>
      </c>
      <c r="I194" s="398">
        <v>0</v>
      </c>
      <c r="J194" s="399">
        <v>0</v>
      </c>
      <c r="K194" s="400">
        <v>0</v>
      </c>
      <c r="L194" s="398">
        <v>0</v>
      </c>
      <c r="M194" s="398">
        <v>0</v>
      </c>
      <c r="N194" s="398">
        <v>0</v>
      </c>
      <c r="O194" s="398">
        <v>0</v>
      </c>
      <c r="P194" s="398">
        <v>0</v>
      </c>
      <c r="Q194" s="398">
        <v>0</v>
      </c>
      <c r="R194" s="398">
        <v>0</v>
      </c>
      <c r="S194" s="398">
        <v>0</v>
      </c>
      <c r="T194" s="398"/>
      <c r="U194" s="398"/>
      <c r="V194" s="398">
        <f>_xlfn.IFNA(VLOOKUP(A194,[3]進出口值表查詢結果!$C$11:$F$68,4,0),-[4]整車!$B$22)</f>
        <v>0</v>
      </c>
      <c r="W194" s="398">
        <f>_xlfn.IFNA(VLOOKUP(A194,[3]進出口值表查詢結果!$C$11:$F$68,3,0),-[4]整車!$B$22)</f>
        <v>0</v>
      </c>
      <c r="X194" s="398">
        <f>_xlfn.IFNA(VLOOKUP(A194,[5]進出口值表查詢結果!$C$11:$F$80,4,0),-[4]整車!$B$22)</f>
        <v>0</v>
      </c>
      <c r="Y194" s="398">
        <f>_xlfn.IFNA(VLOOKUP(A194,[5]進出口值表查詢結果!$C$11:$F$80,3,0),-[4]整車!$B$22)</f>
        <v>0</v>
      </c>
      <c r="Z194" s="392">
        <f t="shared" si="31"/>
        <v>0</v>
      </c>
      <c r="AA194" s="392">
        <f t="shared" si="32"/>
        <v>0</v>
      </c>
    </row>
    <row r="195" spans="1:27">
      <c r="A195" s="401" t="s">
        <v>142</v>
      </c>
      <c r="B195" s="398"/>
      <c r="C195" s="398"/>
      <c r="D195" s="398"/>
      <c r="E195" s="398">
        <v>0</v>
      </c>
      <c r="F195" s="398">
        <v>0</v>
      </c>
      <c r="G195" s="398"/>
      <c r="H195" s="398">
        <v>0</v>
      </c>
      <c r="I195" s="398">
        <v>0</v>
      </c>
      <c r="J195" s="399">
        <v>0</v>
      </c>
      <c r="K195" s="400">
        <v>0</v>
      </c>
      <c r="L195" s="398">
        <v>0</v>
      </c>
      <c r="M195" s="398">
        <v>0</v>
      </c>
      <c r="N195" s="398">
        <v>0</v>
      </c>
      <c r="O195" s="398">
        <v>0</v>
      </c>
      <c r="P195" s="398">
        <v>0</v>
      </c>
      <c r="Q195" s="398">
        <v>0</v>
      </c>
      <c r="R195" s="398">
        <v>0</v>
      </c>
      <c r="S195" s="398">
        <v>0</v>
      </c>
      <c r="T195" s="398"/>
      <c r="U195" s="398"/>
      <c r="V195" s="398">
        <f>_xlfn.IFNA(VLOOKUP(A195,[3]進出口值表查詢結果!$C$11:$F$68,4,0),-[4]整車!$B$22)</f>
        <v>0</v>
      </c>
      <c r="W195" s="398">
        <f>_xlfn.IFNA(VLOOKUP(A195,[3]進出口值表查詢結果!$C$11:$F$68,3,0),-[4]整車!$B$22)</f>
        <v>0</v>
      </c>
      <c r="X195" s="398">
        <f>_xlfn.IFNA(VLOOKUP(A195,[5]進出口值表查詢結果!$C$11:$F$80,4,0),-[4]整車!$B$22)</f>
        <v>0</v>
      </c>
      <c r="Y195" s="398">
        <f>_xlfn.IFNA(VLOOKUP(A195,[5]進出口值表查詢結果!$C$11:$F$80,3,0),-[4]整車!$B$22)</f>
        <v>0</v>
      </c>
      <c r="Z195" s="392">
        <f t="shared" si="31"/>
        <v>0</v>
      </c>
      <c r="AA195" s="392">
        <f t="shared" si="32"/>
        <v>0</v>
      </c>
    </row>
    <row r="196" spans="1:27">
      <c r="A196" s="434" t="s">
        <v>373</v>
      </c>
      <c r="B196" s="398"/>
      <c r="C196" s="398"/>
      <c r="D196" s="398"/>
      <c r="E196" s="398">
        <v>0</v>
      </c>
      <c r="F196" s="398">
        <v>0</v>
      </c>
      <c r="G196" s="398"/>
      <c r="H196" s="398">
        <v>0</v>
      </c>
      <c r="I196" s="398">
        <v>0</v>
      </c>
      <c r="J196" s="399">
        <v>0</v>
      </c>
      <c r="K196" s="400">
        <v>0</v>
      </c>
      <c r="L196" s="398">
        <v>0</v>
      </c>
      <c r="M196" s="398">
        <v>0</v>
      </c>
      <c r="N196" s="398">
        <v>0</v>
      </c>
      <c r="O196" s="398">
        <v>0</v>
      </c>
      <c r="P196" s="398">
        <v>0</v>
      </c>
      <c r="Q196" s="398">
        <v>0</v>
      </c>
      <c r="R196" s="398">
        <v>0</v>
      </c>
      <c r="S196" s="398">
        <v>0</v>
      </c>
      <c r="T196" s="398">
        <v>19</v>
      </c>
      <c r="U196" s="398">
        <v>12461</v>
      </c>
      <c r="V196" s="398">
        <f>_xlfn.IFNA(VLOOKUP(A196,[3]進出口值表查詢結果!$C$11:$F$68,4,0),-[4]整車!$B$22)</f>
        <v>0</v>
      </c>
      <c r="W196" s="398">
        <f>_xlfn.IFNA(VLOOKUP(A196,[3]進出口值表查詢結果!$C$11:$F$68,3,0),-[4]整車!$B$22)</f>
        <v>0</v>
      </c>
      <c r="X196" s="398">
        <f>_xlfn.IFNA(VLOOKUP(A196,[5]進出口值表查詢結果!$C$11:$F$80,4,0),-[4]整車!$B$22)</f>
        <v>0</v>
      </c>
      <c r="Y196" s="398">
        <f>_xlfn.IFNA(VLOOKUP(A196,[5]進出口值表查詢結果!$C$11:$F$80,3,0),-[4]整車!$B$22)</f>
        <v>0</v>
      </c>
      <c r="Z196" s="392">
        <f t="shared" si="31"/>
        <v>19</v>
      </c>
      <c r="AA196" s="392">
        <f t="shared" si="32"/>
        <v>12461</v>
      </c>
    </row>
    <row r="197" spans="1:27">
      <c r="A197" s="434" t="s">
        <v>374</v>
      </c>
      <c r="B197" s="398"/>
      <c r="C197" s="398"/>
      <c r="D197" s="398"/>
      <c r="E197" s="398">
        <v>0</v>
      </c>
      <c r="F197" s="398">
        <v>0</v>
      </c>
      <c r="G197" s="398"/>
      <c r="H197" s="398">
        <v>0</v>
      </c>
      <c r="I197" s="398">
        <v>0</v>
      </c>
      <c r="J197" s="399">
        <v>0</v>
      </c>
      <c r="K197" s="400">
        <v>0</v>
      </c>
      <c r="L197" s="398">
        <v>0</v>
      </c>
      <c r="M197" s="398">
        <v>0</v>
      </c>
      <c r="N197" s="398">
        <v>0</v>
      </c>
      <c r="O197" s="398">
        <v>0</v>
      </c>
      <c r="P197" s="398">
        <v>0</v>
      </c>
      <c r="Q197" s="398">
        <v>0</v>
      </c>
      <c r="R197" s="398">
        <v>0</v>
      </c>
      <c r="S197" s="398">
        <v>0</v>
      </c>
      <c r="T197" s="398"/>
      <c r="U197" s="398"/>
      <c r="V197" s="398">
        <f>_xlfn.IFNA(VLOOKUP(A197,[3]進出口值表查詢結果!$C$11:$F$68,4,0),-[4]整車!$B$22)</f>
        <v>0</v>
      </c>
      <c r="W197" s="398">
        <f>_xlfn.IFNA(VLOOKUP(A197,[3]進出口值表查詢結果!$C$11:$F$68,3,0),-[4]整車!$B$22)</f>
        <v>0</v>
      </c>
      <c r="X197" s="398">
        <f>_xlfn.IFNA(VLOOKUP(A197,[5]進出口值表查詢結果!$C$11:$F$80,4,0),-[4]整車!$B$22)</f>
        <v>0</v>
      </c>
      <c r="Y197" s="398">
        <f>_xlfn.IFNA(VLOOKUP(A197,[5]進出口值表查詢結果!$C$11:$F$80,3,0),-[4]整車!$B$22)</f>
        <v>0</v>
      </c>
      <c r="Z197" s="392">
        <f t="shared" si="31"/>
        <v>0</v>
      </c>
      <c r="AA197" s="392">
        <f t="shared" si="32"/>
        <v>0</v>
      </c>
    </row>
    <row r="198" spans="1:27">
      <c r="A198" s="434" t="s">
        <v>375</v>
      </c>
      <c r="B198" s="398"/>
      <c r="C198" s="398"/>
      <c r="D198" s="398"/>
      <c r="E198" s="398">
        <v>0</v>
      </c>
      <c r="F198" s="398">
        <v>0</v>
      </c>
      <c r="G198" s="398"/>
      <c r="H198" s="398">
        <v>0</v>
      </c>
      <c r="I198" s="398">
        <v>0</v>
      </c>
      <c r="J198" s="399">
        <v>0</v>
      </c>
      <c r="K198" s="400">
        <v>0</v>
      </c>
      <c r="L198" s="398">
        <v>0</v>
      </c>
      <c r="M198" s="398">
        <v>0</v>
      </c>
      <c r="N198" s="398">
        <v>0</v>
      </c>
      <c r="O198" s="398">
        <v>0</v>
      </c>
      <c r="P198" s="398">
        <v>0</v>
      </c>
      <c r="Q198" s="398">
        <v>0</v>
      </c>
      <c r="R198" s="398">
        <v>0</v>
      </c>
      <c r="S198" s="398">
        <v>0</v>
      </c>
      <c r="T198" s="398"/>
      <c r="U198" s="398"/>
      <c r="V198" s="398">
        <f>_xlfn.IFNA(VLOOKUP(A198,[3]進出口值表查詢結果!$C$11:$F$68,4,0),-[4]整車!$B$22)</f>
        <v>0</v>
      </c>
      <c r="W198" s="398">
        <f>_xlfn.IFNA(VLOOKUP(A198,[3]進出口值表查詢結果!$C$11:$F$68,3,0),-[4]整車!$B$22)</f>
        <v>0</v>
      </c>
      <c r="X198" s="398">
        <f>_xlfn.IFNA(VLOOKUP(A198,[5]進出口值表查詢結果!$C$11:$F$80,4,0),-[4]整車!$B$22)</f>
        <v>0</v>
      </c>
      <c r="Y198" s="398">
        <f>_xlfn.IFNA(VLOOKUP(A198,[5]進出口值表查詢結果!$C$11:$F$80,3,0),-[4]整車!$B$22)</f>
        <v>0</v>
      </c>
      <c r="Z198" s="392">
        <f t="shared" si="31"/>
        <v>0</v>
      </c>
      <c r="AA198" s="392">
        <f t="shared" si="32"/>
        <v>0</v>
      </c>
    </row>
    <row r="199" spans="1:27">
      <c r="A199" s="434" t="s">
        <v>395</v>
      </c>
      <c r="B199" s="398"/>
      <c r="C199" s="398"/>
      <c r="D199" s="398"/>
      <c r="E199" s="398">
        <v>0</v>
      </c>
      <c r="F199" s="398">
        <v>0</v>
      </c>
      <c r="G199" s="398"/>
      <c r="H199" s="398">
        <v>0</v>
      </c>
      <c r="I199" s="398">
        <v>0</v>
      </c>
      <c r="J199" s="399" t="s">
        <v>56</v>
      </c>
      <c r="K199" s="400">
        <v>0</v>
      </c>
      <c r="L199" s="398">
        <v>10</v>
      </c>
      <c r="M199" s="398">
        <v>1039</v>
      </c>
      <c r="N199" s="398">
        <v>0</v>
      </c>
      <c r="O199" s="398">
        <v>0</v>
      </c>
      <c r="P199" s="398">
        <v>0</v>
      </c>
      <c r="Q199" s="398">
        <v>0</v>
      </c>
      <c r="R199" s="398">
        <v>5</v>
      </c>
      <c r="S199" s="398">
        <v>543</v>
      </c>
      <c r="T199" s="398"/>
      <c r="U199" s="398"/>
      <c r="V199" s="398">
        <f>_xlfn.IFNA(VLOOKUP(A199,[3]進出口值表查詢結果!$C$11:$F$68,4,0),-[4]整車!$B$22)</f>
        <v>2</v>
      </c>
      <c r="W199" s="398">
        <f>_xlfn.IFNA(VLOOKUP(A199,[3]進出口值表查詢結果!$C$11:$F$68,3,0),-[4]整車!$B$22)</f>
        <v>763</v>
      </c>
      <c r="X199" s="398">
        <f>_xlfn.IFNA(VLOOKUP(A199,[5]進出口值表查詢結果!$C$11:$F$80,4,0),-[4]整車!$B$22)</f>
        <v>0</v>
      </c>
      <c r="Y199" s="398">
        <f>_xlfn.IFNA(VLOOKUP(A199,[5]進出口值表查詢結果!$C$11:$F$80,3,0),-[4]整車!$B$22)</f>
        <v>0</v>
      </c>
      <c r="Z199" s="392">
        <f t="shared" si="31"/>
        <v>17</v>
      </c>
      <c r="AA199" s="392">
        <f t="shared" si="32"/>
        <v>2345</v>
      </c>
    </row>
    <row r="200" spans="1:27">
      <c r="A200" s="401" t="s">
        <v>143</v>
      </c>
      <c r="B200" s="398"/>
      <c r="C200" s="398"/>
      <c r="D200" s="398"/>
      <c r="E200" s="398">
        <v>0</v>
      </c>
      <c r="F200" s="398">
        <v>0</v>
      </c>
      <c r="G200" s="398"/>
      <c r="H200" s="398">
        <v>0</v>
      </c>
      <c r="I200" s="398">
        <v>0</v>
      </c>
      <c r="J200" s="399">
        <v>0</v>
      </c>
      <c r="K200" s="400">
        <v>0</v>
      </c>
      <c r="L200" s="398">
        <v>0</v>
      </c>
      <c r="M200" s="398">
        <v>0</v>
      </c>
      <c r="N200" s="398">
        <v>1</v>
      </c>
      <c r="O200" s="398">
        <v>2028</v>
      </c>
      <c r="P200" s="398">
        <v>0</v>
      </c>
      <c r="Q200" s="398">
        <v>0</v>
      </c>
      <c r="R200" s="398">
        <v>0</v>
      </c>
      <c r="S200" s="398">
        <v>0</v>
      </c>
      <c r="T200" s="398"/>
      <c r="U200" s="398"/>
      <c r="V200" s="398">
        <f>_xlfn.IFNA(VLOOKUP(A200,[3]進出口值表查詢結果!$C$11:$F$68,4,0),-[4]整車!$B$22)</f>
        <v>0</v>
      </c>
      <c r="W200" s="398">
        <f>_xlfn.IFNA(VLOOKUP(A200,[3]進出口值表查詢結果!$C$11:$F$68,3,0),-[4]整車!$B$22)</f>
        <v>0</v>
      </c>
      <c r="X200" s="398">
        <f>_xlfn.IFNA(VLOOKUP(A200,[5]進出口值表查詢結果!$C$11:$F$80,4,0),-[4]整車!$B$22)</f>
        <v>0</v>
      </c>
      <c r="Y200" s="398">
        <f>_xlfn.IFNA(VLOOKUP(A200,[5]進出口值表查詢結果!$C$11:$F$80,3,0),-[4]整車!$B$22)</f>
        <v>0</v>
      </c>
      <c r="Z200" s="392">
        <f t="shared" si="31"/>
        <v>1</v>
      </c>
      <c r="AA200" s="392">
        <f t="shared" si="32"/>
        <v>2028</v>
      </c>
    </row>
    <row r="201" spans="1:27">
      <c r="A201" s="438" t="s">
        <v>376</v>
      </c>
      <c r="B201" s="398"/>
      <c r="C201" s="398"/>
      <c r="D201" s="398"/>
      <c r="E201" s="398"/>
      <c r="F201" s="398"/>
      <c r="G201" s="398"/>
      <c r="H201" s="398">
        <v>0</v>
      </c>
      <c r="I201" s="398">
        <v>0</v>
      </c>
      <c r="J201" s="399" t="s">
        <v>56</v>
      </c>
      <c r="K201" s="400"/>
      <c r="L201" s="398">
        <v>0</v>
      </c>
      <c r="M201" s="398">
        <v>0</v>
      </c>
      <c r="N201" s="398">
        <v>0</v>
      </c>
      <c r="O201" s="398">
        <v>0</v>
      </c>
      <c r="P201" s="398">
        <v>0</v>
      </c>
      <c r="Q201" s="398">
        <v>0</v>
      </c>
      <c r="R201" s="398">
        <v>0</v>
      </c>
      <c r="S201" s="398">
        <v>0</v>
      </c>
      <c r="T201" s="398"/>
      <c r="U201" s="398"/>
      <c r="V201" s="398">
        <f>_xlfn.IFNA(VLOOKUP(A201,[3]進出口值表查詢結果!$C$11:$F$68,4,0),-[4]整車!$B$22)</f>
        <v>0</v>
      </c>
      <c r="W201" s="398">
        <f>_xlfn.IFNA(VLOOKUP(A201,[3]進出口值表查詢結果!$C$11:$F$68,3,0),-[4]整車!$B$22)</f>
        <v>0</v>
      </c>
      <c r="X201" s="398">
        <f>_xlfn.IFNA(VLOOKUP(A201,[5]進出口值表查詢結果!$C$11:$F$80,4,0),-[4]整車!$B$22)</f>
        <v>0</v>
      </c>
      <c r="Y201" s="398">
        <f>_xlfn.IFNA(VLOOKUP(A201,[5]進出口值表查詢結果!$C$11:$F$80,3,0),-[4]整車!$B$22)</f>
        <v>0</v>
      </c>
      <c r="Z201" s="392"/>
      <c r="AA201" s="392"/>
    </row>
    <row r="202" spans="1:27">
      <c r="A202" s="434" t="s">
        <v>396</v>
      </c>
      <c r="B202" s="398"/>
      <c r="C202" s="398"/>
      <c r="D202" s="398"/>
      <c r="E202" s="398"/>
      <c r="F202" s="398"/>
      <c r="G202" s="398"/>
      <c r="H202" s="398">
        <v>0</v>
      </c>
      <c r="I202" s="398">
        <v>0</v>
      </c>
      <c r="J202" s="399" t="s">
        <v>56</v>
      </c>
      <c r="K202" s="400"/>
      <c r="L202" s="398">
        <v>0</v>
      </c>
      <c r="M202" s="398">
        <v>0</v>
      </c>
      <c r="N202" s="398">
        <v>0</v>
      </c>
      <c r="O202" s="398">
        <v>0</v>
      </c>
      <c r="P202" s="398">
        <v>0</v>
      </c>
      <c r="Q202" s="398">
        <v>0</v>
      </c>
      <c r="R202" s="398">
        <v>0</v>
      </c>
      <c r="S202" s="398">
        <v>0</v>
      </c>
      <c r="T202" s="398"/>
      <c r="U202" s="398"/>
      <c r="V202" s="398">
        <f>_xlfn.IFNA(VLOOKUP(A202,[3]進出口值表查詢結果!$C$11:$F$68,4,0),-[4]整車!$B$22)</f>
        <v>5</v>
      </c>
      <c r="W202" s="398">
        <f>_xlfn.IFNA(VLOOKUP(A202,[3]進出口值表查詢結果!$C$11:$F$68,3,0),-[4]整車!$B$22)</f>
        <v>7938</v>
      </c>
      <c r="X202" s="398">
        <f>_xlfn.IFNA(VLOOKUP(A202,[5]進出口值表查詢結果!$C$11:$F$80,4,0),-[4]整車!$B$22)</f>
        <v>0</v>
      </c>
      <c r="Y202" s="398">
        <f>_xlfn.IFNA(VLOOKUP(A202,[5]進出口值表查詢結果!$C$11:$F$80,3,0),-[4]整車!$B$22)</f>
        <v>0</v>
      </c>
      <c r="Z202" s="392"/>
      <c r="AA202" s="392"/>
    </row>
    <row r="203" spans="1:27">
      <c r="A203" s="438" t="s">
        <v>397</v>
      </c>
      <c r="B203" s="398"/>
      <c r="C203" s="398"/>
      <c r="D203" s="424">
        <v>0</v>
      </c>
      <c r="E203" s="398">
        <v>0</v>
      </c>
      <c r="F203" s="398">
        <v>0</v>
      </c>
      <c r="G203" s="425"/>
      <c r="H203" s="398">
        <v>0</v>
      </c>
      <c r="I203" s="398">
        <v>0</v>
      </c>
      <c r="J203" s="399">
        <v>0</v>
      </c>
      <c r="K203" s="400">
        <v>0</v>
      </c>
      <c r="L203" s="398">
        <v>0</v>
      </c>
      <c r="M203" s="398">
        <v>0</v>
      </c>
      <c r="N203" s="398">
        <v>0</v>
      </c>
      <c r="O203" s="398">
        <v>0</v>
      </c>
      <c r="P203" s="398">
        <v>0</v>
      </c>
      <c r="Q203" s="398">
        <v>0</v>
      </c>
      <c r="R203" s="398">
        <v>0</v>
      </c>
      <c r="S203" s="398">
        <v>0</v>
      </c>
      <c r="T203" s="398">
        <v>0</v>
      </c>
      <c r="U203" s="398">
        <v>0</v>
      </c>
      <c r="V203" s="398">
        <f>_xlfn.IFNA(VLOOKUP(A203,[3]進出口值表查詢結果!$C$11:$F$68,4,0),-[4]整車!$B$22)</f>
        <v>0</v>
      </c>
      <c r="W203" s="398">
        <f>_xlfn.IFNA(VLOOKUP(A203,[3]進出口值表查詢結果!$C$11:$F$68,3,0),-[4]整車!$B$22)</f>
        <v>0</v>
      </c>
      <c r="X203" s="398">
        <f>_xlfn.IFNA(VLOOKUP(A203,[5]進出口值表查詢結果!$C$11:$F$80,4,0),-[4]整車!$B$22)</f>
        <v>0</v>
      </c>
      <c r="Y203" s="398">
        <f>_xlfn.IFNA(VLOOKUP(A203,[5]進出口值表查詢結果!$C$11:$F$80,3,0),-[4]整車!$B$22)</f>
        <v>0</v>
      </c>
      <c r="Z203" s="398">
        <f>SUM(B203,D203,F203,H203,J203,L203,N203,P203,R203,T203,V203,X203)</f>
        <v>0</v>
      </c>
      <c r="AA203" s="398">
        <f>SUM(C203,E203,G203,I203,K203,M203,O203,Q203,S203,U203,W203,Y203)</f>
        <v>0</v>
      </c>
    </row>
    <row r="204" spans="1:27">
      <c r="A204" s="374"/>
      <c r="B204" s="579" t="s">
        <v>144</v>
      </c>
      <c r="C204" s="580"/>
      <c r="D204" s="375" t="s">
        <v>120</v>
      </c>
      <c r="E204" s="376"/>
      <c r="F204" s="375" t="s">
        <v>121</v>
      </c>
      <c r="G204" s="376"/>
      <c r="H204" s="375" t="s">
        <v>122</v>
      </c>
      <c r="I204" s="376"/>
      <c r="J204" s="377" t="s">
        <v>123</v>
      </c>
      <c r="K204" s="378"/>
      <c r="L204" s="375" t="s">
        <v>124</v>
      </c>
      <c r="M204" s="376"/>
      <c r="N204" s="375" t="s">
        <v>125</v>
      </c>
      <c r="O204" s="376"/>
      <c r="P204" s="375" t="s">
        <v>126</v>
      </c>
      <c r="Q204" s="376"/>
      <c r="R204" s="375" t="s">
        <v>127</v>
      </c>
      <c r="S204" s="376"/>
      <c r="T204" s="375" t="s">
        <v>128</v>
      </c>
      <c r="U204" s="376"/>
      <c r="V204" s="375" t="s">
        <v>129</v>
      </c>
      <c r="W204" s="376"/>
      <c r="X204" s="375" t="s">
        <v>130</v>
      </c>
      <c r="Y204" s="376"/>
      <c r="Z204" s="579" t="s">
        <v>102</v>
      </c>
      <c r="AA204" s="580"/>
    </row>
    <row r="205" spans="1:27">
      <c r="A205" s="426" t="s">
        <v>145</v>
      </c>
      <c r="B205" s="380" t="s">
        <v>132</v>
      </c>
      <c r="C205" s="380" t="s">
        <v>133</v>
      </c>
      <c r="D205" s="380" t="s">
        <v>134</v>
      </c>
      <c r="E205" s="380" t="s">
        <v>135</v>
      </c>
      <c r="F205" s="380" t="s">
        <v>134</v>
      </c>
      <c r="G205" s="380" t="s">
        <v>135</v>
      </c>
      <c r="H205" s="380" t="s">
        <v>134</v>
      </c>
      <c r="I205" s="380" t="s">
        <v>135</v>
      </c>
      <c r="J205" s="381" t="s">
        <v>134</v>
      </c>
      <c r="K205" s="382" t="s">
        <v>135</v>
      </c>
      <c r="L205" s="380" t="s">
        <v>134</v>
      </c>
      <c r="M205" s="380" t="s">
        <v>135</v>
      </c>
      <c r="N205" s="380" t="s">
        <v>134</v>
      </c>
      <c r="O205" s="380" t="s">
        <v>135</v>
      </c>
      <c r="P205" s="380" t="s">
        <v>134</v>
      </c>
      <c r="Q205" s="380" t="s">
        <v>135</v>
      </c>
      <c r="R205" s="380" t="s">
        <v>134</v>
      </c>
      <c r="S205" s="380" t="s">
        <v>135</v>
      </c>
      <c r="T205" s="380" t="s">
        <v>134</v>
      </c>
      <c r="U205" s="380" t="s">
        <v>135</v>
      </c>
      <c r="V205" s="380" t="s">
        <v>134</v>
      </c>
      <c r="W205" s="380" t="s">
        <v>135</v>
      </c>
      <c r="X205" s="380" t="s">
        <v>134</v>
      </c>
      <c r="Y205" s="380" t="s">
        <v>135</v>
      </c>
      <c r="Z205" s="380" t="s">
        <v>134</v>
      </c>
      <c r="AA205" s="380" t="s">
        <v>135</v>
      </c>
    </row>
    <row r="206" spans="1:27">
      <c r="A206" s="379" t="s">
        <v>146</v>
      </c>
      <c r="B206" s="398">
        <v>6025</v>
      </c>
      <c r="C206" s="398">
        <v>1562479</v>
      </c>
      <c r="D206" s="398">
        <v>5953</v>
      </c>
      <c r="E206" s="398">
        <v>1186109</v>
      </c>
      <c r="F206" s="398">
        <v>5066</v>
      </c>
      <c r="G206" s="398">
        <v>1570229</v>
      </c>
      <c r="H206" s="398">
        <v>7242</v>
      </c>
      <c r="I206" s="398">
        <v>1397285</v>
      </c>
      <c r="J206" s="399">
        <v>9565</v>
      </c>
      <c r="K206" s="400">
        <v>2314635</v>
      </c>
      <c r="L206" s="398">
        <v>11407</v>
      </c>
      <c r="M206" s="398">
        <v>2211195</v>
      </c>
      <c r="N206" s="398">
        <v>8718</v>
      </c>
      <c r="O206" s="398">
        <v>1911196</v>
      </c>
      <c r="P206" s="398"/>
      <c r="Q206" s="398"/>
      <c r="R206" s="398"/>
      <c r="S206" s="398"/>
      <c r="T206" s="398"/>
      <c r="U206" s="398"/>
      <c r="V206" s="398"/>
      <c r="W206" s="398"/>
      <c r="X206" s="398"/>
      <c r="Y206" s="398"/>
      <c r="Z206" s="398">
        <f>SUM(B206,D206,F206,H206,J206,L206,N206,P206,R206,T206,V206,X206)</f>
        <v>53976</v>
      </c>
      <c r="AA206" s="392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3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6" customFormat="1" ht="23.25">
      <c r="B1" s="1"/>
      <c r="C1" s="1"/>
      <c r="D1" s="1"/>
      <c r="E1" s="174" t="s">
        <v>496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0" customFormat="1">
      <c r="A3" s="107" t="s">
        <v>36</v>
      </c>
      <c r="B3" s="108"/>
      <c r="C3" s="108"/>
      <c r="D3" s="108"/>
      <c r="E3" s="108"/>
      <c r="F3" s="108"/>
      <c r="G3" s="108"/>
      <c r="H3" s="108"/>
      <c r="I3" s="108"/>
      <c r="J3" s="109"/>
      <c r="K3" s="5"/>
      <c r="L3" s="5"/>
      <c r="M3" s="5"/>
      <c r="N3" s="5"/>
    </row>
    <row r="4" spans="1:14" s="13" customFormat="1">
      <c r="A4" s="111" t="s">
        <v>37</v>
      </c>
      <c r="B4" s="112"/>
      <c r="C4" s="112"/>
      <c r="D4" s="112"/>
      <c r="E4" s="112"/>
      <c r="F4" s="112"/>
      <c r="G4" s="112"/>
      <c r="H4" s="112"/>
      <c r="I4" s="112"/>
      <c r="J4" s="113"/>
      <c r="K4" s="5"/>
      <c r="L4" s="5"/>
      <c r="M4" s="5"/>
      <c r="N4" s="5"/>
    </row>
    <row r="5" spans="1:14" s="117" customFormat="1">
      <c r="A5" s="114" t="s">
        <v>38</v>
      </c>
      <c r="B5" s="115" t="s">
        <v>39</v>
      </c>
      <c r="C5" s="116" t="s">
        <v>40</v>
      </c>
      <c r="D5" s="115" t="s">
        <v>41</v>
      </c>
      <c r="E5" s="115" t="s">
        <v>42</v>
      </c>
      <c r="F5" s="544" t="s">
        <v>482</v>
      </c>
      <c r="G5" s="115" t="s">
        <v>44</v>
      </c>
      <c r="H5" s="544" t="s">
        <v>480</v>
      </c>
      <c r="I5" s="547" t="s">
        <v>516</v>
      </c>
      <c r="J5" s="115" t="s">
        <v>46</v>
      </c>
      <c r="K5" s="5"/>
      <c r="L5" s="5"/>
      <c r="M5" s="5"/>
      <c r="N5" s="5"/>
    </row>
    <row r="6" spans="1:14" s="117" customFormat="1">
      <c r="A6" s="118"/>
      <c r="B6" s="119" t="s">
        <v>47</v>
      </c>
      <c r="C6" s="120"/>
      <c r="D6" s="120"/>
      <c r="E6" s="120"/>
      <c r="F6" s="120"/>
      <c r="G6" s="120"/>
      <c r="H6" s="120"/>
      <c r="I6" s="120"/>
      <c r="J6" s="120"/>
      <c r="K6" s="5"/>
      <c r="L6" s="5"/>
      <c r="M6" s="5"/>
      <c r="N6" s="5"/>
    </row>
    <row r="7" spans="1:14">
      <c r="A7" s="121">
        <v>1</v>
      </c>
      <c r="B7" s="27">
        <f t="shared" ref="B7:B10" si="0">SUM(C7:I7)</f>
        <v>52420</v>
      </c>
      <c r="C7" s="356">
        <v>22628</v>
      </c>
      <c r="D7" s="512">
        <v>19372</v>
      </c>
      <c r="E7" s="356">
        <v>5395</v>
      </c>
      <c r="F7" s="356">
        <v>1308</v>
      </c>
      <c r="G7" s="356">
        <v>566</v>
      </c>
      <c r="H7" s="356">
        <v>2820</v>
      </c>
      <c r="I7" s="357">
        <v>331</v>
      </c>
      <c r="J7" s="357">
        <v>0</v>
      </c>
    </row>
    <row r="8" spans="1:14">
      <c r="A8" s="122"/>
      <c r="B8" s="27">
        <f t="shared" si="0"/>
        <v>48431613</v>
      </c>
      <c r="C8" s="358">
        <v>15524350</v>
      </c>
      <c r="D8" s="512">
        <v>20140774</v>
      </c>
      <c r="E8" s="358">
        <v>7136938</v>
      </c>
      <c r="F8" s="358">
        <v>2315233</v>
      </c>
      <c r="G8" s="358">
        <v>448161</v>
      </c>
      <c r="H8" s="358">
        <v>2625567</v>
      </c>
      <c r="I8" s="356">
        <v>240590</v>
      </c>
      <c r="J8" s="356">
        <v>0</v>
      </c>
    </row>
    <row r="9" spans="1:14">
      <c r="A9" s="121">
        <v>2</v>
      </c>
      <c r="B9" s="542">
        <f t="shared" si="0"/>
        <v>69917</v>
      </c>
      <c r="C9" s="356">
        <v>24726</v>
      </c>
      <c r="D9" s="356">
        <v>30681</v>
      </c>
      <c r="E9" s="356">
        <v>8658</v>
      </c>
      <c r="F9" s="356">
        <v>1042</v>
      </c>
      <c r="G9" s="356">
        <v>415</v>
      </c>
      <c r="H9" s="356">
        <v>3931</v>
      </c>
      <c r="I9" s="356">
        <v>464</v>
      </c>
      <c r="J9" s="356">
        <v>0</v>
      </c>
    </row>
    <row r="10" spans="1:14">
      <c r="A10" s="122"/>
      <c r="B10" s="542">
        <f t="shared" si="0"/>
        <v>73872480</v>
      </c>
      <c r="C10" s="358">
        <v>20905621</v>
      </c>
      <c r="D10" s="356">
        <v>33144762</v>
      </c>
      <c r="E10" s="358">
        <v>13215928</v>
      </c>
      <c r="F10" s="358">
        <v>1639978</v>
      </c>
      <c r="G10" s="358">
        <v>355446</v>
      </c>
      <c r="H10" s="358">
        <v>3744249</v>
      </c>
      <c r="I10" s="358">
        <v>866496</v>
      </c>
      <c r="J10" s="358">
        <v>0</v>
      </c>
    </row>
    <row r="11" spans="1:14">
      <c r="A11" s="121">
        <v>3</v>
      </c>
      <c r="B11" s="545">
        <f t="shared" ref="B11:B16" si="1">SUM(C11:I11)</f>
        <v>61385</v>
      </c>
      <c r="C11" s="356">
        <v>24548</v>
      </c>
      <c r="D11" s="356">
        <v>24188</v>
      </c>
      <c r="E11" s="356">
        <v>6785</v>
      </c>
      <c r="F11" s="356">
        <v>1724</v>
      </c>
      <c r="G11" s="356">
        <v>863</v>
      </c>
      <c r="H11" s="356">
        <v>2978</v>
      </c>
      <c r="I11" s="356">
        <v>299</v>
      </c>
      <c r="J11" s="356">
        <v>0</v>
      </c>
    </row>
    <row r="12" spans="1:14">
      <c r="A12" s="122"/>
      <c r="B12" s="542">
        <f t="shared" si="1"/>
        <v>59684721</v>
      </c>
      <c r="C12" s="358">
        <v>20430460</v>
      </c>
      <c r="D12" s="358">
        <v>24333569</v>
      </c>
      <c r="E12" s="358">
        <v>8490413</v>
      </c>
      <c r="F12" s="358">
        <v>3371516</v>
      </c>
      <c r="G12" s="358">
        <v>844796</v>
      </c>
      <c r="H12" s="358">
        <v>1807517</v>
      </c>
      <c r="I12" s="358">
        <v>406450</v>
      </c>
      <c r="J12" s="358">
        <v>0</v>
      </c>
      <c r="L12" s="462"/>
    </row>
    <row r="13" spans="1:14">
      <c r="A13" s="121">
        <v>4</v>
      </c>
      <c r="B13" s="545">
        <f t="shared" si="1"/>
        <v>51468</v>
      </c>
      <c r="C13" s="357">
        <v>24660</v>
      </c>
      <c r="D13" s="357">
        <v>16696</v>
      </c>
      <c r="E13" s="357">
        <v>3588</v>
      </c>
      <c r="F13" s="357">
        <v>905</v>
      </c>
      <c r="G13" s="357">
        <v>137</v>
      </c>
      <c r="H13" s="357">
        <v>5217</v>
      </c>
      <c r="I13" s="357">
        <v>265</v>
      </c>
      <c r="J13" s="358">
        <v>0</v>
      </c>
    </row>
    <row r="14" spans="1:14">
      <c r="A14" s="122"/>
      <c r="B14" s="542">
        <f t="shared" si="1"/>
        <v>44310885</v>
      </c>
      <c r="C14" s="356">
        <v>16298965</v>
      </c>
      <c r="D14" s="356">
        <v>17549198</v>
      </c>
      <c r="E14" s="356">
        <v>4420826</v>
      </c>
      <c r="F14" s="356">
        <v>1300303</v>
      </c>
      <c r="G14" s="356">
        <v>253238</v>
      </c>
      <c r="H14" s="356">
        <v>3796138</v>
      </c>
      <c r="I14" s="356">
        <v>692217</v>
      </c>
      <c r="J14" s="358">
        <v>0</v>
      </c>
    </row>
    <row r="15" spans="1:14">
      <c r="A15" s="123">
        <v>5</v>
      </c>
      <c r="B15" s="545">
        <f t="shared" si="1"/>
        <v>49575</v>
      </c>
      <c r="C15" s="356">
        <v>24107</v>
      </c>
      <c r="D15" s="356">
        <v>18350</v>
      </c>
      <c r="E15" s="356">
        <v>4552</v>
      </c>
      <c r="F15" s="91">
        <v>1430</v>
      </c>
      <c r="G15" s="356">
        <v>463</v>
      </c>
      <c r="H15" s="356">
        <v>532</v>
      </c>
      <c r="I15" s="356">
        <v>141</v>
      </c>
      <c r="J15" s="358">
        <v>0</v>
      </c>
    </row>
    <row r="16" spans="1:14">
      <c r="A16" s="123"/>
      <c r="B16" s="542">
        <f t="shared" si="1"/>
        <v>61771181</v>
      </c>
      <c r="C16" s="356">
        <v>26954476</v>
      </c>
      <c r="D16" s="356">
        <v>23488886</v>
      </c>
      <c r="E16" s="356">
        <v>6858288</v>
      </c>
      <c r="F16" s="91">
        <v>3242423</v>
      </c>
      <c r="G16" s="356">
        <v>315284</v>
      </c>
      <c r="H16" s="356">
        <v>739610</v>
      </c>
      <c r="I16" s="356">
        <v>172214</v>
      </c>
      <c r="J16" s="358">
        <v>0</v>
      </c>
    </row>
    <row r="17" spans="1:10">
      <c r="A17" s="121">
        <v>6</v>
      </c>
      <c r="B17" s="27"/>
      <c r="C17" s="356"/>
      <c r="D17" s="356"/>
      <c r="E17" s="356"/>
      <c r="F17" s="356"/>
      <c r="G17" s="356"/>
      <c r="H17" s="356"/>
      <c r="I17" s="356"/>
      <c r="J17" s="356"/>
    </row>
    <row r="18" spans="1:10">
      <c r="A18" s="122"/>
      <c r="B18" s="27"/>
      <c r="C18" s="356"/>
      <c r="D18" s="356"/>
      <c r="E18" s="356"/>
      <c r="F18" s="356"/>
      <c r="G18" s="356"/>
      <c r="H18" s="356"/>
      <c r="I18" s="356"/>
      <c r="J18" s="356"/>
    </row>
    <row r="19" spans="1:10">
      <c r="A19" s="121">
        <v>7</v>
      </c>
      <c r="B19" s="27"/>
      <c r="C19" s="356"/>
      <c r="D19" s="356"/>
      <c r="E19" s="356"/>
      <c r="F19" s="356"/>
      <c r="G19" s="356"/>
      <c r="H19" s="356"/>
      <c r="I19" s="356"/>
      <c r="J19" s="356"/>
    </row>
    <row r="20" spans="1:10">
      <c r="A20" s="122"/>
      <c r="B20" s="27"/>
      <c r="C20" s="356"/>
      <c r="D20" s="356"/>
      <c r="E20" s="356"/>
      <c r="F20" s="356"/>
      <c r="G20" s="356"/>
      <c r="H20" s="356"/>
      <c r="I20" s="356"/>
      <c r="J20" s="356"/>
    </row>
    <row r="21" spans="1:10">
      <c r="A21" s="121">
        <v>8</v>
      </c>
      <c r="B21" s="27"/>
      <c r="C21" s="356"/>
      <c r="D21" s="356"/>
      <c r="E21" s="356"/>
      <c r="F21" s="356"/>
      <c r="G21" s="356"/>
      <c r="H21" s="356"/>
      <c r="I21" s="356"/>
      <c r="J21" s="356"/>
    </row>
    <row r="22" spans="1:10">
      <c r="A22" s="122"/>
      <c r="B22" s="27"/>
      <c r="C22" s="356"/>
      <c r="D22" s="356"/>
      <c r="E22" s="356"/>
      <c r="F22" s="356"/>
      <c r="G22" s="356"/>
      <c r="H22" s="356"/>
      <c r="I22" s="356"/>
      <c r="J22" s="356"/>
    </row>
    <row r="23" spans="1:10">
      <c r="A23" s="121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2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1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2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1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2"/>
      <c r="B28" s="27"/>
      <c r="C28" s="27"/>
      <c r="D28" s="27"/>
      <c r="E28" s="27"/>
      <c r="F28" s="27"/>
      <c r="G28" s="27"/>
      <c r="H28" s="27"/>
      <c r="I28" s="490"/>
      <c r="J28" s="27"/>
    </row>
    <row r="29" spans="1:10">
      <c r="A29" s="121">
        <v>12</v>
      </c>
      <c r="B29" s="27"/>
      <c r="C29" s="27"/>
      <c r="D29" s="27"/>
      <c r="E29" s="27"/>
      <c r="F29" s="27"/>
      <c r="G29" s="27"/>
      <c r="H29" s="27"/>
      <c r="I29" s="491"/>
      <c r="J29" s="27"/>
    </row>
    <row r="30" spans="1:10">
      <c r="A30" s="122"/>
      <c r="B30" s="27"/>
      <c r="C30" s="27"/>
      <c r="D30" s="27"/>
      <c r="E30" s="27"/>
      <c r="F30" s="27"/>
      <c r="G30" s="27"/>
      <c r="H30" s="27"/>
      <c r="I30" s="206"/>
      <c r="J30" s="27">
        <v>0</v>
      </c>
    </row>
    <row r="31" spans="1:10" s="110" customFormat="1">
      <c r="A31" s="581" t="s">
        <v>48</v>
      </c>
      <c r="B31" s="546">
        <f>SUM(B7,B9,B11,B13,B15,B17,B19,B21,B23,B25,B27,B29)</f>
        <v>284765</v>
      </c>
      <c r="C31" s="546">
        <f t="shared" ref="C31:J31" si="2">SUM(C7,C9,C11,C13,C15,C17,C19,C21,C23,C25,C27,C29)</f>
        <v>120669</v>
      </c>
      <c r="D31" s="546">
        <f t="shared" si="2"/>
        <v>109287</v>
      </c>
      <c r="E31" s="546">
        <f t="shared" si="2"/>
        <v>28978</v>
      </c>
      <c r="F31" s="546">
        <f t="shared" si="2"/>
        <v>6409</v>
      </c>
      <c r="G31" s="546">
        <f t="shared" si="2"/>
        <v>2444</v>
      </c>
      <c r="H31" s="546">
        <f t="shared" si="2"/>
        <v>15478</v>
      </c>
      <c r="I31" s="546">
        <f t="shared" si="2"/>
        <v>1500</v>
      </c>
      <c r="J31" s="546">
        <f t="shared" si="2"/>
        <v>0</v>
      </c>
    </row>
    <row r="32" spans="1:10" s="110" customFormat="1">
      <c r="A32" s="577"/>
      <c r="B32" s="546">
        <f>SUM(B8,B10,B12,B14,B16,B18,B20,B22,B24,B26,B28,B30)</f>
        <v>288070880</v>
      </c>
      <c r="C32" s="33">
        <f t="shared" ref="C32:J32" si="3">SUM(C8,C10,C12,C14,C16,C18,C20,C22,C24,C26,C28,C30)</f>
        <v>100113872</v>
      </c>
      <c r="D32" s="546">
        <f t="shared" si="3"/>
        <v>118657189</v>
      </c>
      <c r="E32" s="33">
        <f t="shared" si="3"/>
        <v>40122393</v>
      </c>
      <c r="F32" s="33">
        <f>SUM(F8,F10,F12,F14,G16,F18,F20,F22,F24,F26,F28,F30)</f>
        <v>8942314</v>
      </c>
      <c r="G32" s="546">
        <f>SUM(G8,G10,G12,G14,G16,G18,G20,G22,G24,G26,G28,G30)</f>
        <v>2216925</v>
      </c>
      <c r="H32" s="33">
        <f t="shared" si="3"/>
        <v>12713081</v>
      </c>
      <c r="I32" s="33">
        <f t="shared" si="3"/>
        <v>2377967</v>
      </c>
      <c r="J32" s="33">
        <f t="shared" si="3"/>
        <v>0</v>
      </c>
    </row>
    <row r="33" spans="1:10" s="110" customFormat="1">
      <c r="A33" s="470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15" t="s">
        <v>459</v>
      </c>
    </row>
    <row r="35" spans="1:10">
      <c r="D35" s="462"/>
      <c r="E35" s="462"/>
      <c r="F35" s="462"/>
      <c r="G35" s="462"/>
      <c r="H35" s="462"/>
    </row>
    <row r="36" spans="1:10">
      <c r="D36" s="462"/>
      <c r="E36" s="462"/>
      <c r="F36" s="462"/>
      <c r="G36" s="462"/>
      <c r="H36" s="462"/>
    </row>
    <row r="37" spans="1:10">
      <c r="D37" s="462"/>
      <c r="F37" s="462"/>
      <c r="G37" s="462"/>
    </row>
    <row r="38" spans="1:10">
      <c r="D38" s="462"/>
      <c r="E38" s="462"/>
      <c r="G38" s="462"/>
      <c r="H38" s="462"/>
    </row>
    <row r="39" spans="1:10">
      <c r="F39" s="462"/>
      <c r="G39" s="462"/>
      <c r="H39" s="462"/>
    </row>
    <row r="40" spans="1:10">
      <c r="F40" s="462"/>
      <c r="G40" s="462"/>
      <c r="H40" s="462"/>
    </row>
    <row r="41" spans="1:10">
      <c r="G41" s="462"/>
      <c r="H41" s="462"/>
    </row>
    <row r="42" spans="1:10">
      <c r="G42" s="462"/>
      <c r="H42" s="462"/>
    </row>
    <row r="43" spans="1:10">
      <c r="G43" s="462"/>
      <c r="H43" s="462"/>
    </row>
    <row r="44" spans="1:10">
      <c r="G44" s="462"/>
      <c r="H44" s="462"/>
    </row>
    <row r="45" spans="1:10">
      <c r="G45" s="462"/>
      <c r="H45" s="462"/>
    </row>
    <row r="46" spans="1:10">
      <c r="G46" s="462"/>
      <c r="H46" s="462"/>
    </row>
    <row r="47" spans="1:10">
      <c r="G47" s="462"/>
    </row>
    <row r="48" spans="1:10">
      <c r="G48" s="462"/>
      <c r="H48" s="462"/>
    </row>
    <row r="49" spans="7:8">
      <c r="G49" s="462"/>
    </row>
    <row r="50" spans="7:8">
      <c r="G50" s="462"/>
    </row>
    <row r="51" spans="7:8">
      <c r="G51" s="462"/>
    </row>
    <row r="52" spans="7:8">
      <c r="G52" s="462"/>
    </row>
    <row r="53" spans="7:8">
      <c r="G53" s="462"/>
    </row>
    <row r="54" spans="7:8">
      <c r="G54" s="462"/>
    </row>
    <row r="55" spans="7:8">
      <c r="G55" s="462"/>
    </row>
    <row r="56" spans="7:8">
      <c r="G56" s="462"/>
    </row>
    <row r="57" spans="7:8">
      <c r="G57" s="462"/>
    </row>
    <row r="58" spans="7:8">
      <c r="G58" s="462"/>
    </row>
    <row r="59" spans="7:8">
      <c r="G59" s="462"/>
    </row>
    <row r="60" spans="7:8">
      <c r="G60" s="462"/>
    </row>
    <row r="62" spans="7:8">
      <c r="G62" s="462"/>
      <c r="H62" s="462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78" t="s">
        <v>495</v>
      </c>
      <c r="B1" s="578"/>
      <c r="C1" s="578"/>
      <c r="D1" s="578"/>
      <c r="E1" s="578"/>
      <c r="F1" s="578"/>
      <c r="G1" s="578"/>
      <c r="H1" s="578"/>
      <c r="I1" s="578"/>
    </row>
    <row r="2" spans="1:9" ht="9.75" customHeight="1"/>
    <row r="3" spans="1:9">
      <c r="A3" s="511" t="s">
        <v>103</v>
      </c>
      <c r="B3" s="60"/>
      <c r="C3" s="60"/>
      <c r="D3" s="165"/>
      <c r="E3" s="60"/>
      <c r="F3" s="60"/>
      <c r="G3" s="60"/>
      <c r="H3" s="60"/>
      <c r="I3" s="165"/>
    </row>
    <row r="4" spans="1:9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66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7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</v>
      </c>
      <c r="C7" s="22">
        <f>SUM(C8:C10)</f>
        <v>129</v>
      </c>
      <c r="D7" s="23">
        <f>IF(B7,C7/B7,0)</f>
        <v>129</v>
      </c>
      <c r="E7" s="22">
        <f>SUM(E8:E10)</f>
        <v>13</v>
      </c>
      <c r="F7" s="22">
        <f t="shared" ref="F7:G7" si="0">SUM(F8:F10)</f>
        <v>369</v>
      </c>
      <c r="G7" s="22">
        <f t="shared" si="0"/>
        <v>26783</v>
      </c>
      <c r="H7" s="24">
        <f>G7/$G$66</f>
        <v>2.1659485521107425E-3</v>
      </c>
      <c r="I7" s="25">
        <f>IF(E7,G7/E7,0)</f>
        <v>2060.2307692307691</v>
      </c>
    </row>
    <row r="8" spans="1:9">
      <c r="A8" s="26" t="s">
        <v>385</v>
      </c>
      <c r="B8" s="27">
        <f>VLOOKUP(A8,[6]進出口值表查詢結果!$A$10:$C$21,3,0)</f>
        <v>1</v>
      </c>
      <c r="C8" s="28">
        <f>VLOOKUP(A8,[6]進出口值表查詢結果!$A$10:$C$21,2,0)</f>
        <v>129</v>
      </c>
      <c r="D8" s="23">
        <f t="shared" ref="D8:D65" si="1">IF(B8,C8/B8,0)</f>
        <v>129</v>
      </c>
      <c r="E8" s="28">
        <f>VLOOKUP(A8,[7]進出口值表查詢結果!$A$10:$C$29,3,0)</f>
        <v>11</v>
      </c>
      <c r="F8" s="24">
        <v>122</v>
      </c>
      <c r="G8" s="28">
        <f>VLOOKUP(A8,[7]進出口值表查詢結果!$A$10:$C$29,2,0)</f>
        <v>17505</v>
      </c>
      <c r="H8" s="24">
        <f>G8/$G$66</f>
        <v>1.4156341487024809E-3</v>
      </c>
      <c r="I8" s="25">
        <f t="shared" ref="I8:I65" si="2">IF(E8,G8/E8,0)</f>
        <v>1591.3636363636363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VLOOKUP(A9,[7]進出口值表查詢結果!$A$10:$C$29,3,0)</f>
        <v>2</v>
      </c>
      <c r="F9" s="24">
        <v>123</v>
      </c>
      <c r="G9" s="28">
        <f>VLOOKUP(A9,[7]進出口值表查詢結果!$A$10:$C$29,2,0)</f>
        <v>9278</v>
      </c>
      <c r="H9" s="24">
        <f>G9/$G$66</f>
        <v>7.5031440340826152E-4</v>
      </c>
      <c r="I9" s="25">
        <f t="shared" si="2"/>
        <v>4639</v>
      </c>
    </row>
    <row r="10" spans="1:9">
      <c r="A10" s="30" t="s">
        <v>191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21</v>
      </c>
      <c r="C12" s="33">
        <f>SUM(C13:C39)</f>
        <v>107044</v>
      </c>
      <c r="D12" s="23">
        <f t="shared" si="1"/>
        <v>5097.333333333333</v>
      </c>
      <c r="E12" s="33">
        <f>SUM(E13:E39)</f>
        <v>108</v>
      </c>
      <c r="F12" s="33">
        <f t="shared" ref="F12:G12" si="3">SUM(F13:F39)</f>
        <v>3554</v>
      </c>
      <c r="G12" s="27">
        <f t="shared" si="3"/>
        <v>470878</v>
      </c>
      <c r="H12" s="543">
        <f t="shared" ref="H12:H39" si="4">G12/$G$66</f>
        <v>3.808003294331487E-2</v>
      </c>
      <c r="I12" s="25">
        <f t="shared" si="2"/>
        <v>4359.9814814814818</v>
      </c>
    </row>
    <row r="13" spans="1:9">
      <c r="A13" s="430" t="s">
        <v>196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122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30" t="s">
        <v>197</v>
      </c>
      <c r="B14" s="27">
        <f>VLOOKUP(A14,[6]進出口值表查詢結果!$A$10:$C$21,3,0)</f>
        <v>15</v>
      </c>
      <c r="C14" s="28">
        <f>VLOOKUP(A14,[6]進出口值表查詢結果!$A$10:$C$21,2,0)</f>
        <v>82746</v>
      </c>
      <c r="D14" s="23">
        <f>IF(B14,C14/B14,0)</f>
        <v>5516.4</v>
      </c>
      <c r="E14" s="28">
        <f>VLOOKUP(A14,[7]進出口值表查詢結果!$A$10:$C$29,3,0)</f>
        <v>31</v>
      </c>
      <c r="F14" s="24">
        <v>123</v>
      </c>
      <c r="G14" s="28">
        <f>VLOOKUP(A14,[7]進出口值表查詢結果!$A$10:$C$29,2,0)</f>
        <v>157815</v>
      </c>
      <c r="H14" s="24">
        <f t="shared" si="4"/>
        <v>1.2762542312338305E-2</v>
      </c>
      <c r="I14" s="25">
        <f t="shared" si="2"/>
        <v>5090.8064516129034</v>
      </c>
    </row>
    <row r="15" spans="1:9">
      <c r="A15" s="431" t="s">
        <v>9</v>
      </c>
      <c r="B15" s="27">
        <v>0</v>
      </c>
      <c r="C15" s="28">
        <v>0</v>
      </c>
      <c r="D15" s="23">
        <f t="shared" si="1"/>
        <v>0</v>
      </c>
      <c r="E15" s="28">
        <f>VLOOKUP(A15,[7]進出口值表查詢結果!$A$10:$C$29,3,0)</f>
        <v>11</v>
      </c>
      <c r="F15" s="24">
        <v>124</v>
      </c>
      <c r="G15" s="28">
        <f>VLOOKUP(A15,[7]進出口值表查詢結果!$A$10:$C$29,2,0)</f>
        <v>17119</v>
      </c>
      <c r="H15" s="24">
        <f t="shared" si="4"/>
        <v>1.3844182228870477E-3</v>
      </c>
      <c r="I15" s="25">
        <f t="shared" si="2"/>
        <v>1556.2727272727273</v>
      </c>
    </row>
    <row r="16" spans="1:9">
      <c r="A16" s="430" t="s">
        <v>198</v>
      </c>
      <c r="B16" s="27">
        <f>VLOOKUP(A16,[6]進出口值表查詢結果!$A$10:$C$21,3,0)</f>
        <v>1</v>
      </c>
      <c r="C16" s="28">
        <f>VLOOKUP(A16,[6]進出口值表查詢結果!$A$10:$C$21,2,0)</f>
        <v>129</v>
      </c>
      <c r="D16" s="23">
        <f t="shared" si="1"/>
        <v>129</v>
      </c>
      <c r="E16" s="28">
        <f>VLOOKUP(A16,[7]進出口值表查詢結果!$A$10:$C$29,3,0)</f>
        <v>5</v>
      </c>
      <c r="F16" s="24">
        <v>125</v>
      </c>
      <c r="G16" s="28">
        <f>VLOOKUP(A16,[7]進出口值表查詢結果!$A$10:$C$29,2,0)</f>
        <v>7980</v>
      </c>
      <c r="H16" s="24">
        <f t="shared" si="4"/>
        <v>6.4534478758330755E-4</v>
      </c>
      <c r="I16" s="25">
        <f t="shared" si="2"/>
        <v>1596</v>
      </c>
    </row>
    <row r="17" spans="1:9">
      <c r="A17" s="431" t="s">
        <v>10</v>
      </c>
      <c r="B17" s="27">
        <f>VLOOKUP(A17,[6]進出口值表查詢結果!$A$10:$C$21,3,0)</f>
        <v>4</v>
      </c>
      <c r="C17" s="28">
        <f>VLOOKUP(A17,[6]進出口值表查詢結果!$A$10:$C$21,2,0)</f>
        <v>24007</v>
      </c>
      <c r="D17" s="23">
        <f t="shared" si="1"/>
        <v>6001.75</v>
      </c>
      <c r="E17" s="28">
        <f>VLOOKUP(A17,[7]進出口值表查詢結果!$A$10:$C$29,3,0)</f>
        <v>58</v>
      </c>
      <c r="F17" s="24">
        <v>126</v>
      </c>
      <c r="G17" s="28">
        <f>VLOOKUP(A17,[7]進出口值表查詢結果!$A$10:$C$29,2,0)</f>
        <v>283237</v>
      </c>
      <c r="H17" s="24">
        <f t="shared" si="4"/>
        <v>2.2905453834678353E-2</v>
      </c>
      <c r="I17" s="25">
        <f t="shared" si="2"/>
        <v>4883.3965517241377</v>
      </c>
    </row>
    <row r="18" spans="1:9">
      <c r="A18" s="431" t="s">
        <v>11</v>
      </c>
      <c r="B18" s="27">
        <v>0</v>
      </c>
      <c r="C18" s="28">
        <v>0</v>
      </c>
      <c r="D18" s="23">
        <f t="shared" si="1"/>
        <v>0</v>
      </c>
      <c r="E18" s="28">
        <v>0</v>
      </c>
      <c r="F18" s="24">
        <v>127</v>
      </c>
      <c r="G18" s="28">
        <v>0</v>
      </c>
      <c r="H18" s="24">
        <f t="shared" si="4"/>
        <v>0</v>
      </c>
      <c r="I18" s="25">
        <f t="shared" si="2"/>
        <v>0</v>
      </c>
    </row>
    <row r="19" spans="1:9">
      <c r="A19" s="430" t="s">
        <v>199</v>
      </c>
      <c r="B19" s="27">
        <v>0</v>
      </c>
      <c r="C19" s="28">
        <v>0</v>
      </c>
      <c r="D19" s="23">
        <f t="shared" si="1"/>
        <v>0</v>
      </c>
      <c r="E19" s="28">
        <f>VLOOKUP(A19,[7]進出口值表查詢結果!$A$10:$C$29,3,0)</f>
        <v>2</v>
      </c>
      <c r="F19" s="24">
        <v>128</v>
      </c>
      <c r="G19" s="28">
        <f>VLOOKUP(A19,[7]進出口值表查詢結果!$A$10:$C$29,2,0)</f>
        <v>4565</v>
      </c>
      <c r="H19" s="24">
        <f t="shared" si="4"/>
        <v>3.6917280141827053E-4</v>
      </c>
      <c r="I19" s="25">
        <f t="shared" si="2"/>
        <v>2282.5</v>
      </c>
    </row>
    <row r="20" spans="1:9">
      <c r="A20" s="431" t="s">
        <v>200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129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30" t="s">
        <v>201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31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131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31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132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31" t="s">
        <v>15</v>
      </c>
      <c r="B24" s="27">
        <v>0</v>
      </c>
      <c r="C24" s="28">
        <v>0</v>
      </c>
      <c r="D24" s="23">
        <f t="shared" si="1"/>
        <v>0</v>
      </c>
      <c r="E24" s="28">
        <v>0</v>
      </c>
      <c r="F24" s="24">
        <v>133</v>
      </c>
      <c r="G24" s="28">
        <v>0</v>
      </c>
      <c r="H24" s="24">
        <f t="shared" si="4"/>
        <v>0</v>
      </c>
      <c r="I24" s="25">
        <f t="shared" si="2"/>
        <v>0</v>
      </c>
    </row>
    <row r="25" spans="1:9">
      <c r="A25" s="430" t="s">
        <v>202</v>
      </c>
      <c r="B25" s="27">
        <f>VLOOKUP(A25,[6]進出口值表查詢結果!$A$10:$C$21,3,0)</f>
        <v>1</v>
      </c>
      <c r="C25" s="28">
        <f>VLOOKUP(A25,[6]進出口值表查詢結果!$A$10:$C$21,2,0)</f>
        <v>162</v>
      </c>
      <c r="D25" s="23">
        <f t="shared" si="1"/>
        <v>162</v>
      </c>
      <c r="E25" s="28">
        <f>VLOOKUP(A25,[7]進出口值表查詢結果!$A$10:$C$29,3,0)</f>
        <v>1</v>
      </c>
      <c r="F25" s="24">
        <v>134</v>
      </c>
      <c r="G25" s="28">
        <f>VLOOKUP(A25,[7]進出口值表查詢結果!$A$10:$C$29,2,0)</f>
        <v>162</v>
      </c>
      <c r="H25" s="24">
        <f t="shared" si="4"/>
        <v>1.3100984409585941E-5</v>
      </c>
      <c r="I25" s="25">
        <f t="shared" si="2"/>
        <v>162</v>
      </c>
    </row>
    <row r="26" spans="1:9">
      <c r="A26" s="430" t="s">
        <v>203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135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32" t="s">
        <v>204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135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32" t="s">
        <v>205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135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31" t="s">
        <v>206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135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31" t="s">
        <v>207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135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31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135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31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135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31" t="s">
        <v>208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135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31" t="s">
        <v>209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135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31" t="s">
        <v>210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135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31" t="s">
        <v>211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135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31" t="s">
        <v>212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135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31" t="s">
        <v>213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135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31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135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5">SUM(F42:F45)</f>
        <v>598</v>
      </c>
      <c r="G41" s="33">
        <f t="shared" si="5"/>
        <v>0</v>
      </c>
      <c r="H41" s="24">
        <f>G41/$G$66</f>
        <v>0</v>
      </c>
      <c r="I41" s="25">
        <f t="shared" si="2"/>
        <v>0</v>
      </c>
    </row>
    <row r="42" spans="1:9">
      <c r="A42" s="26" t="s">
        <v>214</v>
      </c>
      <c r="B42" s="27">
        <v>0</v>
      </c>
      <c r="C42" s="28">
        <v>0</v>
      </c>
      <c r="D42" s="23">
        <f t="shared" si="1"/>
        <v>0</v>
      </c>
      <c r="E42" s="28">
        <v>0</v>
      </c>
      <c r="F42" s="24">
        <v>148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215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149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216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151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17562</v>
      </c>
      <c r="C47" s="33">
        <f>SUM(C48:C64)</f>
        <v>2289340</v>
      </c>
      <c r="D47" s="23">
        <f t="shared" si="1"/>
        <v>130.35759025167977</v>
      </c>
      <c r="E47" s="33">
        <f>SUM(E48:E64)</f>
        <v>80579</v>
      </c>
      <c r="F47" s="33">
        <f t="shared" ref="F47:G47" si="6">SUM(F48:F64)</f>
        <v>2703</v>
      </c>
      <c r="G47" s="33">
        <f t="shared" si="6"/>
        <v>11658419</v>
      </c>
      <c r="H47" s="24">
        <f t="shared" ref="H47:H66" si="7">G47/$G$66</f>
        <v>0.94281954049025019</v>
      </c>
      <c r="I47" s="25">
        <f t="shared" si="2"/>
        <v>144.68309360999766</v>
      </c>
    </row>
    <row r="48" spans="1:9" ht="16.899999999999999" customHeight="1">
      <c r="A48" s="460" t="s">
        <v>157</v>
      </c>
      <c r="B48" s="27">
        <f>VLOOKUP(A48,[6]進出口值表查詢結果!$A$10:$C$21,3,0)</f>
        <v>63</v>
      </c>
      <c r="C48" s="28">
        <f>VLOOKUP(A48,[6]進出口值表查詢結果!$A$10:$C$21,2,0)</f>
        <v>78676</v>
      </c>
      <c r="D48" s="23">
        <f t="shared" si="1"/>
        <v>1248.8253968253969</v>
      </c>
      <c r="E48" s="28">
        <f>VLOOKUP(A48,[7]進出口值表查詢結果!$A$10:$C$29,3,0)</f>
        <v>291</v>
      </c>
      <c r="F48" s="24">
        <v>151</v>
      </c>
      <c r="G48" s="28">
        <f>VLOOKUP(A48,[7]進出口值表查詢結果!$A$10:$C$29,2,0)</f>
        <v>442859</v>
      </c>
      <c r="H48" s="24">
        <f t="shared" si="7"/>
        <v>3.5814128732375439E-2</v>
      </c>
      <c r="I48" s="25">
        <f t="shared" si="2"/>
        <v>1521.8522336769759</v>
      </c>
    </row>
    <row r="49" spans="1:9">
      <c r="A49" s="26" t="s">
        <v>217</v>
      </c>
      <c r="B49" s="27">
        <f>VLOOKUP(A49,[6]進出口值表查詢結果!$A$10:$C$21,3,0)</f>
        <v>5</v>
      </c>
      <c r="C49" s="28">
        <f>VLOOKUP(A49,[6]進出口值表查詢結果!$A$10:$C$21,2,0)</f>
        <v>368</v>
      </c>
      <c r="D49" s="23">
        <f t="shared" si="1"/>
        <v>73.599999999999994</v>
      </c>
      <c r="E49" s="28">
        <f>VLOOKUP(A49,[7]進出口值表查詢結果!$A$10:$C$29,3,0)</f>
        <v>38</v>
      </c>
      <c r="F49" s="24">
        <v>152</v>
      </c>
      <c r="G49" s="28">
        <f>VLOOKUP(A49,[7]進出口值表查詢結果!$A$10:$C$29,2,0)</f>
        <v>3581</v>
      </c>
      <c r="H49" s="24">
        <f t="shared" si="7"/>
        <v>2.8959645167115592E-4</v>
      </c>
      <c r="I49" s="25">
        <f t="shared" si="2"/>
        <v>94.236842105263165</v>
      </c>
    </row>
    <row r="50" spans="1:9">
      <c r="A50" s="443" t="s">
        <v>218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153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219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154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155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220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156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107</v>
      </c>
      <c r="B54" s="27">
        <v>0</v>
      </c>
      <c r="C54" s="28">
        <v>0</v>
      </c>
      <c r="D54" s="23">
        <f t="shared" si="1"/>
        <v>0</v>
      </c>
      <c r="E54" s="28">
        <f>VLOOKUP(A54,[7]進出口值表查詢結果!$A$10:$C$29,3,0)</f>
        <v>3</v>
      </c>
      <c r="F54" s="24">
        <v>157</v>
      </c>
      <c r="G54" s="28">
        <f>VLOOKUP(A54,[7]進出口值表查詢結果!$A$10:$C$29,2,0)</f>
        <v>52982</v>
      </c>
      <c r="H54" s="24">
        <f t="shared" si="7"/>
        <v>4.2846688641276689E-3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158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6" t="s">
        <v>225</v>
      </c>
      <c r="B56" s="27">
        <v>0</v>
      </c>
      <c r="C56" s="28">
        <v>0</v>
      </c>
      <c r="D56" s="23">
        <f t="shared" si="1"/>
        <v>0</v>
      </c>
      <c r="E56" s="28">
        <f>VLOOKUP(A56,[7]進出口值表查詢結果!$A$10:$C$29,3,0)</f>
        <v>9</v>
      </c>
      <c r="F56" s="24">
        <v>159</v>
      </c>
      <c r="G56" s="28">
        <f>VLOOKUP(A56,[7]進出口值表查詢結果!$A$10:$C$29,2,0)</f>
        <v>8947</v>
      </c>
      <c r="H56" s="24">
        <f t="shared" si="7"/>
        <v>7.2354634267015694E-4</v>
      </c>
      <c r="I56" s="25">
        <f t="shared" si="2"/>
        <v>994.11111111111109</v>
      </c>
    </row>
    <row r="57" spans="1:9">
      <c r="A57" s="37" t="s">
        <v>223</v>
      </c>
      <c r="B57" s="27">
        <v>0</v>
      </c>
      <c r="C57" s="28">
        <v>0</v>
      </c>
      <c r="D57" s="23">
        <f t="shared" si="1"/>
        <v>0</v>
      </c>
      <c r="E57" s="28">
        <f>VLOOKUP(A57,[7]進出口值表查詢結果!$A$10:$C$29,3,0)</f>
        <v>1</v>
      </c>
      <c r="F57" s="24">
        <v>160</v>
      </c>
      <c r="G57" s="28">
        <f>VLOOKUP(A57,[7]進出口值表查詢結果!$A$10:$C$29,2,0)</f>
        <v>92</v>
      </c>
      <c r="H57" s="24">
        <f t="shared" si="7"/>
        <v>7.4400652202586828E-6</v>
      </c>
      <c r="I57" s="25">
        <f t="shared" si="2"/>
        <v>92</v>
      </c>
    </row>
    <row r="58" spans="1:9">
      <c r="A58" s="37" t="s">
        <v>386</v>
      </c>
      <c r="B58" s="27">
        <f>VLOOKUP(A58,[6]進出口值表查詢結果!$A$10:$C$21,3,0)</f>
        <v>470</v>
      </c>
      <c r="C58" s="28">
        <f>VLOOKUP(A58,[6]進出口值表查詢結果!$A$10:$C$21,2,0)</f>
        <v>344396</v>
      </c>
      <c r="D58" s="23">
        <f t="shared" si="1"/>
        <v>732.75744680851062</v>
      </c>
      <c r="E58" s="28">
        <f>VLOOKUP(A58,[7]進出口值表查詢結果!$A$10:$C$29,3,0)</f>
        <v>1345</v>
      </c>
      <c r="F58" s="24">
        <v>161</v>
      </c>
      <c r="G58" s="28">
        <f>VLOOKUP(A58,[7]進出口值表查詢結果!$A$10:$C$29,2,0)</f>
        <v>1031459</v>
      </c>
      <c r="H58" s="24">
        <f t="shared" si="7"/>
        <v>8.3414372087204355E-2</v>
      </c>
      <c r="I58" s="25">
        <f t="shared" si="2"/>
        <v>766.88401486988846</v>
      </c>
    </row>
    <row r="59" spans="1:9">
      <c r="A59" s="37" t="s">
        <v>108</v>
      </c>
      <c r="B59" s="27">
        <f>VLOOKUP(A59,[6]進出口值表查詢結果!$A$10:$C$21,3,0)</f>
        <v>75</v>
      </c>
      <c r="C59" s="28">
        <f>VLOOKUP(A59,[6]進出口值表查詢結果!$A$10:$C$21,2,0)</f>
        <v>28077</v>
      </c>
      <c r="D59" s="23">
        <f t="shared" si="1"/>
        <v>374.36</v>
      </c>
      <c r="E59" s="28">
        <f>VLOOKUP(A59,[7]進出口值表查詢結果!$A$10:$C$29,3,0)</f>
        <v>638</v>
      </c>
      <c r="F59" s="24">
        <v>162</v>
      </c>
      <c r="G59" s="28">
        <f>VLOOKUP(A59,[7]進出口值表查詢結果!$A$10:$C$29,2,0)</f>
        <v>401941</v>
      </c>
      <c r="H59" s="24">
        <f t="shared" si="7"/>
        <v>3.2505078855391251E-2</v>
      </c>
      <c r="I59" s="25">
        <f t="shared" si="2"/>
        <v>630.00156739811916</v>
      </c>
    </row>
    <row r="60" spans="1:9">
      <c r="A60" s="37" t="s">
        <v>109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163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110</v>
      </c>
      <c r="B61" s="27">
        <f>VLOOKUP(A61,[6]進出口值表查詢結果!$A$10:$C$21,3,0)</f>
        <v>16949</v>
      </c>
      <c r="C61" s="28">
        <f>VLOOKUP(A61,[6]進出口值表查詢結果!$A$10:$C$21,2,0)</f>
        <v>1837823</v>
      </c>
      <c r="D61" s="23">
        <f t="shared" si="1"/>
        <v>108.43253289279603</v>
      </c>
      <c r="E61" s="28">
        <f>VLOOKUP(A61,[7]進出口值表查詢結果!$A$10:$C$29,3,0)</f>
        <v>78254</v>
      </c>
      <c r="F61" s="24">
        <v>164</v>
      </c>
      <c r="G61" s="28">
        <f>VLOOKUP(A61,[7]進出口值表查詢結果!$A$10:$C$29,2,0)</f>
        <v>9716558</v>
      </c>
      <c r="H61" s="24">
        <f t="shared" si="7"/>
        <v>0.78578070909158992</v>
      </c>
      <c r="I61" s="25">
        <f t="shared" si="2"/>
        <v>124.16691798502313</v>
      </c>
    </row>
    <row r="62" spans="1:9">
      <c r="A62" s="37" t="s">
        <v>387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165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388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166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389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167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4</v>
      </c>
      <c r="C65" s="27">
        <f>C66-C47-C41-C12-C7</f>
        <v>8918</v>
      </c>
      <c r="D65" s="23">
        <f t="shared" si="1"/>
        <v>2229.5</v>
      </c>
      <c r="E65" s="27">
        <f>E66-E47-E41-E12-E7</f>
        <v>467</v>
      </c>
      <c r="F65" s="24">
        <v>334</v>
      </c>
      <c r="G65" s="27">
        <f>G66-G47-G41-G12-G7</f>
        <v>209403</v>
      </c>
      <c r="H65" s="24">
        <f t="shared" si="7"/>
        <v>1.6934478014324229E-2</v>
      </c>
      <c r="I65" s="25">
        <f t="shared" si="2"/>
        <v>448.40042826552462</v>
      </c>
    </row>
    <row r="66" spans="1:9">
      <c r="A66" s="32" t="s">
        <v>398</v>
      </c>
      <c r="B66" s="27">
        <f>VLOOKUP(A66,[6]進出口值表查詢結果!$A$10:$C$21,3,0)</f>
        <v>17588</v>
      </c>
      <c r="C66" s="28">
        <f>VLOOKUP(A66,[6]進出口值表查詢結果!$A$10:$C$21,2,0)</f>
        <v>2405431</v>
      </c>
      <c r="D66" s="52">
        <f t="shared" ref="D66" si="8">C66/B66</f>
        <v>136.76546508983398</v>
      </c>
      <c r="E66" s="28">
        <f>VLOOKUP(A66,[7]進出口值表查詢結果!$A$10:$C$29,3,0)</f>
        <v>81167</v>
      </c>
      <c r="F66" s="24">
        <v>167</v>
      </c>
      <c r="G66" s="28">
        <f>VLOOKUP(A66,[7]進出口值表查詢結果!$A$10:$C$29,2,0)</f>
        <v>12365483</v>
      </c>
      <c r="H66" s="514">
        <f t="shared" si="7"/>
        <v>1</v>
      </c>
      <c r="I66" s="52">
        <f>G66/E66</f>
        <v>152.34618748998977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8" t="s">
        <v>148</v>
      </c>
      <c r="B68" s="99"/>
      <c r="C68" s="99"/>
      <c r="D68" s="168"/>
      <c r="E68" s="99"/>
      <c r="F68" s="169"/>
      <c r="G68" s="99"/>
      <c r="H68" s="170"/>
      <c r="I68" s="171"/>
    </row>
    <row r="69" spans="1:9">
      <c r="A69" s="8" t="s">
        <v>520</v>
      </c>
      <c r="B69" s="8" t="s">
        <v>488</v>
      </c>
      <c r="C69" s="8" t="s">
        <v>489</v>
      </c>
      <c r="D69" s="9" t="s">
        <v>0</v>
      </c>
      <c r="E69" s="10" t="s">
        <v>490</v>
      </c>
      <c r="F69" s="11" t="s">
        <v>1</v>
      </c>
      <c r="G69" s="70" t="s">
        <v>491</v>
      </c>
      <c r="H69" s="45" t="s">
        <v>1</v>
      </c>
      <c r="I69" s="482" t="s">
        <v>111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28" t="s">
        <v>3</v>
      </c>
      <c r="H70" s="51"/>
      <c r="I70" s="43" t="s">
        <v>3</v>
      </c>
    </row>
    <row r="71" spans="1:9">
      <c r="A71" s="32" t="s">
        <v>30</v>
      </c>
      <c r="B71" s="27">
        <v>49</v>
      </c>
      <c r="C71" s="27">
        <v>12695</v>
      </c>
      <c r="D71" s="492">
        <f>C71/B71</f>
        <v>259.08163265306121</v>
      </c>
      <c r="E71" s="27">
        <v>490</v>
      </c>
      <c r="F71" s="27">
        <v>28582</v>
      </c>
      <c r="G71" s="27">
        <v>207651</v>
      </c>
      <c r="H71" s="527">
        <v>1</v>
      </c>
      <c r="I71" s="52">
        <f>G71/E71</f>
        <v>423.77755102040817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458</v>
      </c>
      <c r="B73" s="13"/>
      <c r="C73" s="163"/>
      <c r="D73" s="172"/>
      <c r="E73" s="13"/>
      <c r="F73" s="163"/>
      <c r="G73" s="164"/>
      <c r="H73" s="13"/>
      <c r="I73" s="173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875" style="5" customWidth="1"/>
    <col min="5" max="5" width="14.125" style="5" customWidth="1"/>
    <col min="6" max="6" width="10.25" style="5" customWidth="1"/>
    <col min="7" max="7" width="16.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497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3" customFormat="1" ht="17.25" customHeight="1">
      <c r="A3" s="209" t="s">
        <v>151</v>
      </c>
      <c r="B3" s="210"/>
      <c r="C3" s="210"/>
      <c r="D3" s="210"/>
      <c r="E3" s="211"/>
      <c r="F3" s="211"/>
      <c r="G3" s="211"/>
      <c r="H3" s="211"/>
      <c r="I3" s="212"/>
    </row>
    <row r="4" spans="1:9" s="213" customFormat="1" ht="17.25" customHeight="1">
      <c r="A4" s="214" t="s">
        <v>155</v>
      </c>
      <c r="B4" s="215"/>
      <c r="C4" s="215"/>
      <c r="D4" s="215"/>
      <c r="E4" s="216"/>
      <c r="F4" s="216"/>
      <c r="G4" s="216"/>
      <c r="H4" s="216"/>
      <c r="I4" s="217"/>
    </row>
    <row r="5" spans="1:9" s="221" customFormat="1">
      <c r="A5" s="8" t="s">
        <v>487</v>
      </c>
      <c r="B5" s="8" t="s">
        <v>488</v>
      </c>
      <c r="C5" s="8" t="s">
        <v>489</v>
      </c>
      <c r="D5" s="9" t="s">
        <v>0</v>
      </c>
      <c r="E5" s="10" t="s">
        <v>490</v>
      </c>
      <c r="F5" s="11" t="s">
        <v>1</v>
      </c>
      <c r="G5" s="8" t="s">
        <v>491</v>
      </c>
      <c r="H5" s="220" t="s">
        <v>1</v>
      </c>
      <c r="I5" s="219" t="s">
        <v>0</v>
      </c>
    </row>
    <row r="6" spans="1:9" s="221" customFormat="1">
      <c r="A6" s="222"/>
      <c r="B6" s="223" t="s">
        <v>2</v>
      </c>
      <c r="C6" s="224" t="s">
        <v>3</v>
      </c>
      <c r="D6" s="222" t="s">
        <v>3</v>
      </c>
      <c r="E6" s="220" t="s">
        <v>2</v>
      </c>
      <c r="F6" s="220"/>
      <c r="G6" s="218" t="s">
        <v>3</v>
      </c>
      <c r="H6" s="218"/>
      <c r="I6" s="219" t="s">
        <v>3</v>
      </c>
    </row>
    <row r="7" spans="1:9" s="221" customFormat="1">
      <c r="A7" s="225" t="s">
        <v>4</v>
      </c>
      <c r="B7" s="226"/>
      <c r="C7" s="227"/>
      <c r="D7" s="225"/>
      <c r="E7" s="228"/>
      <c r="F7" s="229"/>
      <c r="G7" s="229"/>
      <c r="H7" s="229"/>
      <c r="I7" s="230"/>
    </row>
    <row r="8" spans="1:9" s="221" customFormat="1">
      <c r="A8" s="231" t="s">
        <v>5</v>
      </c>
      <c r="B8" s="232">
        <f>SUM(B9:B11)</f>
        <v>8486</v>
      </c>
      <c r="C8" s="233">
        <f>SUM(C9:C11)</f>
        <v>17897964</v>
      </c>
      <c r="D8" s="234">
        <f>IF(B8,C8/B8,0)</f>
        <v>2109.1166627386283</v>
      </c>
      <c r="E8" s="233">
        <f>SUM(E9:E11)</f>
        <v>45249</v>
      </c>
      <c r="F8" s="235">
        <f>E8/E64</f>
        <v>0.31670119544220166</v>
      </c>
      <c r="G8" s="232">
        <f>SUM(G9:G11)</f>
        <v>101338144</v>
      </c>
      <c r="H8" s="235">
        <f>G8/G64</f>
        <v>0.35380513375344602</v>
      </c>
      <c r="I8" s="236">
        <f>IF(E8,G8/E8,0)</f>
        <v>2239.5664876571859</v>
      </c>
    </row>
    <row r="9" spans="1:9" s="221" customFormat="1">
      <c r="A9" s="237" t="s">
        <v>158</v>
      </c>
      <c r="B9" s="238">
        <f>VLOOKUP(A9,[8]進出口值表查詢結果!$A$10:$C$41,3,0)</f>
        <v>7684</v>
      </c>
      <c r="C9" s="238">
        <f>VLOOKUP(A9,[8]進出口值表查詢結果!$A$10:$C$41,2,0)</f>
        <v>16113247</v>
      </c>
      <c r="D9" s="234">
        <f t="shared" ref="D9:D63" si="0">IF(B9,C9/B9,0)</f>
        <v>2096.9868558042685</v>
      </c>
      <c r="E9" s="239">
        <f>VLOOKUP(A9,[9]進出口值表查詢結果!$A$10:$C$57,3,0)</f>
        <v>41371</v>
      </c>
      <c r="F9" s="235">
        <f>E9/E64</f>
        <v>0.28955877824127213</v>
      </c>
      <c r="G9" s="240">
        <f>VLOOKUP(A9,[9]進出口值表查詢結果!$A$10:$C$57,2,0)</f>
        <v>92174898</v>
      </c>
      <c r="H9" s="235">
        <f>G9/G64</f>
        <v>0.32181319716690537</v>
      </c>
      <c r="I9" s="236">
        <f t="shared" ref="I9:I63" si="1">IF(E9,G9/E9,0)</f>
        <v>2228.0074931715453</v>
      </c>
    </row>
    <row r="10" spans="1:9" s="221" customFormat="1">
      <c r="A10" s="37" t="s">
        <v>6</v>
      </c>
      <c r="B10" s="238">
        <f>VLOOKUP(A10,[8]進出口值表查詢結果!$A$10:$C$41,3,0)</f>
        <v>554</v>
      </c>
      <c r="C10" s="238">
        <f>VLOOKUP(A10,[8]進出口值表查詢結果!$A$10:$C$41,2,0)</f>
        <v>1127948</v>
      </c>
      <c r="D10" s="234">
        <f t="shared" si="0"/>
        <v>2036.0072202166066</v>
      </c>
      <c r="E10" s="239">
        <f>VLOOKUP(A10,[9]進出口值表查詢結果!$A$10:$C$57,3,0)</f>
        <v>3028</v>
      </c>
      <c r="F10" s="235">
        <f>E10/E64</f>
        <v>2.1193202497270362E-2</v>
      </c>
      <c r="G10" s="240">
        <f>VLOOKUP(A10,[9]進出口值表查詢結果!$A$10:$C$57,2,0)</f>
        <v>6558601</v>
      </c>
      <c r="H10" s="235">
        <f>G10/G64</f>
        <v>2.2898255409537448E-2</v>
      </c>
      <c r="I10" s="236">
        <f t="shared" si="1"/>
        <v>2165.9844782034347</v>
      </c>
    </row>
    <row r="11" spans="1:9" s="221" customFormat="1">
      <c r="A11" s="37" t="s">
        <v>7</v>
      </c>
      <c r="B11" s="238">
        <f>VLOOKUP(A11,[8]進出口值表查詢結果!$A$10:$C$41,3,0)</f>
        <v>248</v>
      </c>
      <c r="C11" s="238">
        <f>VLOOKUP(A11,[8]進出口值表查詢結果!$A$10:$C$41,2,0)</f>
        <v>656769</v>
      </c>
      <c r="D11" s="234">
        <f t="shared" si="0"/>
        <v>2648.2620967741937</v>
      </c>
      <c r="E11" s="239">
        <f>VLOOKUP(A11,[9]進出口值表查詢結果!$A$10:$C$57,3,0)</f>
        <v>850</v>
      </c>
      <c r="F11" s="235">
        <f>E11/E64</f>
        <v>5.9492147036591166E-3</v>
      </c>
      <c r="G11" s="240">
        <f>VLOOKUP(A11,[9]進出口值表查詢結果!$A$10:$C$57,2,0)</f>
        <v>2604645</v>
      </c>
      <c r="H11" s="235">
        <f>G11/G64</f>
        <v>9.0936811770032464E-3</v>
      </c>
      <c r="I11" s="236">
        <f t="shared" si="1"/>
        <v>3064.2882352941178</v>
      </c>
    </row>
    <row r="12" spans="1:9" s="221" customFormat="1">
      <c r="A12" s="37"/>
      <c r="B12" s="34"/>
      <c r="C12" s="34"/>
      <c r="D12" s="234"/>
      <c r="E12" s="240"/>
      <c r="F12" s="241"/>
      <c r="G12" s="240"/>
      <c r="H12" s="241"/>
      <c r="I12" s="236"/>
    </row>
    <row r="13" spans="1:9" s="221" customFormat="1">
      <c r="A13" s="242" t="s">
        <v>8</v>
      </c>
      <c r="B13" s="243">
        <f>SUM(B14:B40)</f>
        <v>14195</v>
      </c>
      <c r="C13" s="243">
        <f>SUM(C14:C40)</f>
        <v>25204649</v>
      </c>
      <c r="D13" s="234">
        <f t="shared" si="0"/>
        <v>1775.6004931313844</v>
      </c>
      <c r="E13" s="243">
        <f>SUM(E14:E40)</f>
        <v>78910</v>
      </c>
      <c r="F13" s="235">
        <f>E13/E64</f>
        <v>0.55229709678322458</v>
      </c>
      <c r="G13" s="243">
        <f>SUM(G14:G40)</f>
        <v>144248270</v>
      </c>
      <c r="H13" s="235">
        <f>G13/G64</f>
        <v>0.50361864197012729</v>
      </c>
      <c r="I13" s="236">
        <f t="shared" si="1"/>
        <v>1828.0100114053985</v>
      </c>
    </row>
    <row r="14" spans="1:9" s="221" customFormat="1">
      <c r="A14" s="237" t="s">
        <v>243</v>
      </c>
      <c r="B14" s="238">
        <f>VLOOKUP(A14,[8]進出口值表查詢結果!$A$10:$C$41,3,0)</f>
        <v>8940</v>
      </c>
      <c r="C14" s="238">
        <f>VLOOKUP(A14,[8]進出口值表查詢結果!$A$10:$C$41,2,0)</f>
        <v>16532374</v>
      </c>
      <c r="D14" s="234">
        <f t="shared" si="0"/>
        <v>1849.2588366890379</v>
      </c>
      <c r="E14" s="239">
        <f>VLOOKUP(A14,[9]進出口值表查詢結果!$A$10:$C$57,3,0)</f>
        <v>48703</v>
      </c>
      <c r="F14" s="235">
        <f>E14/E64</f>
        <v>0.34087600436742349</v>
      </c>
      <c r="G14" s="240">
        <f>VLOOKUP(A14,[9]進出口值表查詢結果!$A$10:$C$57,2,0)</f>
        <v>94777593</v>
      </c>
      <c r="H14" s="235">
        <f>G14/G64</f>
        <v>0.33090007024595469</v>
      </c>
      <c r="I14" s="236">
        <f t="shared" si="1"/>
        <v>1946.0319282179742</v>
      </c>
    </row>
    <row r="15" spans="1:9" s="221" customFormat="1">
      <c r="A15" s="237" t="s">
        <v>244</v>
      </c>
      <c r="B15" s="238">
        <f>VLOOKUP(A15,[8]進出口值表查詢結果!$A$10:$C$41,3,0)</f>
        <v>3230</v>
      </c>
      <c r="C15" s="238">
        <f>VLOOKUP(A15,[8]進出口值表查詢結果!$A$10:$C$41,2,0)</f>
        <v>4921323</v>
      </c>
      <c r="D15" s="234">
        <f t="shared" si="0"/>
        <v>1523.629411764706</v>
      </c>
      <c r="E15" s="239">
        <f>VLOOKUP(A15,[9]進出口值表查詢結果!$A$10:$C$57,3,0)</f>
        <v>15454</v>
      </c>
      <c r="F15" s="235">
        <f>E15/E64</f>
        <v>0.1081637223886447</v>
      </c>
      <c r="G15" s="240">
        <f>VLOOKUP(A15,[9]進出口值表查詢結果!$A$10:$C$57,2,0)</f>
        <v>22463870</v>
      </c>
      <c r="H15" s="235">
        <f>G15/G64</f>
        <v>7.8428834555821586E-2</v>
      </c>
      <c r="I15" s="236">
        <f t="shared" si="1"/>
        <v>1453.5958327940987</v>
      </c>
    </row>
    <row r="16" spans="1:9" s="221" customFormat="1">
      <c r="A16" s="37" t="s">
        <v>9</v>
      </c>
      <c r="B16" s="238">
        <f>VLOOKUP(A16,[8]進出口值表查詢結果!$A$10:$C$41,3,0)</f>
        <v>702</v>
      </c>
      <c r="C16" s="238">
        <f>VLOOKUP(A16,[8]進出口值表查詢結果!$A$10:$C$41,2,0)</f>
        <v>1493571</v>
      </c>
      <c r="D16" s="234">
        <f t="shared" si="0"/>
        <v>2127.5940170940171</v>
      </c>
      <c r="E16" s="239">
        <f>VLOOKUP(A16,[9]進出口值表查詢結果!$A$10:$C$57,3,0)</f>
        <v>3806</v>
      </c>
      <c r="F16" s="235">
        <f>E16/E64</f>
        <v>2.6638483720148941E-2</v>
      </c>
      <c r="G16" s="240">
        <f>VLOOKUP(A16,[9]進出口值表查詢結果!$A$10:$C$57,2,0)</f>
        <v>8737930</v>
      </c>
      <c r="H16" s="235">
        <f>G16/G64</f>
        <v>3.0507017104815428E-2</v>
      </c>
      <c r="I16" s="236">
        <f t="shared" si="1"/>
        <v>2295.8302679978979</v>
      </c>
    </row>
    <row r="17" spans="1:9" s="221" customFormat="1">
      <c r="A17" s="237" t="s">
        <v>245</v>
      </c>
      <c r="B17" s="238">
        <f>VLOOKUP(A17,[8]進出口值表查詢結果!$A$10:$C$41,3,0)</f>
        <v>368</v>
      </c>
      <c r="C17" s="238">
        <f>VLOOKUP(A17,[8]進出口值表查詢結果!$A$10:$C$41,2,0)</f>
        <v>649725</v>
      </c>
      <c r="D17" s="234">
        <f t="shared" si="0"/>
        <v>1765.5570652173913</v>
      </c>
      <c r="E17" s="239">
        <f>VLOOKUP(A17,[9]進出口值表查詢結果!$A$10:$C$57,3,0)</f>
        <v>3188</v>
      </c>
      <c r="F17" s="235">
        <f>E17/E64</f>
        <v>2.2313054676782663E-2</v>
      </c>
      <c r="G17" s="240">
        <f>VLOOKUP(A17,[9]進出口值表查詢結果!$A$10:$C$57,2,0)</f>
        <v>4406085</v>
      </c>
      <c r="H17" s="235">
        <f>G17/G64</f>
        <v>1.5383106806791846E-2</v>
      </c>
      <c r="I17" s="236">
        <f t="shared" si="1"/>
        <v>1382.0843789209537</v>
      </c>
    </row>
    <row r="18" spans="1:9" s="221" customFormat="1">
      <c r="A18" s="37" t="s">
        <v>10</v>
      </c>
      <c r="B18" s="238">
        <f>VLOOKUP(A18,[8]進出口值表查詢結果!$A$10:$C$41,3,0)</f>
        <v>268</v>
      </c>
      <c r="C18" s="238">
        <f>VLOOKUP(A18,[8]進出口值表查詢結果!$A$10:$C$41,2,0)</f>
        <v>556704</v>
      </c>
      <c r="D18" s="234">
        <f t="shared" si="0"/>
        <v>2077.2537313432836</v>
      </c>
      <c r="E18" s="239">
        <f>VLOOKUP(A18,[9]進出口值表查詢結果!$A$10:$C$57,3,0)</f>
        <v>3611</v>
      </c>
      <c r="F18" s="235">
        <f>E18/E64</f>
        <v>2.527366387636832E-2</v>
      </c>
      <c r="G18" s="240">
        <f>VLOOKUP(A18,[9]進出口值表查詢結果!$A$10:$C$57,2,0)</f>
        <v>9224893</v>
      </c>
      <c r="H18" s="235">
        <f>G18/G64</f>
        <v>3.2207166747855856E-2</v>
      </c>
      <c r="I18" s="236">
        <f t="shared" si="1"/>
        <v>2554.6643589033511</v>
      </c>
    </row>
    <row r="19" spans="1:9" s="221" customFormat="1">
      <c r="A19" s="37" t="s">
        <v>11</v>
      </c>
      <c r="B19" s="238">
        <v>0</v>
      </c>
      <c r="C19" s="238">
        <v>0</v>
      </c>
      <c r="D19" s="234">
        <f t="shared" si="0"/>
        <v>0</v>
      </c>
      <c r="E19" s="239">
        <f>VLOOKUP(A19,[9]進出口值表查詢結果!$A$10:$C$57,3,0)</f>
        <v>457</v>
      </c>
      <c r="F19" s="235">
        <f>E19/E64</f>
        <v>3.1985777877320196E-3</v>
      </c>
      <c r="G19" s="240">
        <f>VLOOKUP(A19,[9]進出口值表查詢結果!$A$10:$C$57,2,0)</f>
        <v>996904</v>
      </c>
      <c r="H19" s="235">
        <f>G19/G64</f>
        <v>3.4805231193038759E-3</v>
      </c>
      <c r="I19" s="236">
        <f t="shared" si="1"/>
        <v>2181.4091903719914</v>
      </c>
    </row>
    <row r="20" spans="1:9" s="221" customFormat="1">
      <c r="A20" s="237" t="s">
        <v>247</v>
      </c>
      <c r="B20" s="238">
        <f>VLOOKUP(A20,[8]進出口值表查詢結果!$A$10:$C$41,3,0)</f>
        <v>1</v>
      </c>
      <c r="C20" s="238">
        <f>VLOOKUP(A20,[8]進出口值表查詢結果!$A$10:$C$41,2,0)</f>
        <v>1971</v>
      </c>
      <c r="D20" s="234">
        <f t="shared" si="0"/>
        <v>1971</v>
      </c>
      <c r="E20" s="239">
        <f>VLOOKUP(A20,[9]進出口值表查詢結果!$A$10:$C$57,3,0)</f>
        <v>363</v>
      </c>
      <c r="F20" s="235">
        <f>E20/E64</f>
        <v>2.5406646322685407E-3</v>
      </c>
      <c r="G20" s="240">
        <f>VLOOKUP(A20,[9]進出口值表查詢結果!$A$10:$C$57,2,0)</f>
        <v>693899</v>
      </c>
      <c r="H20" s="235">
        <f>G20/G64</f>
        <v>2.4226319805736966E-3</v>
      </c>
      <c r="I20" s="236">
        <f t="shared" si="1"/>
        <v>1911.5674931129477</v>
      </c>
    </row>
    <row r="21" spans="1:9" s="221" customFormat="1">
      <c r="A21" s="37" t="s">
        <v>12</v>
      </c>
      <c r="B21" s="238">
        <v>0</v>
      </c>
      <c r="C21" s="238">
        <v>0</v>
      </c>
      <c r="D21" s="234">
        <f t="shared" si="0"/>
        <v>0</v>
      </c>
      <c r="E21" s="239">
        <v>0</v>
      </c>
      <c r="F21" s="235">
        <f>E21/E64</f>
        <v>0</v>
      </c>
      <c r="G21" s="240">
        <v>0</v>
      </c>
      <c r="H21" s="235">
        <f>G21/G64</f>
        <v>0</v>
      </c>
      <c r="I21" s="236">
        <f t="shared" si="1"/>
        <v>0</v>
      </c>
    </row>
    <row r="22" spans="1:9" s="221" customFormat="1">
      <c r="A22" s="237" t="s">
        <v>248</v>
      </c>
      <c r="B22" s="238">
        <v>0</v>
      </c>
      <c r="C22" s="238">
        <v>0</v>
      </c>
      <c r="D22" s="234">
        <f t="shared" si="0"/>
        <v>0</v>
      </c>
      <c r="E22" s="239">
        <v>0</v>
      </c>
      <c r="F22" s="235">
        <f>E22/E64</f>
        <v>0</v>
      </c>
      <c r="G22" s="240">
        <v>0</v>
      </c>
      <c r="H22" s="235">
        <f>G22/G64</f>
        <v>0</v>
      </c>
      <c r="I22" s="236">
        <f t="shared" si="1"/>
        <v>0</v>
      </c>
    </row>
    <row r="23" spans="1:9" s="221" customFormat="1">
      <c r="A23" s="37" t="s">
        <v>13</v>
      </c>
      <c r="B23" s="238">
        <v>0</v>
      </c>
      <c r="C23" s="238">
        <v>0</v>
      </c>
      <c r="D23" s="234">
        <f t="shared" si="0"/>
        <v>0</v>
      </c>
      <c r="E23" s="239">
        <v>0</v>
      </c>
      <c r="F23" s="235">
        <f>E23/E64</f>
        <v>0</v>
      </c>
      <c r="G23" s="240">
        <v>0</v>
      </c>
      <c r="H23" s="235">
        <f>G23/G64</f>
        <v>0</v>
      </c>
      <c r="I23" s="236">
        <f t="shared" si="1"/>
        <v>0</v>
      </c>
    </row>
    <row r="24" spans="1:9" s="221" customFormat="1">
      <c r="A24" s="37" t="s">
        <v>14</v>
      </c>
      <c r="B24" s="238">
        <v>0</v>
      </c>
      <c r="C24" s="238">
        <v>0</v>
      </c>
      <c r="D24" s="234">
        <f t="shared" si="0"/>
        <v>0</v>
      </c>
      <c r="E24" s="239">
        <v>0</v>
      </c>
      <c r="F24" s="235">
        <f>E24/E64</f>
        <v>0</v>
      </c>
      <c r="G24" s="240">
        <v>0</v>
      </c>
      <c r="H24" s="235">
        <f>G24/G64</f>
        <v>0</v>
      </c>
      <c r="I24" s="236">
        <f t="shared" si="1"/>
        <v>0</v>
      </c>
    </row>
    <row r="25" spans="1:9" s="221" customFormat="1">
      <c r="A25" s="37" t="s">
        <v>15</v>
      </c>
      <c r="B25" s="238">
        <v>0</v>
      </c>
      <c r="C25" s="238">
        <v>0</v>
      </c>
      <c r="D25" s="234">
        <f t="shared" si="0"/>
        <v>0</v>
      </c>
      <c r="E25" s="239">
        <f>VLOOKUP(A25,[9]進出口值表查詢結果!$A$10:$C$57,3,0)</f>
        <v>2</v>
      </c>
      <c r="F25" s="235">
        <f>E25/E64</f>
        <v>1.3998152243903804E-5</v>
      </c>
      <c r="G25" s="240">
        <f>VLOOKUP(A25,[9]進出口值表查詢結果!$A$10:$C$57,2,0)</f>
        <v>9395</v>
      </c>
      <c r="H25" s="235">
        <f>G25/G64</f>
        <v>3.2801066808699652E-5</v>
      </c>
      <c r="I25" s="236">
        <f t="shared" si="1"/>
        <v>4697.5</v>
      </c>
    </row>
    <row r="26" spans="1:9" s="221" customFormat="1">
      <c r="A26" s="237" t="s">
        <v>251</v>
      </c>
      <c r="B26" s="238">
        <v>0</v>
      </c>
      <c r="C26" s="238">
        <v>0</v>
      </c>
      <c r="D26" s="234">
        <f t="shared" si="0"/>
        <v>0</v>
      </c>
      <c r="E26" s="239">
        <f>VLOOKUP(A26,[9]進出口值表查詢結果!$A$10:$C$57,3,0)</f>
        <v>2170</v>
      </c>
      <c r="F26" s="235">
        <f>E26/E64</f>
        <v>1.5187995184635627E-2</v>
      </c>
      <c r="G26" s="240">
        <f>VLOOKUP(A26,[9]進出口值表查詢結果!$A$10:$C$57,2,0)</f>
        <v>864024</v>
      </c>
      <c r="H26" s="235">
        <f>G26/G64</f>
        <v>3.0165948853986065E-3</v>
      </c>
      <c r="I26" s="236">
        <f t="shared" si="1"/>
        <v>398.16774193548389</v>
      </c>
    </row>
    <row r="27" spans="1:9" s="221" customFormat="1">
      <c r="A27" s="237" t="s">
        <v>253</v>
      </c>
      <c r="B27" s="238">
        <f>VLOOKUP(A27,[8]進出口值表查詢結果!$A$10:$C$41,3,0)</f>
        <v>200</v>
      </c>
      <c r="C27" s="238">
        <f>VLOOKUP(A27,[8]進出口值表查詢結果!$A$10:$C$41,2,0)</f>
        <v>456995</v>
      </c>
      <c r="D27" s="234">
        <f t="shared" si="0"/>
        <v>2284.9749999999999</v>
      </c>
      <c r="E27" s="239">
        <f>VLOOKUP(A27,[9]進出口值表查詢結果!$A$10:$C$57,3,0)</f>
        <v>200</v>
      </c>
      <c r="F27" s="235">
        <f>E27/E64</f>
        <v>1.3998152243903804E-3</v>
      </c>
      <c r="G27" s="240">
        <f>VLOOKUP(A27,[9]進出口值表查詢結果!$A$10:$C$57,2,0)</f>
        <v>456995</v>
      </c>
      <c r="H27" s="235">
        <f>G27/G64</f>
        <v>1.5955213971518571E-3</v>
      </c>
      <c r="I27" s="236">
        <f t="shared" si="1"/>
        <v>2284.9749999999999</v>
      </c>
    </row>
    <row r="28" spans="1:9" s="221" customFormat="1">
      <c r="A28" s="245" t="s">
        <v>254</v>
      </c>
      <c r="B28" s="238">
        <f>VLOOKUP(A28,[8]進出口值表查詢結果!$A$10:$C$41,3,0)</f>
        <v>144</v>
      </c>
      <c r="C28" s="238">
        <f>VLOOKUP(A28,[8]進出口值表查詢結果!$A$10:$C$41,2,0)</f>
        <v>343328</v>
      </c>
      <c r="D28" s="234">
        <f t="shared" si="0"/>
        <v>2384.2222222222222</v>
      </c>
      <c r="E28" s="239">
        <f>VLOOKUP(A28,[9]進出口值表查詢結果!$A$10:$C$57,3,0)</f>
        <v>367</v>
      </c>
      <c r="F28" s="235">
        <f>E28/E64</f>
        <v>2.5686609367563482E-3</v>
      </c>
      <c r="G28" s="240">
        <f>VLOOKUP(A28,[9]進出口值表查詢結果!$A$10:$C$57,2,0)</f>
        <v>817135</v>
      </c>
      <c r="H28" s="235">
        <f>G28/G64</f>
        <v>2.8528898059315367E-3</v>
      </c>
      <c r="I28" s="236">
        <f t="shared" si="1"/>
        <v>2226.525885558583</v>
      </c>
    </row>
    <row r="29" spans="1:9" s="221" customFormat="1">
      <c r="A29" s="245" t="s">
        <v>255</v>
      </c>
      <c r="B29" s="238">
        <f>VLOOKUP(A29,[8]進出口值表查詢結果!$A$10:$C$41,3,0)</f>
        <v>342</v>
      </c>
      <c r="C29" s="238">
        <f>VLOOKUP(A29,[8]進出口值表查詢結果!$A$10:$C$41,2,0)</f>
        <v>248658</v>
      </c>
      <c r="D29" s="234">
        <f t="shared" si="0"/>
        <v>727.07017543859649</v>
      </c>
      <c r="E29" s="239">
        <f>VLOOKUP(A29,[9]進出口值表查詢結果!$A$10:$C$57,3,0)</f>
        <v>494</v>
      </c>
      <c r="F29" s="235">
        <f>E29/E64</f>
        <v>3.4575436042442397E-3</v>
      </c>
      <c r="G29" s="240">
        <f>VLOOKUP(A29,[9]進出口值表查詢結果!$A$10:$C$57,2,0)</f>
        <v>637356</v>
      </c>
      <c r="H29" s="235">
        <f>G29/G64</f>
        <v>2.2252215792363571E-3</v>
      </c>
      <c r="I29" s="236">
        <f t="shared" si="1"/>
        <v>1290.1943319838056</v>
      </c>
    </row>
    <row r="30" spans="1:9" s="221" customFormat="1">
      <c r="A30" s="245" t="s">
        <v>256</v>
      </c>
      <c r="B30" s="238">
        <v>0</v>
      </c>
      <c r="C30" s="238">
        <v>0</v>
      </c>
      <c r="D30" s="234">
        <f t="shared" si="0"/>
        <v>0</v>
      </c>
      <c r="E30" s="239">
        <f>VLOOKUP(A30,[9]進出口值表查詢結果!$A$10:$C$57,3,0)</f>
        <v>95</v>
      </c>
      <c r="F30" s="235">
        <f>E30/E64</f>
        <v>6.6491223158543077E-4</v>
      </c>
      <c r="G30" s="240">
        <f>VLOOKUP(A30,[9]進出口值表查詢結果!$A$10:$C$57,2,0)</f>
        <v>162191</v>
      </c>
      <c r="H30" s="235">
        <f>G30/G64</f>
        <v>5.6626267448321504E-4</v>
      </c>
      <c r="I30" s="236">
        <f t="shared" si="1"/>
        <v>1707.2736842105264</v>
      </c>
    </row>
    <row r="31" spans="1:9" s="221" customFormat="1">
      <c r="A31" s="245" t="s">
        <v>257</v>
      </c>
      <c r="B31" s="238">
        <v>0</v>
      </c>
      <c r="C31" s="238">
        <v>0</v>
      </c>
      <c r="D31" s="234">
        <f t="shared" si="0"/>
        <v>0</v>
      </c>
      <c r="E31" s="239">
        <v>0</v>
      </c>
      <c r="F31" s="235">
        <f>E31/E64</f>
        <v>0</v>
      </c>
      <c r="G31" s="240">
        <v>0</v>
      </c>
      <c r="H31" s="235">
        <f>G31/G64</f>
        <v>0</v>
      </c>
      <c r="I31" s="236">
        <f t="shared" si="1"/>
        <v>0</v>
      </c>
    </row>
    <row r="32" spans="1:9" s="221" customFormat="1">
      <c r="A32" s="30" t="s">
        <v>259</v>
      </c>
      <c r="B32" s="238">
        <v>0</v>
      </c>
      <c r="C32" s="238">
        <v>0</v>
      </c>
      <c r="D32" s="234">
        <f t="shared" si="0"/>
        <v>0</v>
      </c>
      <c r="E32" s="239">
        <v>0</v>
      </c>
      <c r="F32" s="235">
        <f>E32/E64</f>
        <v>0</v>
      </c>
      <c r="G32" s="240">
        <v>0</v>
      </c>
      <c r="H32" s="235">
        <f>G32/G64</f>
        <v>0</v>
      </c>
      <c r="I32" s="236">
        <f t="shared" si="1"/>
        <v>0</v>
      </c>
    </row>
    <row r="33" spans="1:9" s="221" customFormat="1">
      <c r="A33" s="245" t="s">
        <v>261</v>
      </c>
      <c r="B33" s="238">
        <v>0</v>
      </c>
      <c r="C33" s="238">
        <v>0</v>
      </c>
      <c r="D33" s="234">
        <f t="shared" si="0"/>
        <v>0</v>
      </c>
      <c r="E33" s="239">
        <v>0</v>
      </c>
      <c r="F33" s="235">
        <f>E33/E64</f>
        <v>0</v>
      </c>
      <c r="G33" s="240">
        <v>0</v>
      </c>
      <c r="H33" s="235">
        <f>G33/G64</f>
        <v>0</v>
      </c>
      <c r="I33" s="236">
        <f t="shared" si="1"/>
        <v>0</v>
      </c>
    </row>
    <row r="34" spans="1:9" s="221" customFormat="1">
      <c r="A34" s="245" t="s">
        <v>262</v>
      </c>
      <c r="B34" s="238">
        <v>0</v>
      </c>
      <c r="C34" s="238">
        <v>0</v>
      </c>
      <c r="D34" s="234">
        <f t="shared" si="0"/>
        <v>0</v>
      </c>
      <c r="E34" s="239">
        <v>0</v>
      </c>
      <c r="F34" s="235">
        <f>E34/E64</f>
        <v>0</v>
      </c>
      <c r="G34" s="240">
        <v>0</v>
      </c>
      <c r="H34" s="235">
        <f>G34/G64</f>
        <v>0</v>
      </c>
      <c r="I34" s="236">
        <f t="shared" si="1"/>
        <v>0</v>
      </c>
    </row>
    <row r="35" spans="1:9" s="221" customFormat="1">
      <c r="A35" s="246" t="s">
        <v>380</v>
      </c>
      <c r="B35" s="238">
        <v>0</v>
      </c>
      <c r="C35" s="238">
        <v>0</v>
      </c>
      <c r="D35" s="234">
        <f t="shared" si="0"/>
        <v>0</v>
      </c>
      <c r="E35" s="239">
        <v>0</v>
      </c>
      <c r="F35" s="235">
        <f>E35/E64</f>
        <v>0</v>
      </c>
      <c r="G35" s="240">
        <v>0</v>
      </c>
      <c r="H35" s="235">
        <f>G35/G64</f>
        <v>0</v>
      </c>
      <c r="I35" s="236">
        <f t="shared" si="1"/>
        <v>0</v>
      </c>
    </row>
    <row r="36" spans="1:9" s="221" customFormat="1">
      <c r="A36" s="245" t="s">
        <v>265</v>
      </c>
      <c r="B36" s="238">
        <v>0</v>
      </c>
      <c r="C36" s="238">
        <v>0</v>
      </c>
      <c r="D36" s="234">
        <f t="shared" si="0"/>
        <v>0</v>
      </c>
      <c r="E36" s="239">
        <v>0</v>
      </c>
      <c r="F36" s="235">
        <f>E36/E64</f>
        <v>0</v>
      </c>
      <c r="G36" s="240">
        <v>0</v>
      </c>
      <c r="H36" s="235">
        <f>G36/G64</f>
        <v>0</v>
      </c>
      <c r="I36" s="236">
        <f t="shared" si="1"/>
        <v>0</v>
      </c>
    </row>
    <row r="37" spans="1:9" s="221" customFormat="1">
      <c r="A37" s="245" t="s">
        <v>381</v>
      </c>
      <c r="B37" s="238">
        <v>0</v>
      </c>
      <c r="C37" s="238">
        <v>0</v>
      </c>
      <c r="D37" s="234">
        <f t="shared" si="0"/>
        <v>0</v>
      </c>
      <c r="E37" s="239">
        <v>0</v>
      </c>
      <c r="F37" s="235">
        <f>E37/E64</f>
        <v>0</v>
      </c>
      <c r="G37" s="240">
        <v>0</v>
      </c>
      <c r="H37" s="235">
        <f>G37/G64</f>
        <v>0</v>
      </c>
      <c r="I37" s="236">
        <f t="shared" si="1"/>
        <v>0</v>
      </c>
    </row>
    <row r="38" spans="1:9" s="221" customFormat="1">
      <c r="A38" s="245" t="s">
        <v>267</v>
      </c>
      <c r="B38" s="238">
        <v>0</v>
      </c>
      <c r="C38" s="238">
        <v>0</v>
      </c>
      <c r="D38" s="234">
        <f t="shared" si="0"/>
        <v>0</v>
      </c>
      <c r="E38" s="239">
        <v>0</v>
      </c>
      <c r="F38" s="235">
        <f>E38/E64</f>
        <v>0</v>
      </c>
      <c r="G38" s="240">
        <v>0</v>
      </c>
      <c r="H38" s="235">
        <f>G38/G64</f>
        <v>0</v>
      </c>
      <c r="I38" s="236">
        <f t="shared" si="1"/>
        <v>0</v>
      </c>
    </row>
    <row r="39" spans="1:9" s="221" customFormat="1">
      <c r="A39" s="245" t="s">
        <v>268</v>
      </c>
      <c r="B39" s="238">
        <v>0</v>
      </c>
      <c r="C39" s="238">
        <v>0</v>
      </c>
      <c r="D39" s="234">
        <f t="shared" si="0"/>
        <v>0</v>
      </c>
      <c r="E39" s="239">
        <v>0</v>
      </c>
      <c r="F39" s="235">
        <f>E39/E64</f>
        <v>0</v>
      </c>
      <c r="G39" s="240">
        <v>0</v>
      </c>
      <c r="H39" s="235">
        <f>G39/G64</f>
        <v>0</v>
      </c>
      <c r="I39" s="236">
        <f t="shared" si="1"/>
        <v>0</v>
      </c>
    </row>
    <row r="40" spans="1:9" s="221" customFormat="1">
      <c r="A40" s="30" t="s">
        <v>269</v>
      </c>
      <c r="B40" s="238">
        <v>0</v>
      </c>
      <c r="C40" s="238">
        <v>0</v>
      </c>
      <c r="D40" s="234">
        <f t="shared" si="0"/>
        <v>0</v>
      </c>
      <c r="E40" s="239">
        <v>0</v>
      </c>
      <c r="F40" s="235">
        <f>E40/E64</f>
        <v>0</v>
      </c>
      <c r="G40" s="240">
        <v>0</v>
      </c>
      <c r="H40" s="235">
        <f>G40/G64</f>
        <v>0</v>
      </c>
      <c r="I40" s="236">
        <f t="shared" si="1"/>
        <v>0</v>
      </c>
    </row>
    <row r="41" spans="1:9" s="221" customFormat="1">
      <c r="A41" s="30"/>
      <c r="B41" s="34"/>
      <c r="C41" s="35"/>
      <c r="D41" s="234"/>
      <c r="E41" s="240"/>
      <c r="F41" s="241"/>
      <c r="G41" s="240"/>
      <c r="H41" s="241"/>
      <c r="I41" s="236"/>
    </row>
    <row r="42" spans="1:9" s="221" customFormat="1">
      <c r="A42" s="244" t="s">
        <v>19</v>
      </c>
      <c r="B42" s="243">
        <f>SUM(B43:B46)</f>
        <v>280</v>
      </c>
      <c r="C42" s="243">
        <f>SUM(C43:C46)</f>
        <v>681873</v>
      </c>
      <c r="D42" s="234">
        <f t="shared" si="0"/>
        <v>2435.2607142857141</v>
      </c>
      <c r="E42" s="243">
        <f>SUM(E43:E46)</f>
        <v>2165</v>
      </c>
      <c r="F42" s="235">
        <f>E42/E64</f>
        <v>1.5152999804025869E-2</v>
      </c>
      <c r="G42" s="243">
        <f>SUM(G43:G46)</f>
        <v>4572305</v>
      </c>
      <c r="H42" s="235">
        <f>G42/G64</f>
        <v>1.5963436059047521E-2</v>
      </c>
      <c r="I42" s="236">
        <f t="shared" si="1"/>
        <v>2111.9191685912242</v>
      </c>
    </row>
    <row r="43" spans="1:9" s="221" customFormat="1">
      <c r="A43" s="237" t="s">
        <v>178</v>
      </c>
      <c r="B43" s="238">
        <f>VLOOKUP(A43,[8]進出口值表查詢結果!$A$10:$C$41,3,0)</f>
        <v>81</v>
      </c>
      <c r="C43" s="238">
        <f>VLOOKUP(A43,[8]進出口值表查詢結果!$A$10:$C$41,2,0)</f>
        <v>212212</v>
      </c>
      <c r="D43" s="234">
        <f t="shared" si="0"/>
        <v>2619.9012345679012</v>
      </c>
      <c r="E43" s="239">
        <f>VLOOKUP(A43,[9]進出口值表查詢結果!$A$10:$C$57,3,0)</f>
        <v>1154</v>
      </c>
      <c r="F43" s="235">
        <f>E43/E64</f>
        <v>8.0769338447324954E-3</v>
      </c>
      <c r="G43" s="240">
        <f>VLOOKUP(A43,[9]進出口值表查詢結果!$A$10:$C$57,2,0)</f>
        <v>2615268</v>
      </c>
      <c r="H43" s="235">
        <f>G43/G64</f>
        <v>9.1307695998567653E-3</v>
      </c>
      <c r="I43" s="236">
        <f t="shared" si="1"/>
        <v>2266.2634315424611</v>
      </c>
    </row>
    <row r="44" spans="1:9" s="221" customFormat="1">
      <c r="A44" s="237" t="s">
        <v>271</v>
      </c>
      <c r="B44" s="238">
        <f>VLOOKUP(A44,[8]進出口值表查詢結果!$A$10:$C$41,3,0)</f>
        <v>199</v>
      </c>
      <c r="C44" s="238">
        <f>VLOOKUP(A44,[8]進出口值表查詢結果!$A$10:$C$41,2,0)</f>
        <v>469661</v>
      </c>
      <c r="D44" s="234">
        <f t="shared" si="0"/>
        <v>2360.1055276381908</v>
      </c>
      <c r="E44" s="239">
        <f>VLOOKUP(A44,[9]進出口值表查詢結果!$A$10:$C$57,3,0)</f>
        <v>1011</v>
      </c>
      <c r="F44" s="235">
        <f>E44/E64</f>
        <v>7.0760659592933733E-3</v>
      </c>
      <c r="G44" s="240">
        <f>VLOOKUP(A44,[9]進出口值表查詢結果!$A$10:$C$57,2,0)</f>
        <v>1957037</v>
      </c>
      <c r="H44" s="235">
        <f>G44/G64</f>
        <v>6.8326664591907543E-3</v>
      </c>
      <c r="I44" s="236">
        <f t="shared" si="1"/>
        <v>1935.7438180019783</v>
      </c>
    </row>
    <row r="45" spans="1:9" s="221" customFormat="1">
      <c r="A45" s="237" t="s">
        <v>272</v>
      </c>
      <c r="B45" s="238">
        <v>0</v>
      </c>
      <c r="C45" s="238">
        <v>0</v>
      </c>
      <c r="D45" s="234">
        <f t="shared" si="0"/>
        <v>0</v>
      </c>
      <c r="E45" s="239">
        <v>0</v>
      </c>
      <c r="F45" s="235">
        <f>E45/E64</f>
        <v>0</v>
      </c>
      <c r="G45" s="240">
        <v>0</v>
      </c>
      <c r="H45" s="235">
        <f>G45/G64</f>
        <v>0</v>
      </c>
      <c r="I45" s="236">
        <f t="shared" si="1"/>
        <v>0</v>
      </c>
    </row>
    <row r="46" spans="1:9" s="221" customFormat="1">
      <c r="A46" s="37" t="s">
        <v>20</v>
      </c>
      <c r="B46" s="238">
        <v>0</v>
      </c>
      <c r="C46" s="238">
        <v>0</v>
      </c>
      <c r="D46" s="234">
        <f t="shared" si="0"/>
        <v>0</v>
      </c>
      <c r="E46" s="239">
        <v>0</v>
      </c>
      <c r="F46" s="235">
        <f>E46/E64</f>
        <v>0</v>
      </c>
      <c r="G46" s="240">
        <v>0</v>
      </c>
      <c r="H46" s="235">
        <f>G46/G64</f>
        <v>0</v>
      </c>
      <c r="I46" s="236">
        <f t="shared" si="1"/>
        <v>0</v>
      </c>
    </row>
    <row r="47" spans="1:9" s="221" customFormat="1">
      <c r="A47" s="37"/>
      <c r="B47" s="238"/>
      <c r="C47" s="35"/>
      <c r="D47" s="234"/>
      <c r="E47" s="240"/>
      <c r="F47" s="241"/>
      <c r="G47" s="240"/>
      <c r="H47" s="241"/>
      <c r="I47" s="236"/>
    </row>
    <row r="48" spans="1:9" s="221" customFormat="1">
      <c r="A48" s="244" t="s">
        <v>21</v>
      </c>
      <c r="B48" s="243">
        <f>SUM(B49:B62)</f>
        <v>2480</v>
      </c>
      <c r="C48" s="243">
        <f>SUM(C49:C62)</f>
        <v>4997931</v>
      </c>
      <c r="D48" s="234">
        <f t="shared" si="0"/>
        <v>2015.2947580645161</v>
      </c>
      <c r="E48" s="243">
        <f>SUM(E49:E62)</f>
        <v>15037</v>
      </c>
      <c r="F48" s="235">
        <f>E48/E64</f>
        <v>0.10524510764579076</v>
      </c>
      <c r="G48" s="243">
        <f>SUM(G49:G62)</f>
        <v>31817872</v>
      </c>
      <c r="H48" s="235">
        <f>G48/G64</f>
        <v>0.11108676372353954</v>
      </c>
      <c r="I48" s="236">
        <f t="shared" si="1"/>
        <v>2115.9720688967213</v>
      </c>
    </row>
    <row r="49" spans="1:9" s="221" customFormat="1">
      <c r="A49" s="244" t="s">
        <v>157</v>
      </c>
      <c r="B49" s="238">
        <f>VLOOKUP(A49,[8]進出口值表查詢結果!$A$10:$C$41,3,0)</f>
        <v>1603</v>
      </c>
      <c r="C49" s="238">
        <f>VLOOKUP(A49,[8]進出口值表查詢結果!$A$10:$C$41,2,0)</f>
        <v>3119514</v>
      </c>
      <c r="D49" s="234">
        <f t="shared" si="0"/>
        <v>1946.0474111041797</v>
      </c>
      <c r="E49" s="239">
        <f>VLOOKUP(A49,[9]進出口值表查詢結果!$A$10:$C$57,3,0)</f>
        <v>7254</v>
      </c>
      <c r="F49" s="235">
        <f>E49/E64</f>
        <v>5.0771298188639097E-2</v>
      </c>
      <c r="G49" s="240">
        <f>VLOOKUP(A49,[9]進出口值表查詢結果!$A$10:$C$57,2,0)</f>
        <v>14329853</v>
      </c>
      <c r="H49" s="235">
        <f>G49/G64</f>
        <v>5.0030278404666853E-2</v>
      </c>
      <c r="I49" s="236">
        <f t="shared" si="1"/>
        <v>1975.4415494899365</v>
      </c>
    </row>
    <row r="50" spans="1:9" s="221" customFormat="1">
      <c r="A50" s="237" t="s">
        <v>382</v>
      </c>
      <c r="B50" s="238">
        <f>VLOOKUP(A50,[8]進出口值表查詢結果!$A$10:$C$41,3,0)</f>
        <v>200</v>
      </c>
      <c r="C50" s="238">
        <f>VLOOKUP(A50,[8]進出口值表查詢結果!$A$10:$C$41,2,0)</f>
        <v>207044</v>
      </c>
      <c r="D50" s="234">
        <f t="shared" si="0"/>
        <v>1035.22</v>
      </c>
      <c r="E50" s="239">
        <f>VLOOKUP(A50,[9]進出口值表查詢結果!$A$10:$C$57,3,0)</f>
        <v>1506</v>
      </c>
      <c r="F50" s="235">
        <f>E50/E64</f>
        <v>1.0540608639659565E-2</v>
      </c>
      <c r="G50" s="240">
        <f>VLOOKUP(A50,[9]進出口值表查詢結果!$A$10:$C$57,2,0)</f>
        <v>1381039</v>
      </c>
      <c r="H50" s="235">
        <f>G50/G64</f>
        <v>4.8216660462394633E-3</v>
      </c>
      <c r="I50" s="236">
        <f t="shared" si="1"/>
        <v>917.02456839309434</v>
      </c>
    </row>
    <row r="51" spans="1:9" s="221" customFormat="1">
      <c r="A51" s="237" t="s">
        <v>383</v>
      </c>
      <c r="B51" s="238">
        <v>0</v>
      </c>
      <c r="C51" s="238">
        <v>0</v>
      </c>
      <c r="D51" s="234">
        <f t="shared" si="0"/>
        <v>0</v>
      </c>
      <c r="E51" s="239">
        <v>0</v>
      </c>
      <c r="F51" s="235">
        <f>E51/E64</f>
        <v>0</v>
      </c>
      <c r="G51" s="240">
        <v>0</v>
      </c>
      <c r="H51" s="235">
        <f>G51/G64</f>
        <v>0</v>
      </c>
      <c r="I51" s="236">
        <f t="shared" si="1"/>
        <v>0</v>
      </c>
    </row>
    <row r="52" spans="1:9" s="221" customFormat="1">
      <c r="A52" s="237" t="s">
        <v>295</v>
      </c>
      <c r="B52" s="238">
        <f>VLOOKUP(A52,[8]進出口值表查詢結果!$A$10:$C$41,3,0)</f>
        <v>16</v>
      </c>
      <c r="C52" s="238">
        <f>VLOOKUP(A52,[8]進出口值表查詢結果!$A$10:$C$41,2,0)</f>
        <v>52536</v>
      </c>
      <c r="D52" s="234">
        <f t="shared" si="0"/>
        <v>3283.5</v>
      </c>
      <c r="E52" s="239">
        <f>VLOOKUP(A52,[9]進出口值表查詢結果!$A$10:$C$57,3,0)</f>
        <v>67</v>
      </c>
      <c r="F52" s="235">
        <f>E52/E64</f>
        <v>4.6893810017077745E-4</v>
      </c>
      <c r="G52" s="240">
        <f>VLOOKUP(A52,[9]進出口值表查詢結果!$A$10:$C$57,2,0)</f>
        <v>260015</v>
      </c>
      <c r="H52" s="235">
        <f>G52/G64</f>
        <v>9.0779876383864178E-4</v>
      </c>
      <c r="I52" s="236">
        <f t="shared" si="1"/>
        <v>3880.8208955223881</v>
      </c>
    </row>
    <row r="53" spans="1:9" s="221" customFormat="1">
      <c r="A53" s="37" t="s">
        <v>22</v>
      </c>
      <c r="B53" s="238">
        <v>0</v>
      </c>
      <c r="C53" s="238">
        <v>0</v>
      </c>
      <c r="D53" s="234">
        <f t="shared" si="0"/>
        <v>0</v>
      </c>
      <c r="E53" s="239">
        <f>VLOOKUP(A53,[9]進出口值表查詢結果!$A$10:$C$57,3,0)</f>
        <v>247</v>
      </c>
      <c r="F53" s="235">
        <f>E53/E64</f>
        <v>1.7287718021221199E-3</v>
      </c>
      <c r="G53" s="240">
        <f>VLOOKUP(A53,[9]進出口值表查詢結果!$A$10:$C$57,2,0)</f>
        <v>783614</v>
      </c>
      <c r="H53" s="235">
        <f>G53/G64</f>
        <v>2.7358568564377185E-3</v>
      </c>
      <c r="I53" s="236">
        <f t="shared" si="1"/>
        <v>3172.5263157894738</v>
      </c>
    </row>
    <row r="54" spans="1:9" s="221" customFormat="1">
      <c r="A54" s="237" t="s">
        <v>301</v>
      </c>
      <c r="B54" s="238">
        <f>VLOOKUP(A54,[8]進出口值表查詢結果!$A$10:$C$41,3,0)</f>
        <v>150</v>
      </c>
      <c r="C54" s="238">
        <f>VLOOKUP(A54,[8]進出口值表查詢結果!$A$10:$C$41,2,0)</f>
        <v>400065</v>
      </c>
      <c r="D54" s="234">
        <f t="shared" si="0"/>
        <v>2667.1</v>
      </c>
      <c r="E54" s="239">
        <f>VLOOKUP(A54,[9]進出口值表查詢結果!$A$10:$C$57,3,0)</f>
        <v>490</v>
      </c>
      <c r="F54" s="235">
        <f>E54/E64</f>
        <v>3.4295472997564322E-3</v>
      </c>
      <c r="G54" s="240">
        <f>VLOOKUP(A54,[9]進出口值表查詢結果!$A$10:$C$57,2,0)</f>
        <v>1571375</v>
      </c>
      <c r="H54" s="235">
        <f>G54/G64</f>
        <v>5.486192267857415E-3</v>
      </c>
      <c r="I54" s="236">
        <f t="shared" si="1"/>
        <v>3206.887755102041</v>
      </c>
    </row>
    <row r="55" spans="1:9" s="221" customFormat="1">
      <c r="A55" s="26" t="s">
        <v>384</v>
      </c>
      <c r="B55" s="238">
        <f>VLOOKUP(A55,[8]進出口值表查詢結果!$A$10:$C$41,3,0)</f>
        <v>184</v>
      </c>
      <c r="C55" s="238">
        <f>VLOOKUP(A55,[8]進出口值表查詢結果!$A$10:$C$41,2,0)</f>
        <v>438385</v>
      </c>
      <c r="D55" s="234">
        <f t="shared" si="0"/>
        <v>2382.5271739130435</v>
      </c>
      <c r="E55" s="239">
        <f>VLOOKUP(A55,[9]進出口值表查詢結果!$A$10:$C$57,3,0)</f>
        <v>2551</v>
      </c>
      <c r="F55" s="235">
        <f>E55/E64</f>
        <v>1.7854643187099301E-2</v>
      </c>
      <c r="G55" s="240">
        <f>VLOOKUP(A55,[9]進出口值表查詢結果!$A$10:$C$57,2,0)</f>
        <v>5903585</v>
      </c>
      <c r="H55" s="235">
        <f>G55/G64</f>
        <v>2.0611376902164674E-2</v>
      </c>
      <c r="I55" s="236">
        <f t="shared" si="1"/>
        <v>2314.2238337906701</v>
      </c>
    </row>
    <row r="56" spans="1:9" s="221" customFormat="1">
      <c r="A56" s="37" t="s">
        <v>23</v>
      </c>
      <c r="B56" s="238">
        <f>VLOOKUP(A56,[8]進出口值表查詢結果!$A$10:$C$41,3,0)</f>
        <v>4</v>
      </c>
      <c r="C56" s="238">
        <f>VLOOKUP(A56,[8]進出口值表查詢結果!$A$10:$C$41,2,0)</f>
        <v>15283</v>
      </c>
      <c r="D56" s="234">
        <f t="shared" si="0"/>
        <v>3820.75</v>
      </c>
      <c r="E56" s="239">
        <f>VLOOKUP(A56,[9]進出口值表查詢結果!$A$10:$C$57,3,0)</f>
        <v>237</v>
      </c>
      <c r="F56" s="235">
        <f>E56/E64</f>
        <v>1.6587810409026008E-3</v>
      </c>
      <c r="G56" s="240">
        <f>VLOOKUP(A56,[9]進出口值表查詢結果!$A$10:$C$57,2,0)</f>
        <v>556498</v>
      </c>
      <c r="H56" s="235">
        <f>G56/G64</f>
        <v>1.9429194334122126E-3</v>
      </c>
      <c r="I56" s="236">
        <f t="shared" si="1"/>
        <v>2348.0928270042195</v>
      </c>
    </row>
    <row r="57" spans="1:9" s="221" customFormat="1">
      <c r="A57" s="37" t="s">
        <v>237</v>
      </c>
      <c r="B57" s="238">
        <f>VLOOKUP(A57,[8]進出口值表查詢結果!$A$10:$C$41,3,0)</f>
        <v>1</v>
      </c>
      <c r="C57" s="238">
        <f>VLOOKUP(A57,[8]進出口值表查詢結果!$A$10:$C$41,2,0)</f>
        <v>2908</v>
      </c>
      <c r="D57" s="234">
        <f t="shared" si="0"/>
        <v>2908</v>
      </c>
      <c r="E57" s="239">
        <f>VLOOKUP(A57,[9]進出口值表查詢結果!$A$10:$C$57,3,0)</f>
        <v>119</v>
      </c>
      <c r="F57" s="235">
        <f>E57/E64</f>
        <v>8.3289005851227638E-4</v>
      </c>
      <c r="G57" s="240">
        <f>VLOOKUP(A57,[9]進出口值表查詢結果!$A$10:$C$57,2,0)</f>
        <v>339530</v>
      </c>
      <c r="H57" s="235">
        <f>G57/G64</f>
        <v>1.1854120504052998E-3</v>
      </c>
      <c r="I57" s="236">
        <f t="shared" si="1"/>
        <v>2853.1932773109243</v>
      </c>
    </row>
    <row r="58" spans="1:9" s="221" customFormat="1">
      <c r="A58" s="37" t="s">
        <v>230</v>
      </c>
      <c r="B58" s="238">
        <v>0</v>
      </c>
      <c r="C58" s="238">
        <v>0</v>
      </c>
      <c r="D58" s="234">
        <f t="shared" si="0"/>
        <v>0</v>
      </c>
      <c r="E58" s="239">
        <f>VLOOKUP(A58,[9]進出口值表查詢結果!$A$10:$C$57,3,0)</f>
        <v>64</v>
      </c>
      <c r="F58" s="235">
        <f>E58/E64</f>
        <v>4.4794087180492174E-4</v>
      </c>
      <c r="G58" s="240">
        <f>VLOOKUP(A58,[9]進出口值表查詢結果!$A$10:$C$57,2,0)</f>
        <v>231997</v>
      </c>
      <c r="H58" s="235">
        <f>G58/G64</f>
        <v>8.099786159039801E-4</v>
      </c>
      <c r="I58" s="236">
        <f t="shared" si="1"/>
        <v>3624.953125</v>
      </c>
    </row>
    <row r="59" spans="1:9" s="221" customFormat="1">
      <c r="A59" s="37" t="s">
        <v>275</v>
      </c>
      <c r="B59" s="238">
        <v>0</v>
      </c>
      <c r="C59" s="238">
        <v>0</v>
      </c>
      <c r="D59" s="234">
        <f t="shared" si="0"/>
        <v>0</v>
      </c>
      <c r="E59" s="239">
        <v>0</v>
      </c>
      <c r="F59" s="235">
        <f>E59/E64</f>
        <v>0</v>
      </c>
      <c r="G59" s="240">
        <v>0</v>
      </c>
      <c r="H59" s="235">
        <f>G59/G64</f>
        <v>0</v>
      </c>
      <c r="I59" s="236">
        <f t="shared" si="1"/>
        <v>0</v>
      </c>
    </row>
    <row r="60" spans="1:9" s="221" customFormat="1">
      <c r="A60" s="37" t="s">
        <v>280</v>
      </c>
      <c r="B60" s="238">
        <v>0</v>
      </c>
      <c r="C60" s="238">
        <v>0</v>
      </c>
      <c r="D60" s="234">
        <f t="shared" si="0"/>
        <v>0</v>
      </c>
      <c r="E60" s="239">
        <v>0</v>
      </c>
      <c r="F60" s="235">
        <f>E60/E64</f>
        <v>0</v>
      </c>
      <c r="G60" s="240">
        <v>0</v>
      </c>
      <c r="H60" s="235">
        <f>G60/G64</f>
        <v>0</v>
      </c>
      <c r="I60" s="236">
        <f t="shared" si="1"/>
        <v>0</v>
      </c>
    </row>
    <row r="61" spans="1:9" s="221" customFormat="1">
      <c r="A61" s="37" t="s">
        <v>286</v>
      </c>
      <c r="B61" s="238">
        <f>VLOOKUP(A61,[8]進出口值表查詢結果!$A$10:$C$41,3,0)</f>
        <v>221</v>
      </c>
      <c r="C61" s="238">
        <f>VLOOKUP(A61,[8]進出口值表查詢結果!$A$10:$C$41,2,0)</f>
        <v>512342</v>
      </c>
      <c r="D61" s="234">
        <f t="shared" si="0"/>
        <v>2318.2895927601812</v>
      </c>
      <c r="E61" s="239">
        <f>VLOOKUP(A61,[9]進出口值表查詢結果!$A$10:$C$57,3,0)</f>
        <v>1490</v>
      </c>
      <c r="F61" s="235">
        <f>E61/E64</f>
        <v>1.0428623421708335E-2</v>
      </c>
      <c r="G61" s="240">
        <f>VLOOKUP(A61,[9]進出口值表查詢結果!$A$10:$C$57,2,0)</f>
        <v>3619926</v>
      </c>
      <c r="H61" s="235">
        <f>G61/G64</f>
        <v>1.2638364509691207E-2</v>
      </c>
      <c r="I61" s="236">
        <f t="shared" si="1"/>
        <v>2429.4805369127516</v>
      </c>
    </row>
    <row r="62" spans="1:9" s="221" customFormat="1">
      <c r="A62" s="37" t="s">
        <v>334</v>
      </c>
      <c r="B62" s="238">
        <f>VLOOKUP(A62,[8]進出口值表查詢結果!$A$10:$C$41,3,0)</f>
        <v>101</v>
      </c>
      <c r="C62" s="238">
        <f>VLOOKUP(A62,[8]進出口值表查詢結果!$A$10:$C$41,2,0)</f>
        <v>249854</v>
      </c>
      <c r="D62" s="234">
        <f t="shared" si="0"/>
        <v>2473.8019801980199</v>
      </c>
      <c r="E62" s="239">
        <f>VLOOKUP(A62,[9]進出口值表查詢結果!$A$10:$C$57,3,0)</f>
        <v>1012</v>
      </c>
      <c r="F62" s="235">
        <f>E62/E64</f>
        <v>7.0830650354153256E-3</v>
      </c>
      <c r="G62" s="240">
        <f>VLOOKUP(A62,[9]進出口值表查詢結果!$A$10:$C$57,2,0)</f>
        <v>2840440</v>
      </c>
      <c r="H62" s="235">
        <f>G62/G64</f>
        <v>9.9169198729220694E-3</v>
      </c>
      <c r="I62" s="236">
        <f t="shared" si="1"/>
        <v>2806.7588932806325</v>
      </c>
    </row>
    <row r="63" spans="1:9" s="221" customFormat="1">
      <c r="A63" s="37" t="s">
        <v>29</v>
      </c>
      <c r="B63" s="34">
        <f>B64-B48-B42-B13-B8</f>
        <v>352</v>
      </c>
      <c r="C63" s="34">
        <f>C64-C48-C42-C13-C8</f>
        <v>735185</v>
      </c>
      <c r="D63" s="234">
        <f t="shared" si="0"/>
        <v>2088.59375</v>
      </c>
      <c r="E63" s="34">
        <f>E64-E48-E42-E13-E8</f>
        <v>1515</v>
      </c>
      <c r="F63" s="241">
        <f>E63/$E$64</f>
        <v>1.0603600324757132E-2</v>
      </c>
      <c r="G63" s="34">
        <f>G64-G48-G42-G13-G8</f>
        <v>4447020</v>
      </c>
      <c r="H63" s="241">
        <f>G63/$G$64</f>
        <v>1.5526024493839651E-2</v>
      </c>
      <c r="I63" s="236">
        <f t="shared" si="1"/>
        <v>2935.3267326732675</v>
      </c>
    </row>
    <row r="64" spans="1:9" s="221" customFormat="1">
      <c r="A64" s="242" t="s">
        <v>399</v>
      </c>
      <c r="B64" s="238">
        <f>VLOOKUP(A64,[8]進出口值表查詢結果!$A$10:$C$41,3,0)</f>
        <v>25793</v>
      </c>
      <c r="C64" s="238">
        <f>VLOOKUP(A64,[8]進出口值表查詢結果!$A$10:$C$41,2,0)</f>
        <v>49517602</v>
      </c>
      <c r="D64" s="494">
        <f t="shared" ref="D64" si="2">C64/B64</f>
        <v>1919.8077773039197</v>
      </c>
      <c r="E64" s="239">
        <f>VLOOKUP(A64,[9]進出口值表查詢結果!$A$10:$C$57,3,0)</f>
        <v>142876</v>
      </c>
      <c r="F64" s="495">
        <f>E64/$E$64</f>
        <v>1</v>
      </c>
      <c r="G64" s="240">
        <f>VLOOKUP(A64,[9]進出口值表查詢結果!$A$10:$C$57,2,0)</f>
        <v>286423611</v>
      </c>
      <c r="H64" s="235">
        <f>G64/$G$64</f>
        <v>1</v>
      </c>
      <c r="I64" s="236">
        <f>G64/E64</f>
        <v>2004.7006565133402</v>
      </c>
    </row>
    <row r="65" spans="1:9" s="221" customFormat="1" ht="6" customHeight="1">
      <c r="A65" s="247"/>
      <c r="B65" s="248"/>
      <c r="C65" s="249"/>
      <c r="D65" s="250"/>
      <c r="E65" s="251"/>
      <c r="F65" s="252"/>
      <c r="G65" s="249"/>
      <c r="H65" s="252"/>
      <c r="I65" s="253"/>
    </row>
    <row r="66" spans="1:9" s="221" customFormat="1" ht="15" customHeight="1">
      <c r="A66" s="254" t="s">
        <v>461</v>
      </c>
      <c r="B66" s="255"/>
      <c r="C66" s="255"/>
      <c r="D66" s="255"/>
    </row>
    <row r="67" spans="1:9" s="221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62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1" customWidth="1"/>
    <col min="2" max="2" width="12.125" style="261" customWidth="1"/>
    <col min="3" max="3" width="12.5" style="262" customWidth="1"/>
    <col min="4" max="4" width="13.75" style="263" customWidth="1"/>
    <col min="5" max="5" width="14.625" style="261" customWidth="1"/>
    <col min="6" max="6" width="15.125" style="262" customWidth="1"/>
    <col min="7" max="7" width="12.25" style="295" customWidth="1"/>
    <col min="8" max="8" width="12.5" style="261" customWidth="1"/>
    <col min="9" max="9" width="12.25" style="261" customWidth="1"/>
    <col min="10" max="10" width="11.625" style="261" customWidth="1"/>
    <col min="11" max="256" width="8.875" style="261"/>
    <col min="257" max="257" width="19.5" style="261" customWidth="1"/>
    <col min="258" max="259" width="12.125" style="261" customWidth="1"/>
    <col min="260" max="260" width="13.75" style="261" customWidth="1"/>
    <col min="261" max="261" width="14.625" style="261" customWidth="1"/>
    <col min="262" max="262" width="15.125" style="261" customWidth="1"/>
    <col min="263" max="263" width="12.25" style="261" customWidth="1"/>
    <col min="264" max="264" width="12.5" style="261" customWidth="1"/>
    <col min="265" max="265" width="12.25" style="261" customWidth="1"/>
    <col min="266" max="266" width="11.625" style="261" customWidth="1"/>
    <col min="267" max="512" width="8.875" style="261"/>
    <col min="513" max="513" width="19.5" style="261" customWidth="1"/>
    <col min="514" max="515" width="12.125" style="261" customWidth="1"/>
    <col min="516" max="516" width="13.75" style="261" customWidth="1"/>
    <col min="517" max="517" width="14.625" style="261" customWidth="1"/>
    <col min="518" max="518" width="15.125" style="261" customWidth="1"/>
    <col min="519" max="519" width="12.25" style="261" customWidth="1"/>
    <col min="520" max="520" width="12.5" style="261" customWidth="1"/>
    <col min="521" max="521" width="12.25" style="261" customWidth="1"/>
    <col min="522" max="522" width="11.625" style="261" customWidth="1"/>
    <col min="523" max="768" width="8.875" style="261"/>
    <col min="769" max="769" width="19.5" style="261" customWidth="1"/>
    <col min="770" max="771" width="12.125" style="261" customWidth="1"/>
    <col min="772" max="772" width="13.75" style="261" customWidth="1"/>
    <col min="773" max="773" width="14.625" style="261" customWidth="1"/>
    <col min="774" max="774" width="15.125" style="261" customWidth="1"/>
    <col min="775" max="775" width="12.25" style="261" customWidth="1"/>
    <col min="776" max="776" width="12.5" style="261" customWidth="1"/>
    <col min="777" max="777" width="12.25" style="261" customWidth="1"/>
    <col min="778" max="778" width="11.625" style="261" customWidth="1"/>
    <col min="779" max="1024" width="8.875" style="261"/>
    <col min="1025" max="1025" width="19.5" style="261" customWidth="1"/>
    <col min="1026" max="1027" width="12.125" style="261" customWidth="1"/>
    <col min="1028" max="1028" width="13.75" style="261" customWidth="1"/>
    <col min="1029" max="1029" width="14.625" style="261" customWidth="1"/>
    <col min="1030" max="1030" width="15.125" style="261" customWidth="1"/>
    <col min="1031" max="1031" width="12.25" style="261" customWidth="1"/>
    <col min="1032" max="1032" width="12.5" style="261" customWidth="1"/>
    <col min="1033" max="1033" width="12.25" style="261" customWidth="1"/>
    <col min="1034" max="1034" width="11.625" style="261" customWidth="1"/>
    <col min="1035" max="1280" width="8.875" style="261"/>
    <col min="1281" max="1281" width="19.5" style="261" customWidth="1"/>
    <col min="1282" max="1283" width="12.125" style="261" customWidth="1"/>
    <col min="1284" max="1284" width="13.75" style="261" customWidth="1"/>
    <col min="1285" max="1285" width="14.625" style="261" customWidth="1"/>
    <col min="1286" max="1286" width="15.125" style="261" customWidth="1"/>
    <col min="1287" max="1287" width="12.25" style="261" customWidth="1"/>
    <col min="1288" max="1288" width="12.5" style="261" customWidth="1"/>
    <col min="1289" max="1289" width="12.25" style="261" customWidth="1"/>
    <col min="1290" max="1290" width="11.625" style="261" customWidth="1"/>
    <col min="1291" max="1536" width="8.875" style="261"/>
    <col min="1537" max="1537" width="19.5" style="261" customWidth="1"/>
    <col min="1538" max="1539" width="12.125" style="261" customWidth="1"/>
    <col min="1540" max="1540" width="13.75" style="261" customWidth="1"/>
    <col min="1541" max="1541" width="14.625" style="261" customWidth="1"/>
    <col min="1542" max="1542" width="15.125" style="261" customWidth="1"/>
    <col min="1543" max="1543" width="12.25" style="261" customWidth="1"/>
    <col min="1544" max="1544" width="12.5" style="261" customWidth="1"/>
    <col min="1545" max="1545" width="12.25" style="261" customWidth="1"/>
    <col min="1546" max="1546" width="11.625" style="261" customWidth="1"/>
    <col min="1547" max="1792" width="8.875" style="261"/>
    <col min="1793" max="1793" width="19.5" style="261" customWidth="1"/>
    <col min="1794" max="1795" width="12.125" style="261" customWidth="1"/>
    <col min="1796" max="1796" width="13.75" style="261" customWidth="1"/>
    <col min="1797" max="1797" width="14.625" style="261" customWidth="1"/>
    <col min="1798" max="1798" width="15.125" style="261" customWidth="1"/>
    <col min="1799" max="1799" width="12.25" style="261" customWidth="1"/>
    <col min="1800" max="1800" width="12.5" style="261" customWidth="1"/>
    <col min="1801" max="1801" width="12.25" style="261" customWidth="1"/>
    <col min="1802" max="1802" width="11.625" style="261" customWidth="1"/>
    <col min="1803" max="2048" width="8.875" style="261"/>
    <col min="2049" max="2049" width="19.5" style="261" customWidth="1"/>
    <col min="2050" max="2051" width="12.125" style="261" customWidth="1"/>
    <col min="2052" max="2052" width="13.75" style="261" customWidth="1"/>
    <col min="2053" max="2053" width="14.625" style="261" customWidth="1"/>
    <col min="2054" max="2054" width="15.125" style="261" customWidth="1"/>
    <col min="2055" max="2055" width="12.25" style="261" customWidth="1"/>
    <col min="2056" max="2056" width="12.5" style="261" customWidth="1"/>
    <col min="2057" max="2057" width="12.25" style="261" customWidth="1"/>
    <col min="2058" max="2058" width="11.625" style="261" customWidth="1"/>
    <col min="2059" max="2304" width="8.875" style="261"/>
    <col min="2305" max="2305" width="19.5" style="261" customWidth="1"/>
    <col min="2306" max="2307" width="12.125" style="261" customWidth="1"/>
    <col min="2308" max="2308" width="13.75" style="261" customWidth="1"/>
    <col min="2309" max="2309" width="14.625" style="261" customWidth="1"/>
    <col min="2310" max="2310" width="15.125" style="261" customWidth="1"/>
    <col min="2311" max="2311" width="12.25" style="261" customWidth="1"/>
    <col min="2312" max="2312" width="12.5" style="261" customWidth="1"/>
    <col min="2313" max="2313" width="12.25" style="261" customWidth="1"/>
    <col min="2314" max="2314" width="11.625" style="261" customWidth="1"/>
    <col min="2315" max="2560" width="8.875" style="261"/>
    <col min="2561" max="2561" width="19.5" style="261" customWidth="1"/>
    <col min="2562" max="2563" width="12.125" style="261" customWidth="1"/>
    <col min="2564" max="2564" width="13.75" style="261" customWidth="1"/>
    <col min="2565" max="2565" width="14.625" style="261" customWidth="1"/>
    <col min="2566" max="2566" width="15.125" style="261" customWidth="1"/>
    <col min="2567" max="2567" width="12.25" style="261" customWidth="1"/>
    <col min="2568" max="2568" width="12.5" style="261" customWidth="1"/>
    <col min="2569" max="2569" width="12.25" style="261" customWidth="1"/>
    <col min="2570" max="2570" width="11.625" style="261" customWidth="1"/>
    <col min="2571" max="2816" width="8.875" style="261"/>
    <col min="2817" max="2817" width="19.5" style="261" customWidth="1"/>
    <col min="2818" max="2819" width="12.125" style="261" customWidth="1"/>
    <col min="2820" max="2820" width="13.75" style="261" customWidth="1"/>
    <col min="2821" max="2821" width="14.625" style="261" customWidth="1"/>
    <col min="2822" max="2822" width="15.125" style="261" customWidth="1"/>
    <col min="2823" max="2823" width="12.25" style="261" customWidth="1"/>
    <col min="2824" max="2824" width="12.5" style="261" customWidth="1"/>
    <col min="2825" max="2825" width="12.25" style="261" customWidth="1"/>
    <col min="2826" max="2826" width="11.625" style="261" customWidth="1"/>
    <col min="2827" max="3072" width="8.875" style="261"/>
    <col min="3073" max="3073" width="19.5" style="261" customWidth="1"/>
    <col min="3074" max="3075" width="12.125" style="261" customWidth="1"/>
    <col min="3076" max="3076" width="13.75" style="261" customWidth="1"/>
    <col min="3077" max="3077" width="14.625" style="261" customWidth="1"/>
    <col min="3078" max="3078" width="15.125" style="261" customWidth="1"/>
    <col min="3079" max="3079" width="12.25" style="261" customWidth="1"/>
    <col min="3080" max="3080" width="12.5" style="261" customWidth="1"/>
    <col min="3081" max="3081" width="12.25" style="261" customWidth="1"/>
    <col min="3082" max="3082" width="11.625" style="261" customWidth="1"/>
    <col min="3083" max="3328" width="8.875" style="261"/>
    <col min="3329" max="3329" width="19.5" style="261" customWidth="1"/>
    <col min="3330" max="3331" width="12.125" style="261" customWidth="1"/>
    <col min="3332" max="3332" width="13.75" style="261" customWidth="1"/>
    <col min="3333" max="3333" width="14.625" style="261" customWidth="1"/>
    <col min="3334" max="3334" width="15.125" style="261" customWidth="1"/>
    <col min="3335" max="3335" width="12.25" style="261" customWidth="1"/>
    <col min="3336" max="3336" width="12.5" style="261" customWidth="1"/>
    <col min="3337" max="3337" width="12.25" style="261" customWidth="1"/>
    <col min="3338" max="3338" width="11.625" style="261" customWidth="1"/>
    <col min="3339" max="3584" width="8.875" style="261"/>
    <col min="3585" max="3585" width="19.5" style="261" customWidth="1"/>
    <col min="3586" max="3587" width="12.125" style="261" customWidth="1"/>
    <col min="3588" max="3588" width="13.75" style="261" customWidth="1"/>
    <col min="3589" max="3589" width="14.625" style="261" customWidth="1"/>
    <col min="3590" max="3590" width="15.125" style="261" customWidth="1"/>
    <col min="3591" max="3591" width="12.25" style="261" customWidth="1"/>
    <col min="3592" max="3592" width="12.5" style="261" customWidth="1"/>
    <col min="3593" max="3593" width="12.25" style="261" customWidth="1"/>
    <col min="3594" max="3594" width="11.625" style="261" customWidth="1"/>
    <col min="3595" max="3840" width="8.875" style="261"/>
    <col min="3841" max="3841" width="19.5" style="261" customWidth="1"/>
    <col min="3842" max="3843" width="12.125" style="261" customWidth="1"/>
    <col min="3844" max="3844" width="13.75" style="261" customWidth="1"/>
    <col min="3845" max="3845" width="14.625" style="261" customWidth="1"/>
    <col min="3846" max="3846" width="15.125" style="261" customWidth="1"/>
    <col min="3847" max="3847" width="12.25" style="261" customWidth="1"/>
    <col min="3848" max="3848" width="12.5" style="261" customWidth="1"/>
    <col min="3849" max="3849" width="12.25" style="261" customWidth="1"/>
    <col min="3850" max="3850" width="11.625" style="261" customWidth="1"/>
    <col min="3851" max="4096" width="8.875" style="261"/>
    <col min="4097" max="4097" width="19.5" style="261" customWidth="1"/>
    <col min="4098" max="4099" width="12.125" style="261" customWidth="1"/>
    <col min="4100" max="4100" width="13.75" style="261" customWidth="1"/>
    <col min="4101" max="4101" width="14.625" style="261" customWidth="1"/>
    <col min="4102" max="4102" width="15.125" style="261" customWidth="1"/>
    <col min="4103" max="4103" width="12.25" style="261" customWidth="1"/>
    <col min="4104" max="4104" width="12.5" style="261" customWidth="1"/>
    <col min="4105" max="4105" width="12.25" style="261" customWidth="1"/>
    <col min="4106" max="4106" width="11.625" style="261" customWidth="1"/>
    <col min="4107" max="4352" width="8.875" style="261"/>
    <col min="4353" max="4353" width="19.5" style="261" customWidth="1"/>
    <col min="4354" max="4355" width="12.125" style="261" customWidth="1"/>
    <col min="4356" max="4356" width="13.75" style="261" customWidth="1"/>
    <col min="4357" max="4357" width="14.625" style="261" customWidth="1"/>
    <col min="4358" max="4358" width="15.125" style="261" customWidth="1"/>
    <col min="4359" max="4359" width="12.25" style="261" customWidth="1"/>
    <col min="4360" max="4360" width="12.5" style="261" customWidth="1"/>
    <col min="4361" max="4361" width="12.25" style="261" customWidth="1"/>
    <col min="4362" max="4362" width="11.625" style="261" customWidth="1"/>
    <col min="4363" max="4608" width="8.875" style="261"/>
    <col min="4609" max="4609" width="19.5" style="261" customWidth="1"/>
    <col min="4610" max="4611" width="12.125" style="261" customWidth="1"/>
    <col min="4612" max="4612" width="13.75" style="261" customWidth="1"/>
    <col min="4613" max="4613" width="14.625" style="261" customWidth="1"/>
    <col min="4614" max="4614" width="15.125" style="261" customWidth="1"/>
    <col min="4615" max="4615" width="12.25" style="261" customWidth="1"/>
    <col min="4616" max="4616" width="12.5" style="261" customWidth="1"/>
    <col min="4617" max="4617" width="12.25" style="261" customWidth="1"/>
    <col min="4618" max="4618" width="11.625" style="261" customWidth="1"/>
    <col min="4619" max="4864" width="8.875" style="261"/>
    <col min="4865" max="4865" width="19.5" style="261" customWidth="1"/>
    <col min="4866" max="4867" width="12.125" style="261" customWidth="1"/>
    <col min="4868" max="4868" width="13.75" style="261" customWidth="1"/>
    <col min="4869" max="4869" width="14.625" style="261" customWidth="1"/>
    <col min="4870" max="4870" width="15.125" style="261" customWidth="1"/>
    <col min="4871" max="4871" width="12.25" style="261" customWidth="1"/>
    <col min="4872" max="4872" width="12.5" style="261" customWidth="1"/>
    <col min="4873" max="4873" width="12.25" style="261" customWidth="1"/>
    <col min="4874" max="4874" width="11.625" style="261" customWidth="1"/>
    <col min="4875" max="5120" width="8.875" style="261"/>
    <col min="5121" max="5121" width="19.5" style="261" customWidth="1"/>
    <col min="5122" max="5123" width="12.125" style="261" customWidth="1"/>
    <col min="5124" max="5124" width="13.75" style="261" customWidth="1"/>
    <col min="5125" max="5125" width="14.625" style="261" customWidth="1"/>
    <col min="5126" max="5126" width="15.125" style="261" customWidth="1"/>
    <col min="5127" max="5127" width="12.25" style="261" customWidth="1"/>
    <col min="5128" max="5128" width="12.5" style="261" customWidth="1"/>
    <col min="5129" max="5129" width="12.25" style="261" customWidth="1"/>
    <col min="5130" max="5130" width="11.625" style="261" customWidth="1"/>
    <col min="5131" max="5376" width="8.875" style="261"/>
    <col min="5377" max="5377" width="19.5" style="261" customWidth="1"/>
    <col min="5378" max="5379" width="12.125" style="261" customWidth="1"/>
    <col min="5380" max="5380" width="13.75" style="261" customWidth="1"/>
    <col min="5381" max="5381" width="14.625" style="261" customWidth="1"/>
    <col min="5382" max="5382" width="15.125" style="261" customWidth="1"/>
    <col min="5383" max="5383" width="12.25" style="261" customWidth="1"/>
    <col min="5384" max="5384" width="12.5" style="261" customWidth="1"/>
    <col min="5385" max="5385" width="12.25" style="261" customWidth="1"/>
    <col min="5386" max="5386" width="11.625" style="261" customWidth="1"/>
    <col min="5387" max="5632" width="8.875" style="261"/>
    <col min="5633" max="5633" width="19.5" style="261" customWidth="1"/>
    <col min="5634" max="5635" width="12.125" style="261" customWidth="1"/>
    <col min="5636" max="5636" width="13.75" style="261" customWidth="1"/>
    <col min="5637" max="5637" width="14.625" style="261" customWidth="1"/>
    <col min="5638" max="5638" width="15.125" style="261" customWidth="1"/>
    <col min="5639" max="5639" width="12.25" style="261" customWidth="1"/>
    <col min="5640" max="5640" width="12.5" style="261" customWidth="1"/>
    <col min="5641" max="5641" width="12.25" style="261" customWidth="1"/>
    <col min="5642" max="5642" width="11.625" style="261" customWidth="1"/>
    <col min="5643" max="5888" width="8.875" style="261"/>
    <col min="5889" max="5889" width="19.5" style="261" customWidth="1"/>
    <col min="5890" max="5891" width="12.125" style="261" customWidth="1"/>
    <col min="5892" max="5892" width="13.75" style="261" customWidth="1"/>
    <col min="5893" max="5893" width="14.625" style="261" customWidth="1"/>
    <col min="5894" max="5894" width="15.125" style="261" customWidth="1"/>
    <col min="5895" max="5895" width="12.25" style="261" customWidth="1"/>
    <col min="5896" max="5896" width="12.5" style="261" customWidth="1"/>
    <col min="5897" max="5897" width="12.25" style="261" customWidth="1"/>
    <col min="5898" max="5898" width="11.625" style="261" customWidth="1"/>
    <col min="5899" max="6144" width="8.875" style="261"/>
    <col min="6145" max="6145" width="19.5" style="261" customWidth="1"/>
    <col min="6146" max="6147" width="12.125" style="261" customWidth="1"/>
    <col min="6148" max="6148" width="13.75" style="261" customWidth="1"/>
    <col min="6149" max="6149" width="14.625" style="261" customWidth="1"/>
    <col min="6150" max="6150" width="15.125" style="261" customWidth="1"/>
    <col min="6151" max="6151" width="12.25" style="261" customWidth="1"/>
    <col min="6152" max="6152" width="12.5" style="261" customWidth="1"/>
    <col min="6153" max="6153" width="12.25" style="261" customWidth="1"/>
    <col min="6154" max="6154" width="11.625" style="261" customWidth="1"/>
    <col min="6155" max="6400" width="8.875" style="261"/>
    <col min="6401" max="6401" width="19.5" style="261" customWidth="1"/>
    <col min="6402" max="6403" width="12.125" style="261" customWidth="1"/>
    <col min="6404" max="6404" width="13.75" style="261" customWidth="1"/>
    <col min="6405" max="6405" width="14.625" style="261" customWidth="1"/>
    <col min="6406" max="6406" width="15.125" style="261" customWidth="1"/>
    <col min="6407" max="6407" width="12.25" style="261" customWidth="1"/>
    <col min="6408" max="6408" width="12.5" style="261" customWidth="1"/>
    <col min="6409" max="6409" width="12.25" style="261" customWidth="1"/>
    <col min="6410" max="6410" width="11.625" style="261" customWidth="1"/>
    <col min="6411" max="6656" width="8.875" style="261"/>
    <col min="6657" max="6657" width="19.5" style="261" customWidth="1"/>
    <col min="6658" max="6659" width="12.125" style="261" customWidth="1"/>
    <col min="6660" max="6660" width="13.75" style="261" customWidth="1"/>
    <col min="6661" max="6661" width="14.625" style="261" customWidth="1"/>
    <col min="6662" max="6662" width="15.125" style="261" customWidth="1"/>
    <col min="6663" max="6663" width="12.25" style="261" customWidth="1"/>
    <col min="6664" max="6664" width="12.5" style="261" customWidth="1"/>
    <col min="6665" max="6665" width="12.25" style="261" customWidth="1"/>
    <col min="6666" max="6666" width="11.625" style="261" customWidth="1"/>
    <col min="6667" max="6912" width="8.875" style="261"/>
    <col min="6913" max="6913" width="19.5" style="261" customWidth="1"/>
    <col min="6914" max="6915" width="12.125" style="261" customWidth="1"/>
    <col min="6916" max="6916" width="13.75" style="261" customWidth="1"/>
    <col min="6917" max="6917" width="14.625" style="261" customWidth="1"/>
    <col min="6918" max="6918" width="15.125" style="261" customWidth="1"/>
    <col min="6919" max="6919" width="12.25" style="261" customWidth="1"/>
    <col min="6920" max="6920" width="12.5" style="261" customWidth="1"/>
    <col min="6921" max="6921" width="12.25" style="261" customWidth="1"/>
    <col min="6922" max="6922" width="11.625" style="261" customWidth="1"/>
    <col min="6923" max="7168" width="8.875" style="261"/>
    <col min="7169" max="7169" width="19.5" style="261" customWidth="1"/>
    <col min="7170" max="7171" width="12.125" style="261" customWidth="1"/>
    <col min="7172" max="7172" width="13.75" style="261" customWidth="1"/>
    <col min="7173" max="7173" width="14.625" style="261" customWidth="1"/>
    <col min="7174" max="7174" width="15.125" style="261" customWidth="1"/>
    <col min="7175" max="7175" width="12.25" style="261" customWidth="1"/>
    <col min="7176" max="7176" width="12.5" style="261" customWidth="1"/>
    <col min="7177" max="7177" width="12.25" style="261" customWidth="1"/>
    <col min="7178" max="7178" width="11.625" style="261" customWidth="1"/>
    <col min="7179" max="7424" width="8.875" style="261"/>
    <col min="7425" max="7425" width="19.5" style="261" customWidth="1"/>
    <col min="7426" max="7427" width="12.125" style="261" customWidth="1"/>
    <col min="7428" max="7428" width="13.75" style="261" customWidth="1"/>
    <col min="7429" max="7429" width="14.625" style="261" customWidth="1"/>
    <col min="7430" max="7430" width="15.125" style="261" customWidth="1"/>
    <col min="7431" max="7431" width="12.25" style="261" customWidth="1"/>
    <col min="7432" max="7432" width="12.5" style="261" customWidth="1"/>
    <col min="7433" max="7433" width="12.25" style="261" customWidth="1"/>
    <col min="7434" max="7434" width="11.625" style="261" customWidth="1"/>
    <col min="7435" max="7680" width="8.875" style="261"/>
    <col min="7681" max="7681" width="19.5" style="261" customWidth="1"/>
    <col min="7682" max="7683" width="12.125" style="261" customWidth="1"/>
    <col min="7684" max="7684" width="13.75" style="261" customWidth="1"/>
    <col min="7685" max="7685" width="14.625" style="261" customWidth="1"/>
    <col min="7686" max="7686" width="15.125" style="261" customWidth="1"/>
    <col min="7687" max="7687" width="12.25" style="261" customWidth="1"/>
    <col min="7688" max="7688" width="12.5" style="261" customWidth="1"/>
    <col min="7689" max="7689" width="12.25" style="261" customWidth="1"/>
    <col min="7690" max="7690" width="11.625" style="261" customWidth="1"/>
    <col min="7691" max="7936" width="8.875" style="261"/>
    <col min="7937" max="7937" width="19.5" style="261" customWidth="1"/>
    <col min="7938" max="7939" width="12.125" style="261" customWidth="1"/>
    <col min="7940" max="7940" width="13.75" style="261" customWidth="1"/>
    <col min="7941" max="7941" width="14.625" style="261" customWidth="1"/>
    <col min="7942" max="7942" width="15.125" style="261" customWidth="1"/>
    <col min="7943" max="7943" width="12.25" style="261" customWidth="1"/>
    <col min="7944" max="7944" width="12.5" style="261" customWidth="1"/>
    <col min="7945" max="7945" width="12.25" style="261" customWidth="1"/>
    <col min="7946" max="7946" width="11.625" style="261" customWidth="1"/>
    <col min="7947" max="8192" width="8.875" style="261"/>
    <col min="8193" max="8193" width="19.5" style="261" customWidth="1"/>
    <col min="8194" max="8195" width="12.125" style="261" customWidth="1"/>
    <col min="8196" max="8196" width="13.75" style="261" customWidth="1"/>
    <col min="8197" max="8197" width="14.625" style="261" customWidth="1"/>
    <col min="8198" max="8198" width="15.125" style="261" customWidth="1"/>
    <col min="8199" max="8199" width="12.25" style="261" customWidth="1"/>
    <col min="8200" max="8200" width="12.5" style="261" customWidth="1"/>
    <col min="8201" max="8201" width="12.25" style="261" customWidth="1"/>
    <col min="8202" max="8202" width="11.625" style="261" customWidth="1"/>
    <col min="8203" max="8448" width="8.875" style="261"/>
    <col min="8449" max="8449" width="19.5" style="261" customWidth="1"/>
    <col min="8450" max="8451" width="12.125" style="261" customWidth="1"/>
    <col min="8452" max="8452" width="13.75" style="261" customWidth="1"/>
    <col min="8453" max="8453" width="14.625" style="261" customWidth="1"/>
    <col min="8454" max="8454" width="15.125" style="261" customWidth="1"/>
    <col min="8455" max="8455" width="12.25" style="261" customWidth="1"/>
    <col min="8456" max="8456" width="12.5" style="261" customWidth="1"/>
    <col min="8457" max="8457" width="12.25" style="261" customWidth="1"/>
    <col min="8458" max="8458" width="11.625" style="261" customWidth="1"/>
    <col min="8459" max="8704" width="8.875" style="261"/>
    <col min="8705" max="8705" width="19.5" style="261" customWidth="1"/>
    <col min="8706" max="8707" width="12.125" style="261" customWidth="1"/>
    <col min="8708" max="8708" width="13.75" style="261" customWidth="1"/>
    <col min="8709" max="8709" width="14.625" style="261" customWidth="1"/>
    <col min="8710" max="8710" width="15.125" style="261" customWidth="1"/>
    <col min="8711" max="8711" width="12.25" style="261" customWidth="1"/>
    <col min="8712" max="8712" width="12.5" style="261" customWidth="1"/>
    <col min="8713" max="8713" width="12.25" style="261" customWidth="1"/>
    <col min="8714" max="8714" width="11.625" style="261" customWidth="1"/>
    <col min="8715" max="8960" width="8.875" style="261"/>
    <col min="8961" max="8961" width="19.5" style="261" customWidth="1"/>
    <col min="8962" max="8963" width="12.125" style="261" customWidth="1"/>
    <col min="8964" max="8964" width="13.75" style="261" customWidth="1"/>
    <col min="8965" max="8965" width="14.625" style="261" customWidth="1"/>
    <col min="8966" max="8966" width="15.125" style="261" customWidth="1"/>
    <col min="8967" max="8967" width="12.25" style="261" customWidth="1"/>
    <col min="8968" max="8968" width="12.5" style="261" customWidth="1"/>
    <col min="8969" max="8969" width="12.25" style="261" customWidth="1"/>
    <col min="8970" max="8970" width="11.625" style="261" customWidth="1"/>
    <col min="8971" max="9216" width="8.875" style="261"/>
    <col min="9217" max="9217" width="19.5" style="261" customWidth="1"/>
    <col min="9218" max="9219" width="12.125" style="261" customWidth="1"/>
    <col min="9220" max="9220" width="13.75" style="261" customWidth="1"/>
    <col min="9221" max="9221" width="14.625" style="261" customWidth="1"/>
    <col min="9222" max="9222" width="15.125" style="261" customWidth="1"/>
    <col min="9223" max="9223" width="12.25" style="261" customWidth="1"/>
    <col min="9224" max="9224" width="12.5" style="261" customWidth="1"/>
    <col min="9225" max="9225" width="12.25" style="261" customWidth="1"/>
    <col min="9226" max="9226" width="11.625" style="261" customWidth="1"/>
    <col min="9227" max="9472" width="8.875" style="261"/>
    <col min="9473" max="9473" width="19.5" style="261" customWidth="1"/>
    <col min="9474" max="9475" width="12.125" style="261" customWidth="1"/>
    <col min="9476" max="9476" width="13.75" style="261" customWidth="1"/>
    <col min="9477" max="9477" width="14.625" style="261" customWidth="1"/>
    <col min="9478" max="9478" width="15.125" style="261" customWidth="1"/>
    <col min="9479" max="9479" width="12.25" style="261" customWidth="1"/>
    <col min="9480" max="9480" width="12.5" style="261" customWidth="1"/>
    <col min="9481" max="9481" width="12.25" style="261" customWidth="1"/>
    <col min="9482" max="9482" width="11.625" style="261" customWidth="1"/>
    <col min="9483" max="9728" width="8.875" style="261"/>
    <col min="9729" max="9729" width="19.5" style="261" customWidth="1"/>
    <col min="9730" max="9731" width="12.125" style="261" customWidth="1"/>
    <col min="9732" max="9732" width="13.75" style="261" customWidth="1"/>
    <col min="9733" max="9733" width="14.625" style="261" customWidth="1"/>
    <col min="9734" max="9734" width="15.125" style="261" customWidth="1"/>
    <col min="9735" max="9735" width="12.25" style="261" customWidth="1"/>
    <col min="9736" max="9736" width="12.5" style="261" customWidth="1"/>
    <col min="9737" max="9737" width="12.25" style="261" customWidth="1"/>
    <col min="9738" max="9738" width="11.625" style="261" customWidth="1"/>
    <col min="9739" max="9984" width="8.875" style="261"/>
    <col min="9985" max="9985" width="19.5" style="261" customWidth="1"/>
    <col min="9986" max="9987" width="12.125" style="261" customWidth="1"/>
    <col min="9988" max="9988" width="13.75" style="261" customWidth="1"/>
    <col min="9989" max="9989" width="14.625" style="261" customWidth="1"/>
    <col min="9990" max="9990" width="15.125" style="261" customWidth="1"/>
    <col min="9991" max="9991" width="12.25" style="261" customWidth="1"/>
    <col min="9992" max="9992" width="12.5" style="261" customWidth="1"/>
    <col min="9993" max="9993" width="12.25" style="261" customWidth="1"/>
    <col min="9994" max="9994" width="11.625" style="261" customWidth="1"/>
    <col min="9995" max="10240" width="8.875" style="261"/>
    <col min="10241" max="10241" width="19.5" style="261" customWidth="1"/>
    <col min="10242" max="10243" width="12.125" style="261" customWidth="1"/>
    <col min="10244" max="10244" width="13.75" style="261" customWidth="1"/>
    <col min="10245" max="10245" width="14.625" style="261" customWidth="1"/>
    <col min="10246" max="10246" width="15.125" style="261" customWidth="1"/>
    <col min="10247" max="10247" width="12.25" style="261" customWidth="1"/>
    <col min="10248" max="10248" width="12.5" style="261" customWidth="1"/>
    <col min="10249" max="10249" width="12.25" style="261" customWidth="1"/>
    <col min="10250" max="10250" width="11.625" style="261" customWidth="1"/>
    <col min="10251" max="10496" width="8.875" style="261"/>
    <col min="10497" max="10497" width="19.5" style="261" customWidth="1"/>
    <col min="10498" max="10499" width="12.125" style="261" customWidth="1"/>
    <col min="10500" max="10500" width="13.75" style="261" customWidth="1"/>
    <col min="10501" max="10501" width="14.625" style="261" customWidth="1"/>
    <col min="10502" max="10502" width="15.125" style="261" customWidth="1"/>
    <col min="10503" max="10503" width="12.25" style="261" customWidth="1"/>
    <col min="10504" max="10504" width="12.5" style="261" customWidth="1"/>
    <col min="10505" max="10505" width="12.25" style="261" customWidth="1"/>
    <col min="10506" max="10506" width="11.625" style="261" customWidth="1"/>
    <col min="10507" max="10752" width="8.875" style="261"/>
    <col min="10753" max="10753" width="19.5" style="261" customWidth="1"/>
    <col min="10754" max="10755" width="12.125" style="261" customWidth="1"/>
    <col min="10756" max="10756" width="13.75" style="261" customWidth="1"/>
    <col min="10757" max="10757" width="14.625" style="261" customWidth="1"/>
    <col min="10758" max="10758" width="15.125" style="261" customWidth="1"/>
    <col min="10759" max="10759" width="12.25" style="261" customWidth="1"/>
    <col min="10760" max="10760" width="12.5" style="261" customWidth="1"/>
    <col min="10761" max="10761" width="12.25" style="261" customWidth="1"/>
    <col min="10762" max="10762" width="11.625" style="261" customWidth="1"/>
    <col min="10763" max="11008" width="8.875" style="261"/>
    <col min="11009" max="11009" width="19.5" style="261" customWidth="1"/>
    <col min="11010" max="11011" width="12.125" style="261" customWidth="1"/>
    <col min="11012" max="11012" width="13.75" style="261" customWidth="1"/>
    <col min="11013" max="11013" width="14.625" style="261" customWidth="1"/>
    <col min="11014" max="11014" width="15.125" style="261" customWidth="1"/>
    <col min="11015" max="11015" width="12.25" style="261" customWidth="1"/>
    <col min="11016" max="11016" width="12.5" style="261" customWidth="1"/>
    <col min="11017" max="11017" width="12.25" style="261" customWidth="1"/>
    <col min="11018" max="11018" width="11.625" style="261" customWidth="1"/>
    <col min="11019" max="11264" width="8.875" style="261"/>
    <col min="11265" max="11265" width="19.5" style="261" customWidth="1"/>
    <col min="11266" max="11267" width="12.125" style="261" customWidth="1"/>
    <col min="11268" max="11268" width="13.75" style="261" customWidth="1"/>
    <col min="11269" max="11269" width="14.625" style="261" customWidth="1"/>
    <col min="11270" max="11270" width="15.125" style="261" customWidth="1"/>
    <col min="11271" max="11271" width="12.25" style="261" customWidth="1"/>
    <col min="11272" max="11272" width="12.5" style="261" customWidth="1"/>
    <col min="11273" max="11273" width="12.25" style="261" customWidth="1"/>
    <col min="11274" max="11274" width="11.625" style="261" customWidth="1"/>
    <col min="11275" max="11520" width="8.875" style="261"/>
    <col min="11521" max="11521" width="19.5" style="261" customWidth="1"/>
    <col min="11522" max="11523" width="12.125" style="261" customWidth="1"/>
    <col min="11524" max="11524" width="13.75" style="261" customWidth="1"/>
    <col min="11525" max="11525" width="14.625" style="261" customWidth="1"/>
    <col min="11526" max="11526" width="15.125" style="261" customWidth="1"/>
    <col min="11527" max="11527" width="12.25" style="261" customWidth="1"/>
    <col min="11528" max="11528" width="12.5" style="261" customWidth="1"/>
    <col min="11529" max="11529" width="12.25" style="261" customWidth="1"/>
    <col min="11530" max="11530" width="11.625" style="261" customWidth="1"/>
    <col min="11531" max="11776" width="8.875" style="261"/>
    <col min="11777" max="11777" width="19.5" style="261" customWidth="1"/>
    <col min="11778" max="11779" width="12.125" style="261" customWidth="1"/>
    <col min="11780" max="11780" width="13.75" style="261" customWidth="1"/>
    <col min="11781" max="11781" width="14.625" style="261" customWidth="1"/>
    <col min="11782" max="11782" width="15.125" style="261" customWidth="1"/>
    <col min="11783" max="11783" width="12.25" style="261" customWidth="1"/>
    <col min="11784" max="11784" width="12.5" style="261" customWidth="1"/>
    <col min="11785" max="11785" width="12.25" style="261" customWidth="1"/>
    <col min="11786" max="11786" width="11.625" style="261" customWidth="1"/>
    <col min="11787" max="12032" width="8.875" style="261"/>
    <col min="12033" max="12033" width="19.5" style="261" customWidth="1"/>
    <col min="12034" max="12035" width="12.125" style="261" customWidth="1"/>
    <col min="12036" max="12036" width="13.75" style="261" customWidth="1"/>
    <col min="12037" max="12037" width="14.625" style="261" customWidth="1"/>
    <col min="12038" max="12038" width="15.125" style="261" customWidth="1"/>
    <col min="12039" max="12039" width="12.25" style="261" customWidth="1"/>
    <col min="12040" max="12040" width="12.5" style="261" customWidth="1"/>
    <col min="12041" max="12041" width="12.25" style="261" customWidth="1"/>
    <col min="12042" max="12042" width="11.625" style="261" customWidth="1"/>
    <col min="12043" max="12288" width="8.875" style="261"/>
    <col min="12289" max="12289" width="19.5" style="261" customWidth="1"/>
    <col min="12290" max="12291" width="12.125" style="261" customWidth="1"/>
    <col min="12292" max="12292" width="13.75" style="261" customWidth="1"/>
    <col min="12293" max="12293" width="14.625" style="261" customWidth="1"/>
    <col min="12294" max="12294" width="15.125" style="261" customWidth="1"/>
    <col min="12295" max="12295" width="12.25" style="261" customWidth="1"/>
    <col min="12296" max="12296" width="12.5" style="261" customWidth="1"/>
    <col min="12297" max="12297" width="12.25" style="261" customWidth="1"/>
    <col min="12298" max="12298" width="11.625" style="261" customWidth="1"/>
    <col min="12299" max="12544" width="8.875" style="261"/>
    <col min="12545" max="12545" width="19.5" style="261" customWidth="1"/>
    <col min="12546" max="12547" width="12.125" style="261" customWidth="1"/>
    <col min="12548" max="12548" width="13.75" style="261" customWidth="1"/>
    <col min="12549" max="12549" width="14.625" style="261" customWidth="1"/>
    <col min="12550" max="12550" width="15.125" style="261" customWidth="1"/>
    <col min="12551" max="12551" width="12.25" style="261" customWidth="1"/>
    <col min="12552" max="12552" width="12.5" style="261" customWidth="1"/>
    <col min="12553" max="12553" width="12.25" style="261" customWidth="1"/>
    <col min="12554" max="12554" width="11.625" style="261" customWidth="1"/>
    <col min="12555" max="12800" width="8.875" style="261"/>
    <col min="12801" max="12801" width="19.5" style="261" customWidth="1"/>
    <col min="12802" max="12803" width="12.125" style="261" customWidth="1"/>
    <col min="12804" max="12804" width="13.75" style="261" customWidth="1"/>
    <col min="12805" max="12805" width="14.625" style="261" customWidth="1"/>
    <col min="12806" max="12806" width="15.125" style="261" customWidth="1"/>
    <col min="12807" max="12807" width="12.25" style="261" customWidth="1"/>
    <col min="12808" max="12808" width="12.5" style="261" customWidth="1"/>
    <col min="12809" max="12809" width="12.25" style="261" customWidth="1"/>
    <col min="12810" max="12810" width="11.625" style="261" customWidth="1"/>
    <col min="12811" max="13056" width="8.875" style="261"/>
    <col min="13057" max="13057" width="19.5" style="261" customWidth="1"/>
    <col min="13058" max="13059" width="12.125" style="261" customWidth="1"/>
    <col min="13060" max="13060" width="13.75" style="261" customWidth="1"/>
    <col min="13061" max="13061" width="14.625" style="261" customWidth="1"/>
    <col min="13062" max="13062" width="15.125" style="261" customWidth="1"/>
    <col min="13063" max="13063" width="12.25" style="261" customWidth="1"/>
    <col min="13064" max="13064" width="12.5" style="261" customWidth="1"/>
    <col min="13065" max="13065" width="12.25" style="261" customWidth="1"/>
    <col min="13066" max="13066" width="11.625" style="261" customWidth="1"/>
    <col min="13067" max="13312" width="8.875" style="261"/>
    <col min="13313" max="13313" width="19.5" style="261" customWidth="1"/>
    <col min="13314" max="13315" width="12.125" style="261" customWidth="1"/>
    <col min="13316" max="13316" width="13.75" style="261" customWidth="1"/>
    <col min="13317" max="13317" width="14.625" style="261" customWidth="1"/>
    <col min="13318" max="13318" width="15.125" style="261" customWidth="1"/>
    <col min="13319" max="13319" width="12.25" style="261" customWidth="1"/>
    <col min="13320" max="13320" width="12.5" style="261" customWidth="1"/>
    <col min="13321" max="13321" width="12.25" style="261" customWidth="1"/>
    <col min="13322" max="13322" width="11.625" style="261" customWidth="1"/>
    <col min="13323" max="13568" width="8.875" style="261"/>
    <col min="13569" max="13569" width="19.5" style="261" customWidth="1"/>
    <col min="13570" max="13571" width="12.125" style="261" customWidth="1"/>
    <col min="13572" max="13572" width="13.75" style="261" customWidth="1"/>
    <col min="13573" max="13573" width="14.625" style="261" customWidth="1"/>
    <col min="13574" max="13574" width="15.125" style="261" customWidth="1"/>
    <col min="13575" max="13575" width="12.25" style="261" customWidth="1"/>
    <col min="13576" max="13576" width="12.5" style="261" customWidth="1"/>
    <col min="13577" max="13577" width="12.25" style="261" customWidth="1"/>
    <col min="13578" max="13578" width="11.625" style="261" customWidth="1"/>
    <col min="13579" max="13824" width="8.875" style="261"/>
    <col min="13825" max="13825" width="19.5" style="261" customWidth="1"/>
    <col min="13826" max="13827" width="12.125" style="261" customWidth="1"/>
    <col min="13828" max="13828" width="13.75" style="261" customWidth="1"/>
    <col min="13829" max="13829" width="14.625" style="261" customWidth="1"/>
    <col min="13830" max="13830" width="15.125" style="261" customWidth="1"/>
    <col min="13831" max="13831" width="12.25" style="261" customWidth="1"/>
    <col min="13832" max="13832" width="12.5" style="261" customWidth="1"/>
    <col min="13833" max="13833" width="12.25" style="261" customWidth="1"/>
    <col min="13834" max="13834" width="11.625" style="261" customWidth="1"/>
    <col min="13835" max="14080" width="8.875" style="261"/>
    <col min="14081" max="14081" width="19.5" style="261" customWidth="1"/>
    <col min="14082" max="14083" width="12.125" style="261" customWidth="1"/>
    <col min="14084" max="14084" width="13.75" style="261" customWidth="1"/>
    <col min="14085" max="14085" width="14.625" style="261" customWidth="1"/>
    <col min="14086" max="14086" width="15.125" style="261" customWidth="1"/>
    <col min="14087" max="14087" width="12.25" style="261" customWidth="1"/>
    <col min="14088" max="14088" width="12.5" style="261" customWidth="1"/>
    <col min="14089" max="14089" width="12.25" style="261" customWidth="1"/>
    <col min="14090" max="14090" width="11.625" style="261" customWidth="1"/>
    <col min="14091" max="14336" width="8.875" style="261"/>
    <col min="14337" max="14337" width="19.5" style="261" customWidth="1"/>
    <col min="14338" max="14339" width="12.125" style="261" customWidth="1"/>
    <col min="14340" max="14340" width="13.75" style="261" customWidth="1"/>
    <col min="14341" max="14341" width="14.625" style="261" customWidth="1"/>
    <col min="14342" max="14342" width="15.125" style="261" customWidth="1"/>
    <col min="14343" max="14343" width="12.25" style="261" customWidth="1"/>
    <col min="14344" max="14344" width="12.5" style="261" customWidth="1"/>
    <col min="14345" max="14345" width="12.25" style="261" customWidth="1"/>
    <col min="14346" max="14346" width="11.625" style="261" customWidth="1"/>
    <col min="14347" max="14592" width="8.875" style="261"/>
    <col min="14593" max="14593" width="19.5" style="261" customWidth="1"/>
    <col min="14594" max="14595" width="12.125" style="261" customWidth="1"/>
    <col min="14596" max="14596" width="13.75" style="261" customWidth="1"/>
    <col min="14597" max="14597" width="14.625" style="261" customWidth="1"/>
    <col min="14598" max="14598" width="15.125" style="261" customWidth="1"/>
    <col min="14599" max="14599" width="12.25" style="261" customWidth="1"/>
    <col min="14600" max="14600" width="12.5" style="261" customWidth="1"/>
    <col min="14601" max="14601" width="12.25" style="261" customWidth="1"/>
    <col min="14602" max="14602" width="11.625" style="261" customWidth="1"/>
    <col min="14603" max="14848" width="8.875" style="261"/>
    <col min="14849" max="14849" width="19.5" style="261" customWidth="1"/>
    <col min="14850" max="14851" width="12.125" style="261" customWidth="1"/>
    <col min="14852" max="14852" width="13.75" style="261" customWidth="1"/>
    <col min="14853" max="14853" width="14.625" style="261" customWidth="1"/>
    <col min="14854" max="14854" width="15.125" style="261" customWidth="1"/>
    <col min="14855" max="14855" width="12.25" style="261" customWidth="1"/>
    <col min="14856" max="14856" width="12.5" style="261" customWidth="1"/>
    <col min="14857" max="14857" width="12.25" style="261" customWidth="1"/>
    <col min="14858" max="14858" width="11.625" style="261" customWidth="1"/>
    <col min="14859" max="15104" width="8.875" style="261"/>
    <col min="15105" max="15105" width="19.5" style="261" customWidth="1"/>
    <col min="15106" max="15107" width="12.125" style="261" customWidth="1"/>
    <col min="15108" max="15108" width="13.75" style="261" customWidth="1"/>
    <col min="15109" max="15109" width="14.625" style="261" customWidth="1"/>
    <col min="15110" max="15110" width="15.125" style="261" customWidth="1"/>
    <col min="15111" max="15111" width="12.25" style="261" customWidth="1"/>
    <col min="15112" max="15112" width="12.5" style="261" customWidth="1"/>
    <col min="15113" max="15113" width="12.25" style="261" customWidth="1"/>
    <col min="15114" max="15114" width="11.625" style="261" customWidth="1"/>
    <col min="15115" max="15360" width="8.875" style="261"/>
    <col min="15361" max="15361" width="19.5" style="261" customWidth="1"/>
    <col min="15362" max="15363" width="12.125" style="261" customWidth="1"/>
    <col min="15364" max="15364" width="13.75" style="261" customWidth="1"/>
    <col min="15365" max="15365" width="14.625" style="261" customWidth="1"/>
    <col min="15366" max="15366" width="15.125" style="261" customWidth="1"/>
    <col min="15367" max="15367" width="12.25" style="261" customWidth="1"/>
    <col min="15368" max="15368" width="12.5" style="261" customWidth="1"/>
    <col min="15369" max="15369" width="12.25" style="261" customWidth="1"/>
    <col min="15370" max="15370" width="11.625" style="261" customWidth="1"/>
    <col min="15371" max="15616" width="8.875" style="261"/>
    <col min="15617" max="15617" width="19.5" style="261" customWidth="1"/>
    <col min="15618" max="15619" width="12.125" style="261" customWidth="1"/>
    <col min="15620" max="15620" width="13.75" style="261" customWidth="1"/>
    <col min="15621" max="15621" width="14.625" style="261" customWidth="1"/>
    <col min="15622" max="15622" width="15.125" style="261" customWidth="1"/>
    <col min="15623" max="15623" width="12.25" style="261" customWidth="1"/>
    <col min="15624" max="15624" width="12.5" style="261" customWidth="1"/>
    <col min="15625" max="15625" width="12.25" style="261" customWidth="1"/>
    <col min="15626" max="15626" width="11.625" style="261" customWidth="1"/>
    <col min="15627" max="15872" width="8.875" style="261"/>
    <col min="15873" max="15873" width="19.5" style="261" customWidth="1"/>
    <col min="15874" max="15875" width="12.125" style="261" customWidth="1"/>
    <col min="15876" max="15876" width="13.75" style="261" customWidth="1"/>
    <col min="15877" max="15877" width="14.625" style="261" customWidth="1"/>
    <col min="15878" max="15878" width="15.125" style="261" customWidth="1"/>
    <col min="15879" max="15879" width="12.25" style="261" customWidth="1"/>
    <col min="15880" max="15880" width="12.5" style="261" customWidth="1"/>
    <col min="15881" max="15881" width="12.25" style="261" customWidth="1"/>
    <col min="15882" max="15882" width="11.625" style="261" customWidth="1"/>
    <col min="15883" max="16128" width="8.875" style="261"/>
    <col min="16129" max="16129" width="19.5" style="261" customWidth="1"/>
    <col min="16130" max="16131" width="12.125" style="261" customWidth="1"/>
    <col min="16132" max="16132" width="13.75" style="261" customWidth="1"/>
    <col min="16133" max="16133" width="14.625" style="261" customWidth="1"/>
    <col min="16134" max="16134" width="15.125" style="261" customWidth="1"/>
    <col min="16135" max="16135" width="12.25" style="261" customWidth="1"/>
    <col min="16136" max="16136" width="12.5" style="261" customWidth="1"/>
    <col min="16137" max="16137" width="12.25" style="261" customWidth="1"/>
    <col min="16138" max="16138" width="11.625" style="261" customWidth="1"/>
    <col min="16139" max="16384" width="8.875" style="261"/>
  </cols>
  <sheetData>
    <row r="1" spans="1:10" ht="19.5">
      <c r="A1" s="256" t="s">
        <v>498</v>
      </c>
      <c r="B1" s="257"/>
      <c r="C1" s="258"/>
      <c r="D1" s="259"/>
      <c r="E1" s="257"/>
      <c r="F1" s="258"/>
      <c r="G1" s="260"/>
    </row>
    <row r="2" spans="1:10" ht="6.75" customHeight="1">
      <c r="G2" s="264"/>
    </row>
    <row r="3" spans="1:10" ht="17.25">
      <c r="A3" s="265" t="s">
        <v>151</v>
      </c>
      <c r="B3" s="266"/>
      <c r="C3" s="266"/>
      <c r="D3" s="266"/>
      <c r="E3" s="267"/>
      <c r="F3" s="267"/>
      <c r="G3" s="267"/>
      <c r="H3" s="267"/>
      <c r="I3" s="267"/>
      <c r="J3" s="268"/>
    </row>
    <row r="4" spans="1:10" ht="17.25">
      <c r="A4" s="269" t="s">
        <v>152</v>
      </c>
      <c r="B4" s="270"/>
      <c r="C4" s="270"/>
      <c r="D4" s="270"/>
      <c r="E4" s="271"/>
      <c r="F4" s="271"/>
      <c r="G4" s="271"/>
      <c r="H4" s="271"/>
      <c r="I4" s="271"/>
      <c r="J4" s="272"/>
    </row>
    <row r="5" spans="1:10">
      <c r="A5" s="67" t="s">
        <v>499</v>
      </c>
      <c r="B5" s="8" t="s">
        <v>455</v>
      </c>
      <c r="C5" s="68" t="s">
        <v>464</v>
      </c>
      <c r="D5" s="69" t="s">
        <v>153</v>
      </c>
      <c r="E5" s="8" t="s">
        <v>455</v>
      </c>
      <c r="F5" s="68" t="s">
        <v>464</v>
      </c>
      <c r="G5" s="71" t="s">
        <v>154</v>
      </c>
      <c r="H5" s="8" t="s">
        <v>455</v>
      </c>
      <c r="I5" s="68" t="s">
        <v>456</v>
      </c>
      <c r="J5" s="198" t="s">
        <v>35</v>
      </c>
    </row>
    <row r="6" spans="1:10">
      <c r="A6" s="274"/>
      <c r="B6" s="273" t="s">
        <v>31</v>
      </c>
      <c r="C6" s="472" t="s">
        <v>31</v>
      </c>
      <c r="D6" s="476" t="s">
        <v>1</v>
      </c>
      <c r="E6" s="275" t="s">
        <v>32</v>
      </c>
      <c r="F6" s="477" t="s">
        <v>32</v>
      </c>
      <c r="G6" s="476" t="s">
        <v>1</v>
      </c>
      <c r="H6" s="276" t="s">
        <v>34</v>
      </c>
      <c r="I6" s="479" t="s">
        <v>412</v>
      </c>
      <c r="J6" s="476" t="s">
        <v>1</v>
      </c>
    </row>
    <row r="7" spans="1:10">
      <c r="A7" s="277" t="s">
        <v>4</v>
      </c>
      <c r="B7" s="278"/>
      <c r="C7" s="78"/>
      <c r="D7" s="201"/>
      <c r="E7" s="279"/>
      <c r="F7" s="78"/>
      <c r="G7" s="478"/>
      <c r="H7" s="280"/>
      <c r="I7" s="81"/>
      <c r="J7" s="202"/>
    </row>
    <row r="8" spans="1:10">
      <c r="A8" s="277" t="s">
        <v>5</v>
      </c>
      <c r="B8" s="281">
        <f>SUM(B9:B11)</f>
        <v>45249</v>
      </c>
      <c r="C8" s="473">
        <v>48631</v>
      </c>
      <c r="D8" s="484">
        <f>IF(C8,(B8-C8)/C8,0)</f>
        <v>-6.9544117949456113E-2</v>
      </c>
      <c r="E8" s="282">
        <f>SUM(E9:E11)</f>
        <v>101338144</v>
      </c>
      <c r="F8" s="82">
        <v>99693387</v>
      </c>
      <c r="G8" s="483">
        <f>IF(F8,(E8-F8)/F8,0)</f>
        <v>1.6498155489490993E-2</v>
      </c>
      <c r="H8" s="84">
        <f>IF(B8,E8/B8,0)</f>
        <v>2239.5664876571859</v>
      </c>
      <c r="I8" s="85">
        <f>IF(C8,F8/C8,0)</f>
        <v>2049.9966482284963</v>
      </c>
      <c r="J8" s="485">
        <f t="shared" ref="J8:J64" si="0">IF(I8,(H8-I8)/I8,0)</f>
        <v>9.247324359896214E-2</v>
      </c>
    </row>
    <row r="9" spans="1:10">
      <c r="A9" s="283" t="s">
        <v>158</v>
      </c>
      <c r="B9" s="284">
        <f>電輔車!E9</f>
        <v>41371</v>
      </c>
      <c r="C9" s="86">
        <v>42107</v>
      </c>
      <c r="D9" s="484">
        <f t="shared" ref="D9:D64" si="1">IF(C9,(B9-C9)/C9,0)</f>
        <v>-1.7479278979742087E-2</v>
      </c>
      <c r="E9" s="285">
        <f>電輔車!G9</f>
        <v>92174898</v>
      </c>
      <c r="F9" s="87">
        <v>87173025</v>
      </c>
      <c r="G9" s="483">
        <f t="shared" ref="G9:G64" si="2">IF(F9,(E9-F9)/F9,0)</f>
        <v>5.737867878280007E-2</v>
      </c>
      <c r="H9" s="84">
        <f t="shared" ref="H9:H11" si="3">IF(B9,E9/B9,0)</f>
        <v>2228.0074931715453</v>
      </c>
      <c r="I9" s="85">
        <f t="shared" ref="I9:I11" si="4">IF(C9,F9/C9,0)</f>
        <v>2070.2739449497708</v>
      </c>
      <c r="J9" s="485">
        <f t="shared" si="0"/>
        <v>7.6189698762596111E-2</v>
      </c>
    </row>
    <row r="10" spans="1:10">
      <c r="A10" s="286" t="s">
        <v>6</v>
      </c>
      <c r="B10" s="284">
        <f>電輔車!E10</f>
        <v>3028</v>
      </c>
      <c r="C10" s="86">
        <v>6194</v>
      </c>
      <c r="D10" s="484">
        <f t="shared" si="1"/>
        <v>-0.51113981272198905</v>
      </c>
      <c r="E10" s="285">
        <f>電輔車!G10</f>
        <v>6558601</v>
      </c>
      <c r="F10" s="87">
        <v>11921943</v>
      </c>
      <c r="G10" s="483">
        <f t="shared" si="2"/>
        <v>-0.4498714680987822</v>
      </c>
      <c r="H10" s="84">
        <f t="shared" si="3"/>
        <v>2165.9844782034347</v>
      </c>
      <c r="I10" s="85">
        <f t="shared" si="4"/>
        <v>1924.7567000322892</v>
      </c>
      <c r="J10" s="485">
        <f t="shared" si="0"/>
        <v>0.12532897179529168</v>
      </c>
    </row>
    <row r="11" spans="1:10">
      <c r="A11" s="286" t="s">
        <v>7</v>
      </c>
      <c r="B11" s="284">
        <f>電輔車!E11</f>
        <v>850</v>
      </c>
      <c r="C11" s="86">
        <v>330</v>
      </c>
      <c r="D11" s="484">
        <f t="shared" si="1"/>
        <v>1.5757575757575757</v>
      </c>
      <c r="E11" s="285">
        <f>電輔車!G11</f>
        <v>2604645</v>
      </c>
      <c r="F11" s="87">
        <v>598419</v>
      </c>
      <c r="G11" s="483">
        <f t="shared" si="2"/>
        <v>3.3525439533169901</v>
      </c>
      <c r="H11" s="84">
        <f t="shared" si="3"/>
        <v>3064.2882352941178</v>
      </c>
      <c r="I11" s="85">
        <f t="shared" si="4"/>
        <v>1813.3909090909092</v>
      </c>
      <c r="J11" s="485">
        <f t="shared" si="0"/>
        <v>0.68981118187600798</v>
      </c>
    </row>
    <row r="12" spans="1:10">
      <c r="A12" s="286"/>
      <c r="B12" s="284"/>
      <c r="C12" s="474"/>
      <c r="D12" s="484"/>
      <c r="E12" s="285"/>
      <c r="F12" s="87"/>
      <c r="G12" s="483"/>
      <c r="H12" s="84"/>
      <c r="I12" s="85"/>
      <c r="J12" s="485"/>
    </row>
    <row r="13" spans="1:10">
      <c r="A13" s="287" t="s">
        <v>8</v>
      </c>
      <c r="B13" s="288">
        <f>SUM(B14:B40)</f>
        <v>78910</v>
      </c>
      <c r="C13" s="475">
        <v>88586</v>
      </c>
      <c r="D13" s="484">
        <f t="shared" si="1"/>
        <v>-0.10922719165556634</v>
      </c>
      <c r="E13" s="288">
        <f>SUM(E14:E40)</f>
        <v>144248270</v>
      </c>
      <c r="F13" s="88">
        <v>147259940</v>
      </c>
      <c r="G13" s="483">
        <f t="shared" si="2"/>
        <v>-2.0451386846959192E-2</v>
      </c>
      <c r="H13" s="84">
        <f t="shared" ref="H13:H18" si="5">IF(B13,E13/B13,0)</f>
        <v>1828.0100114053985</v>
      </c>
      <c r="I13" s="85">
        <f t="shared" ref="I13:I18" si="6">IF(C13,F13/C13,0)</f>
        <v>1662.3387442711037</v>
      </c>
      <c r="J13" s="485">
        <f t="shared" si="0"/>
        <v>9.9661556770691606E-2</v>
      </c>
    </row>
    <row r="14" spans="1:10">
      <c r="A14" s="430" t="s">
        <v>243</v>
      </c>
      <c r="B14" s="285">
        <f>電輔車!E14</f>
        <v>48703</v>
      </c>
      <c r="C14" s="86">
        <v>51099</v>
      </c>
      <c r="D14" s="484">
        <f t="shared" si="1"/>
        <v>-4.6889371611968926E-2</v>
      </c>
      <c r="E14" s="285">
        <f>電輔車!G14</f>
        <v>94777593</v>
      </c>
      <c r="F14" s="87">
        <v>87854851</v>
      </c>
      <c r="G14" s="483">
        <f t="shared" si="2"/>
        <v>7.8797492923868256E-2</v>
      </c>
      <c r="H14" s="84">
        <f t="shared" si="5"/>
        <v>1946.0319282179742</v>
      </c>
      <c r="I14" s="85">
        <f t="shared" si="6"/>
        <v>1719.306659621519</v>
      </c>
      <c r="J14" s="485">
        <f t="shared" si="0"/>
        <v>0.1318701741354073</v>
      </c>
    </row>
    <row r="15" spans="1:10">
      <c r="A15" s="430" t="s">
        <v>244</v>
      </c>
      <c r="B15" s="285">
        <f>電輔車!E15</f>
        <v>15454</v>
      </c>
      <c r="C15" s="86">
        <v>14769</v>
      </c>
      <c r="D15" s="484">
        <f t="shared" si="1"/>
        <v>4.6380933035412013E-2</v>
      </c>
      <c r="E15" s="285">
        <f>電輔車!G15</f>
        <v>22463870</v>
      </c>
      <c r="F15" s="87">
        <v>21416059</v>
      </c>
      <c r="G15" s="483">
        <f t="shared" si="2"/>
        <v>4.892641545300188E-2</v>
      </c>
      <c r="H15" s="84">
        <f t="shared" si="5"/>
        <v>1453.5958327940987</v>
      </c>
      <c r="I15" s="85">
        <f t="shared" si="6"/>
        <v>1450.0683187758143</v>
      </c>
      <c r="J15" s="485">
        <f t="shared" si="0"/>
        <v>2.4326536705955924E-3</v>
      </c>
    </row>
    <row r="16" spans="1:10">
      <c r="A16" s="431" t="s">
        <v>9</v>
      </c>
      <c r="B16" s="285">
        <f>電輔車!E16</f>
        <v>3806</v>
      </c>
      <c r="C16" s="86">
        <v>2846</v>
      </c>
      <c r="D16" s="484">
        <f t="shared" si="1"/>
        <v>0.33731553056921998</v>
      </c>
      <c r="E16" s="285">
        <f>電輔車!G16</f>
        <v>8737930</v>
      </c>
      <c r="F16" s="87">
        <v>5819373</v>
      </c>
      <c r="G16" s="483">
        <f t="shared" si="2"/>
        <v>0.50152430510984602</v>
      </c>
      <c r="H16" s="84">
        <f t="shared" si="5"/>
        <v>2295.8302679978979</v>
      </c>
      <c r="I16" s="85">
        <f t="shared" si="6"/>
        <v>2044.7550948699929</v>
      </c>
      <c r="J16" s="485">
        <f t="shared" si="0"/>
        <v>0.12278985085197622</v>
      </c>
    </row>
    <row r="17" spans="1:10">
      <c r="A17" s="430" t="s">
        <v>245</v>
      </c>
      <c r="B17" s="285">
        <f>電輔車!E17</f>
        <v>3188</v>
      </c>
      <c r="C17" s="86">
        <v>3570</v>
      </c>
      <c r="D17" s="484">
        <f t="shared" si="1"/>
        <v>-0.10700280112044817</v>
      </c>
      <c r="E17" s="285">
        <f>電輔車!G17</f>
        <v>4406085</v>
      </c>
      <c r="F17" s="87">
        <v>4725715</v>
      </c>
      <c r="G17" s="483">
        <f t="shared" si="2"/>
        <v>-6.7636325931631505E-2</v>
      </c>
      <c r="H17" s="84">
        <f t="shared" si="5"/>
        <v>1382.0843789209537</v>
      </c>
      <c r="I17" s="85">
        <f t="shared" si="6"/>
        <v>1323.7296918767506</v>
      </c>
      <c r="J17" s="485">
        <f t="shared" si="0"/>
        <v>4.4083537146824323E-2</v>
      </c>
    </row>
    <row r="18" spans="1:10">
      <c r="A18" s="431" t="s">
        <v>10</v>
      </c>
      <c r="B18" s="285">
        <f>電輔車!E18</f>
        <v>3611</v>
      </c>
      <c r="C18" s="86">
        <v>3306</v>
      </c>
      <c r="D18" s="484">
        <f t="shared" si="1"/>
        <v>9.2256503327283731E-2</v>
      </c>
      <c r="E18" s="285">
        <f>電輔車!G18</f>
        <v>9224893</v>
      </c>
      <c r="F18" s="87">
        <v>7325004</v>
      </c>
      <c r="G18" s="483">
        <f t="shared" si="2"/>
        <v>0.2593703703096954</v>
      </c>
      <c r="H18" s="84">
        <f t="shared" si="5"/>
        <v>2554.6643589033511</v>
      </c>
      <c r="I18" s="85">
        <f t="shared" si="6"/>
        <v>2215.6696914700547</v>
      </c>
      <c r="J18" s="485">
        <f t="shared" si="0"/>
        <v>0.15299873836717057</v>
      </c>
    </row>
    <row r="19" spans="1:10">
      <c r="A19" s="431" t="s">
        <v>11</v>
      </c>
      <c r="B19" s="285">
        <f>電輔車!E19</f>
        <v>457</v>
      </c>
      <c r="C19" s="86">
        <v>537</v>
      </c>
      <c r="D19" s="484">
        <f t="shared" si="1"/>
        <v>-0.148975791433892</v>
      </c>
      <c r="E19" s="285">
        <f>電輔車!G19</f>
        <v>996904</v>
      </c>
      <c r="F19" s="87">
        <v>1167370</v>
      </c>
      <c r="G19" s="483">
        <f t="shared" si="2"/>
        <v>-0.14602568166048469</v>
      </c>
      <c r="H19" s="84">
        <f>IF(B19,E19/B19,0)</f>
        <v>2181.4091903719914</v>
      </c>
      <c r="I19" s="85">
        <f>IF(C19,F19/C19,0)</f>
        <v>2173.8733705772811</v>
      </c>
      <c r="J19" s="485">
        <f t="shared" si="0"/>
        <v>3.4665403683146042E-3</v>
      </c>
    </row>
    <row r="20" spans="1:10">
      <c r="A20" s="430" t="s">
        <v>247</v>
      </c>
      <c r="B20" s="285">
        <f>電輔車!E20</f>
        <v>363</v>
      </c>
      <c r="C20" s="86">
        <v>1075</v>
      </c>
      <c r="D20" s="484">
        <f t="shared" si="1"/>
        <v>-0.66232558139534881</v>
      </c>
      <c r="E20" s="285">
        <f>電輔車!G20</f>
        <v>693899</v>
      </c>
      <c r="F20" s="87">
        <v>1896023</v>
      </c>
      <c r="G20" s="483">
        <f t="shared" si="2"/>
        <v>-0.63402395435076475</v>
      </c>
      <c r="H20" s="84">
        <f t="shared" ref="H20:H33" si="7">IF(B20,E20/B20,0)</f>
        <v>1911.5674931129477</v>
      </c>
      <c r="I20" s="85">
        <f t="shared" ref="I20:I33" si="8">IF(C20,F20/C20,0)</f>
        <v>1763.7423255813953</v>
      </c>
      <c r="J20" s="485">
        <f t="shared" si="0"/>
        <v>8.3813358327625112E-2</v>
      </c>
    </row>
    <row r="21" spans="1:10">
      <c r="A21" s="431" t="s">
        <v>12</v>
      </c>
      <c r="B21" s="285">
        <f>電輔車!E21</f>
        <v>0</v>
      </c>
      <c r="C21" s="86">
        <v>6</v>
      </c>
      <c r="D21" s="484">
        <f t="shared" si="1"/>
        <v>-1</v>
      </c>
      <c r="E21" s="285">
        <f>電輔車!G21</f>
        <v>0</v>
      </c>
      <c r="F21" s="87">
        <v>4239</v>
      </c>
      <c r="G21" s="483">
        <f t="shared" si="2"/>
        <v>-1</v>
      </c>
      <c r="H21" s="84">
        <f t="shared" si="7"/>
        <v>0</v>
      </c>
      <c r="I21" s="85">
        <f t="shared" si="8"/>
        <v>706.5</v>
      </c>
      <c r="J21" s="485">
        <f t="shared" si="0"/>
        <v>-1</v>
      </c>
    </row>
    <row r="22" spans="1:10">
      <c r="A22" s="430" t="s">
        <v>248</v>
      </c>
      <c r="B22" s="285">
        <f>電輔車!E22</f>
        <v>0</v>
      </c>
      <c r="C22" s="86">
        <v>0</v>
      </c>
      <c r="D22" s="484">
        <f t="shared" si="1"/>
        <v>0</v>
      </c>
      <c r="E22" s="285">
        <f>電輔車!G22</f>
        <v>0</v>
      </c>
      <c r="F22" s="87">
        <v>0</v>
      </c>
      <c r="G22" s="483">
        <f t="shared" si="2"/>
        <v>0</v>
      </c>
      <c r="H22" s="84">
        <f t="shared" si="7"/>
        <v>0</v>
      </c>
      <c r="I22" s="85">
        <f t="shared" si="8"/>
        <v>0</v>
      </c>
      <c r="J22" s="485">
        <f t="shared" si="0"/>
        <v>0</v>
      </c>
    </row>
    <row r="23" spans="1:10">
      <c r="A23" s="431" t="s">
        <v>13</v>
      </c>
      <c r="B23" s="285">
        <f>電輔車!E23</f>
        <v>0</v>
      </c>
      <c r="C23" s="86">
        <v>0</v>
      </c>
      <c r="D23" s="484">
        <f t="shared" si="1"/>
        <v>0</v>
      </c>
      <c r="E23" s="285">
        <f>電輔車!G23</f>
        <v>0</v>
      </c>
      <c r="F23" s="87">
        <v>0</v>
      </c>
      <c r="G23" s="483">
        <f t="shared" si="2"/>
        <v>0</v>
      </c>
      <c r="H23" s="84">
        <f t="shared" si="7"/>
        <v>0</v>
      </c>
      <c r="I23" s="85">
        <f t="shared" si="8"/>
        <v>0</v>
      </c>
      <c r="J23" s="485">
        <f t="shared" si="0"/>
        <v>0</v>
      </c>
    </row>
    <row r="24" spans="1:10">
      <c r="A24" s="431" t="s">
        <v>14</v>
      </c>
      <c r="B24" s="285">
        <f>電輔車!E24</f>
        <v>0</v>
      </c>
      <c r="C24" s="86">
        <v>0</v>
      </c>
      <c r="D24" s="484">
        <f t="shared" si="1"/>
        <v>0</v>
      </c>
      <c r="E24" s="285">
        <f>電輔車!G24</f>
        <v>0</v>
      </c>
      <c r="F24" s="87">
        <v>0</v>
      </c>
      <c r="G24" s="483">
        <f t="shared" si="2"/>
        <v>0</v>
      </c>
      <c r="H24" s="84">
        <f t="shared" si="7"/>
        <v>0</v>
      </c>
      <c r="I24" s="85">
        <f t="shared" si="8"/>
        <v>0</v>
      </c>
      <c r="J24" s="485">
        <f t="shared" si="0"/>
        <v>0</v>
      </c>
    </row>
    <row r="25" spans="1:10">
      <c r="A25" s="431" t="s">
        <v>15</v>
      </c>
      <c r="B25" s="285">
        <f>電輔車!E25</f>
        <v>2</v>
      </c>
      <c r="C25" s="86">
        <v>78</v>
      </c>
      <c r="D25" s="484">
        <f t="shared" si="1"/>
        <v>-0.97435897435897434</v>
      </c>
      <c r="E25" s="285">
        <f>電輔車!G25</f>
        <v>9395</v>
      </c>
      <c r="F25" s="87">
        <v>289231</v>
      </c>
      <c r="G25" s="483">
        <f t="shared" si="2"/>
        <v>-0.96751731315107992</v>
      </c>
      <c r="H25" s="84">
        <f t="shared" si="7"/>
        <v>4697.5</v>
      </c>
      <c r="I25" s="85">
        <f t="shared" si="8"/>
        <v>3708.0897435897436</v>
      </c>
      <c r="J25" s="485">
        <f t="shared" si="0"/>
        <v>0.2668247871078826</v>
      </c>
    </row>
    <row r="26" spans="1:10">
      <c r="A26" s="430" t="s">
        <v>251</v>
      </c>
      <c r="B26" s="285">
        <f>電輔車!E26</f>
        <v>2170</v>
      </c>
      <c r="C26" s="86">
        <v>2260</v>
      </c>
      <c r="D26" s="484">
        <f t="shared" si="1"/>
        <v>-3.9823008849557522E-2</v>
      </c>
      <c r="E26" s="285">
        <f>電輔車!G26</f>
        <v>864024</v>
      </c>
      <c r="F26" s="87">
        <v>908286</v>
      </c>
      <c r="G26" s="483">
        <f t="shared" si="2"/>
        <v>-4.8731346734398634E-2</v>
      </c>
      <c r="H26" s="84">
        <f t="shared" si="7"/>
        <v>398.16774193548389</v>
      </c>
      <c r="I26" s="85">
        <f t="shared" si="8"/>
        <v>401.89646017699113</v>
      </c>
      <c r="J26" s="485">
        <f t="shared" si="0"/>
        <v>-9.2778081196961733E-3</v>
      </c>
    </row>
    <row r="27" spans="1:10">
      <c r="A27" s="430" t="s">
        <v>253</v>
      </c>
      <c r="B27" s="285">
        <f>電輔車!E27</f>
        <v>200</v>
      </c>
      <c r="C27" s="86">
        <v>405</v>
      </c>
      <c r="D27" s="484">
        <f t="shared" si="1"/>
        <v>-0.50617283950617287</v>
      </c>
      <c r="E27" s="285">
        <f>電輔車!G27</f>
        <v>456995</v>
      </c>
      <c r="F27" s="87">
        <v>601583</v>
      </c>
      <c r="G27" s="483">
        <f t="shared" si="2"/>
        <v>-0.2403458874336542</v>
      </c>
      <c r="H27" s="84">
        <f t="shared" si="7"/>
        <v>2284.9749999999999</v>
      </c>
      <c r="I27" s="85">
        <f t="shared" si="8"/>
        <v>1485.3901234567902</v>
      </c>
      <c r="J27" s="485">
        <f t="shared" si="0"/>
        <v>0.53829957794685013</v>
      </c>
    </row>
    <row r="28" spans="1:10">
      <c r="A28" s="431" t="s">
        <v>254</v>
      </c>
      <c r="B28" s="285">
        <f>電輔車!E28</f>
        <v>367</v>
      </c>
      <c r="C28" s="86">
        <v>237</v>
      </c>
      <c r="D28" s="484">
        <f t="shared" si="1"/>
        <v>0.54852320675105481</v>
      </c>
      <c r="E28" s="285">
        <f>電輔車!G28</f>
        <v>817135</v>
      </c>
      <c r="F28" s="87">
        <v>436139</v>
      </c>
      <c r="G28" s="483">
        <f t="shared" si="2"/>
        <v>0.8735655375923731</v>
      </c>
      <c r="H28" s="84">
        <f t="shared" si="7"/>
        <v>2226.525885558583</v>
      </c>
      <c r="I28" s="85">
        <f t="shared" si="8"/>
        <v>1840.2489451476793</v>
      </c>
      <c r="J28" s="485">
        <f t="shared" si="0"/>
        <v>0.20990472046155972</v>
      </c>
    </row>
    <row r="29" spans="1:10">
      <c r="A29" s="441" t="s">
        <v>255</v>
      </c>
      <c r="B29" s="285">
        <f>電輔車!E29</f>
        <v>494</v>
      </c>
      <c r="C29" s="86">
        <v>1265</v>
      </c>
      <c r="D29" s="484">
        <f t="shared" si="1"/>
        <v>-0.60948616600790517</v>
      </c>
      <c r="E29" s="285">
        <f>電輔車!G29</f>
        <v>637356</v>
      </c>
      <c r="F29" s="87">
        <v>947312</v>
      </c>
      <c r="G29" s="483">
        <f t="shared" si="2"/>
        <v>-0.3271952640735048</v>
      </c>
      <c r="H29" s="84">
        <f t="shared" si="7"/>
        <v>1290.1943319838056</v>
      </c>
      <c r="I29" s="85">
        <f t="shared" si="8"/>
        <v>748.86324110671933</v>
      </c>
      <c r="J29" s="485">
        <f t="shared" si="0"/>
        <v>0.72287042701825177</v>
      </c>
    </row>
    <row r="30" spans="1:10">
      <c r="A30" s="441" t="s">
        <v>256</v>
      </c>
      <c r="B30" s="285">
        <f>電輔車!E30</f>
        <v>95</v>
      </c>
      <c r="C30" s="86">
        <v>150</v>
      </c>
      <c r="D30" s="484">
        <f t="shared" si="1"/>
        <v>-0.36666666666666664</v>
      </c>
      <c r="E30" s="285">
        <f>電輔車!G30</f>
        <v>162191</v>
      </c>
      <c r="F30" s="87">
        <v>265707</v>
      </c>
      <c r="G30" s="483">
        <f t="shared" si="2"/>
        <v>-0.3895870263109365</v>
      </c>
      <c r="H30" s="84">
        <f t="shared" si="7"/>
        <v>1707.2736842105264</v>
      </c>
      <c r="I30" s="85">
        <f t="shared" si="8"/>
        <v>1771.38</v>
      </c>
      <c r="J30" s="485">
        <f t="shared" si="0"/>
        <v>-3.619004154358392E-2</v>
      </c>
    </row>
    <row r="31" spans="1:10">
      <c r="A31" s="441" t="s">
        <v>257</v>
      </c>
      <c r="B31" s="285">
        <f>電輔車!E31</f>
        <v>0</v>
      </c>
      <c r="C31" s="86">
        <v>0</v>
      </c>
      <c r="D31" s="484">
        <f t="shared" si="1"/>
        <v>0</v>
      </c>
      <c r="E31" s="285">
        <f>電輔車!G31</f>
        <v>0</v>
      </c>
      <c r="F31" s="87">
        <v>0</v>
      </c>
      <c r="G31" s="483">
        <f t="shared" si="2"/>
        <v>0</v>
      </c>
      <c r="H31" s="84">
        <f t="shared" si="7"/>
        <v>0</v>
      </c>
      <c r="I31" s="85">
        <f t="shared" si="8"/>
        <v>0</v>
      </c>
      <c r="J31" s="485">
        <f t="shared" si="0"/>
        <v>0</v>
      </c>
    </row>
    <row r="32" spans="1:10">
      <c r="A32" s="441" t="s">
        <v>259</v>
      </c>
      <c r="B32" s="285">
        <f>電輔車!E32</f>
        <v>0</v>
      </c>
      <c r="C32" s="86">
        <v>0</v>
      </c>
      <c r="D32" s="484">
        <f t="shared" si="1"/>
        <v>0</v>
      </c>
      <c r="E32" s="285">
        <f>電輔車!G32</f>
        <v>0</v>
      </c>
      <c r="F32" s="87">
        <v>0</v>
      </c>
      <c r="G32" s="483">
        <f t="shared" si="2"/>
        <v>0</v>
      </c>
      <c r="H32" s="84">
        <f t="shared" si="7"/>
        <v>0</v>
      </c>
      <c r="I32" s="85">
        <f t="shared" si="8"/>
        <v>0</v>
      </c>
      <c r="J32" s="485">
        <f t="shared" si="0"/>
        <v>0</v>
      </c>
    </row>
    <row r="33" spans="1:10">
      <c r="A33" s="441" t="s">
        <v>261</v>
      </c>
      <c r="B33" s="285">
        <f>電輔車!E33</f>
        <v>0</v>
      </c>
      <c r="C33" s="86">
        <v>0</v>
      </c>
      <c r="D33" s="484">
        <f t="shared" si="1"/>
        <v>0</v>
      </c>
      <c r="E33" s="285">
        <f>電輔車!G33</f>
        <v>0</v>
      </c>
      <c r="F33" s="87">
        <v>0</v>
      </c>
      <c r="G33" s="483">
        <f t="shared" si="2"/>
        <v>0</v>
      </c>
      <c r="H33" s="84">
        <f t="shared" si="7"/>
        <v>0</v>
      </c>
      <c r="I33" s="85">
        <f t="shared" si="8"/>
        <v>0</v>
      </c>
      <c r="J33" s="485">
        <f t="shared" si="0"/>
        <v>0</v>
      </c>
    </row>
    <row r="34" spans="1:10">
      <c r="A34" s="441" t="s">
        <v>262</v>
      </c>
      <c r="B34" s="285">
        <f>電輔車!E34</f>
        <v>0</v>
      </c>
      <c r="C34" s="86">
        <v>0</v>
      </c>
      <c r="D34" s="484">
        <f t="shared" si="1"/>
        <v>0</v>
      </c>
      <c r="E34" s="285">
        <f>電輔車!G34</f>
        <v>0</v>
      </c>
      <c r="F34" s="87">
        <v>0</v>
      </c>
      <c r="G34" s="483">
        <f t="shared" si="2"/>
        <v>0</v>
      </c>
      <c r="H34" s="84">
        <f t="shared" ref="H34:H63" si="9">IF(B34,E34/B34,0)</f>
        <v>0</v>
      </c>
      <c r="I34" s="85">
        <f t="shared" ref="I34:I63" si="10">IF(C34,F34/C34,0)</f>
        <v>0</v>
      </c>
      <c r="J34" s="485">
        <f t="shared" si="0"/>
        <v>0</v>
      </c>
    </row>
    <row r="35" spans="1:10">
      <c r="A35" s="442" t="s">
        <v>380</v>
      </c>
      <c r="B35" s="285">
        <f>電輔車!E35</f>
        <v>0</v>
      </c>
      <c r="C35" s="86">
        <v>0</v>
      </c>
      <c r="D35" s="484">
        <f t="shared" si="1"/>
        <v>0</v>
      </c>
      <c r="E35" s="285">
        <f>電輔車!G35</f>
        <v>0</v>
      </c>
      <c r="F35" s="87">
        <v>0</v>
      </c>
      <c r="G35" s="483">
        <f t="shared" si="2"/>
        <v>0</v>
      </c>
      <c r="H35" s="84">
        <f t="shared" si="9"/>
        <v>0</v>
      </c>
      <c r="I35" s="85">
        <f t="shared" si="10"/>
        <v>0</v>
      </c>
      <c r="J35" s="485">
        <f t="shared" si="0"/>
        <v>0</v>
      </c>
    </row>
    <row r="36" spans="1:10">
      <c r="A36" s="441" t="s">
        <v>265</v>
      </c>
      <c r="B36" s="285">
        <f>電輔車!E36</f>
        <v>0</v>
      </c>
      <c r="C36" s="86">
        <v>0</v>
      </c>
      <c r="D36" s="484">
        <f t="shared" si="1"/>
        <v>0</v>
      </c>
      <c r="E36" s="285">
        <f>電輔車!G36</f>
        <v>0</v>
      </c>
      <c r="F36" s="87">
        <v>0</v>
      </c>
      <c r="G36" s="483">
        <f t="shared" si="2"/>
        <v>0</v>
      </c>
      <c r="H36" s="84">
        <f t="shared" si="9"/>
        <v>0</v>
      </c>
      <c r="I36" s="85">
        <f t="shared" si="10"/>
        <v>0</v>
      </c>
      <c r="J36" s="485">
        <f t="shared" si="0"/>
        <v>0</v>
      </c>
    </row>
    <row r="37" spans="1:10">
      <c r="A37" s="441" t="s">
        <v>381</v>
      </c>
      <c r="B37" s="285">
        <f>電輔車!E37</f>
        <v>0</v>
      </c>
      <c r="C37" s="86">
        <v>0</v>
      </c>
      <c r="D37" s="484">
        <f t="shared" si="1"/>
        <v>0</v>
      </c>
      <c r="E37" s="285">
        <f>電輔車!G37</f>
        <v>0</v>
      </c>
      <c r="F37" s="87">
        <v>0</v>
      </c>
      <c r="G37" s="483">
        <f t="shared" si="2"/>
        <v>0</v>
      </c>
      <c r="H37" s="84">
        <f t="shared" si="9"/>
        <v>0</v>
      </c>
      <c r="I37" s="85">
        <f t="shared" si="10"/>
        <v>0</v>
      </c>
      <c r="J37" s="485">
        <f t="shared" si="0"/>
        <v>0</v>
      </c>
    </row>
    <row r="38" spans="1:10">
      <c r="A38" s="441" t="s">
        <v>267</v>
      </c>
      <c r="B38" s="285">
        <f>電輔車!E38</f>
        <v>0</v>
      </c>
      <c r="C38" s="86">
        <v>0</v>
      </c>
      <c r="D38" s="484">
        <f t="shared" si="1"/>
        <v>0</v>
      </c>
      <c r="E38" s="285">
        <f>電輔車!G38</f>
        <v>0</v>
      </c>
      <c r="F38" s="87">
        <v>0</v>
      </c>
      <c r="G38" s="483">
        <f t="shared" si="2"/>
        <v>0</v>
      </c>
      <c r="H38" s="84">
        <f t="shared" si="9"/>
        <v>0</v>
      </c>
      <c r="I38" s="85">
        <f t="shared" si="10"/>
        <v>0</v>
      </c>
      <c r="J38" s="485">
        <f t="shared" si="0"/>
        <v>0</v>
      </c>
    </row>
    <row r="39" spans="1:10">
      <c r="A39" s="441" t="s">
        <v>268</v>
      </c>
      <c r="B39" s="285">
        <f>電輔車!E39</f>
        <v>0</v>
      </c>
      <c r="C39" s="86">
        <v>6983</v>
      </c>
      <c r="D39" s="484">
        <f t="shared" si="1"/>
        <v>-1</v>
      </c>
      <c r="E39" s="285">
        <f>電輔車!G39</f>
        <v>0</v>
      </c>
      <c r="F39" s="87">
        <v>13603048</v>
      </c>
      <c r="G39" s="483">
        <f t="shared" si="2"/>
        <v>-1</v>
      </c>
      <c r="H39" s="84">
        <f t="shared" si="9"/>
        <v>0</v>
      </c>
      <c r="I39" s="85">
        <f t="shared" si="10"/>
        <v>1948.0234856079048</v>
      </c>
      <c r="J39" s="485">
        <f t="shared" si="0"/>
        <v>-1</v>
      </c>
    </row>
    <row r="40" spans="1:10">
      <c r="A40" s="431" t="s">
        <v>269</v>
      </c>
      <c r="B40" s="285">
        <f>電輔車!E40</f>
        <v>0</v>
      </c>
      <c r="C40" s="86">
        <v>0</v>
      </c>
      <c r="D40" s="484">
        <f t="shared" si="1"/>
        <v>0</v>
      </c>
      <c r="E40" s="285">
        <f>電輔車!G40</f>
        <v>0</v>
      </c>
      <c r="F40" s="87">
        <v>0</v>
      </c>
      <c r="G40" s="483">
        <f t="shared" si="2"/>
        <v>0</v>
      </c>
      <c r="H40" s="84">
        <f t="shared" si="9"/>
        <v>0</v>
      </c>
      <c r="I40" s="85">
        <f t="shared" si="10"/>
        <v>0</v>
      </c>
      <c r="J40" s="485">
        <f t="shared" si="0"/>
        <v>0</v>
      </c>
    </row>
    <row r="41" spans="1:10">
      <c r="A41" s="283"/>
      <c r="B41" s="285"/>
      <c r="C41" s="474"/>
      <c r="D41" s="484"/>
      <c r="E41" s="285"/>
      <c r="F41" s="87"/>
      <c r="G41" s="483"/>
      <c r="H41" s="84"/>
      <c r="I41" s="85"/>
      <c r="J41" s="485"/>
    </row>
    <row r="42" spans="1:10">
      <c r="A42" s="289" t="s">
        <v>19</v>
      </c>
      <c r="B42" s="288">
        <f>SUM(B43:B46)</f>
        <v>2165</v>
      </c>
      <c r="C42" s="475">
        <v>7434</v>
      </c>
      <c r="D42" s="484">
        <f t="shared" si="1"/>
        <v>-0.70877051385525958</v>
      </c>
      <c r="E42" s="288">
        <f>SUM(E43:E46)</f>
        <v>4572305</v>
      </c>
      <c r="F42" s="82">
        <v>15950446</v>
      </c>
      <c r="G42" s="483">
        <f t="shared" si="2"/>
        <v>-0.71334312532702848</v>
      </c>
      <c r="H42" s="84">
        <f t="shared" si="9"/>
        <v>2111.9191685912242</v>
      </c>
      <c r="I42" s="85">
        <f t="shared" si="10"/>
        <v>2145.6074791498522</v>
      </c>
      <c r="J42" s="485">
        <f t="shared" si="0"/>
        <v>-1.5701059437011396E-2</v>
      </c>
    </row>
    <row r="43" spans="1:10">
      <c r="A43" s="283" t="s">
        <v>178</v>
      </c>
      <c r="B43" s="285">
        <f>電輔車!E43</f>
        <v>1154</v>
      </c>
      <c r="C43" s="86">
        <v>4162</v>
      </c>
      <c r="D43" s="484">
        <f t="shared" si="1"/>
        <v>-0.72272945699183089</v>
      </c>
      <c r="E43" s="285">
        <f>電輔車!G43</f>
        <v>2615268</v>
      </c>
      <c r="F43" s="87">
        <v>10051997</v>
      </c>
      <c r="G43" s="483">
        <f t="shared" si="2"/>
        <v>-0.73982602660943886</v>
      </c>
      <c r="H43" s="84">
        <f t="shared" si="9"/>
        <v>2266.2634315424611</v>
      </c>
      <c r="I43" s="85">
        <f t="shared" si="10"/>
        <v>2415.184286400769</v>
      </c>
      <c r="J43" s="485">
        <f t="shared" si="0"/>
        <v>-6.1660245016017932E-2</v>
      </c>
    </row>
    <row r="44" spans="1:10">
      <c r="A44" s="283" t="s">
        <v>271</v>
      </c>
      <c r="B44" s="285">
        <f>電輔車!E44</f>
        <v>1011</v>
      </c>
      <c r="C44" s="86">
        <v>3227</v>
      </c>
      <c r="D44" s="484">
        <f t="shared" si="1"/>
        <v>-0.68670591881004028</v>
      </c>
      <c r="E44" s="285">
        <f>電輔車!G44</f>
        <v>1957037</v>
      </c>
      <c r="F44" s="87">
        <v>5788599</v>
      </c>
      <c r="G44" s="483">
        <f t="shared" si="2"/>
        <v>-0.66191525790610128</v>
      </c>
      <c r="H44" s="84">
        <f t="shared" si="9"/>
        <v>1935.7438180019783</v>
      </c>
      <c r="I44" s="85">
        <f t="shared" si="10"/>
        <v>1793.8019832661914</v>
      </c>
      <c r="J44" s="485">
        <f t="shared" si="0"/>
        <v>7.9129043261138704E-2</v>
      </c>
    </row>
    <row r="45" spans="1:10">
      <c r="A45" s="283" t="s">
        <v>272</v>
      </c>
      <c r="B45" s="285">
        <f>電輔車!E45</f>
        <v>0</v>
      </c>
      <c r="C45" s="86">
        <v>45</v>
      </c>
      <c r="D45" s="484">
        <f t="shared" si="1"/>
        <v>-1</v>
      </c>
      <c r="E45" s="285">
        <f>電輔車!G45</f>
        <v>0</v>
      </c>
      <c r="F45" s="87">
        <v>109850</v>
      </c>
      <c r="G45" s="483">
        <f t="shared" si="2"/>
        <v>-1</v>
      </c>
      <c r="H45" s="84">
        <f t="shared" si="9"/>
        <v>0</v>
      </c>
      <c r="I45" s="85">
        <f t="shared" si="10"/>
        <v>2441.1111111111113</v>
      </c>
      <c r="J45" s="485">
        <f t="shared" si="0"/>
        <v>-1</v>
      </c>
    </row>
    <row r="46" spans="1:10">
      <c r="A46" s="286" t="s">
        <v>20</v>
      </c>
      <c r="B46" s="285">
        <f>電輔車!E46</f>
        <v>0</v>
      </c>
      <c r="C46" s="86">
        <v>0</v>
      </c>
      <c r="D46" s="484">
        <f t="shared" si="1"/>
        <v>0</v>
      </c>
      <c r="E46" s="285">
        <f>電輔車!G46</f>
        <v>0</v>
      </c>
      <c r="F46" s="87">
        <v>0</v>
      </c>
      <c r="G46" s="483">
        <f t="shared" si="2"/>
        <v>0</v>
      </c>
      <c r="H46" s="84">
        <f t="shared" si="9"/>
        <v>0</v>
      </c>
      <c r="I46" s="85">
        <f t="shared" si="10"/>
        <v>0</v>
      </c>
      <c r="J46" s="485">
        <f t="shared" si="0"/>
        <v>0</v>
      </c>
    </row>
    <row r="47" spans="1:10">
      <c r="A47" s="286"/>
      <c r="B47" s="285"/>
      <c r="C47" s="474"/>
      <c r="D47" s="484"/>
      <c r="E47" s="285"/>
      <c r="F47" s="87"/>
      <c r="G47" s="483"/>
      <c r="H47" s="84"/>
      <c r="I47" s="85"/>
      <c r="J47" s="485"/>
    </row>
    <row r="48" spans="1:10">
      <c r="A48" s="289" t="s">
        <v>21</v>
      </c>
      <c r="B48" s="288">
        <f>SUM(B49:B62)</f>
        <v>15037</v>
      </c>
      <c r="C48" s="475">
        <v>16947</v>
      </c>
      <c r="D48" s="484">
        <f t="shared" si="1"/>
        <v>-0.11270431344780787</v>
      </c>
      <c r="E48" s="288">
        <f>SUM(E49:E62)</f>
        <v>31817872</v>
      </c>
      <c r="F48" s="88">
        <v>29637491</v>
      </c>
      <c r="G48" s="483">
        <f t="shared" si="2"/>
        <v>7.3568339506201785E-2</v>
      </c>
      <c r="H48" s="84">
        <f t="shared" si="9"/>
        <v>2115.9720688967213</v>
      </c>
      <c r="I48" s="85">
        <f t="shared" si="10"/>
        <v>1748.8340709270078</v>
      </c>
      <c r="J48" s="485">
        <f t="shared" si="0"/>
        <v>0.20993300855300925</v>
      </c>
    </row>
    <row r="49" spans="1:10">
      <c r="A49" s="289" t="s">
        <v>157</v>
      </c>
      <c r="B49" s="285">
        <f>電輔車!E49</f>
        <v>7254</v>
      </c>
      <c r="C49" s="86">
        <v>9874</v>
      </c>
      <c r="D49" s="484">
        <f t="shared" si="1"/>
        <v>-0.2653433259064209</v>
      </c>
      <c r="E49" s="285">
        <f>電輔車!G49</f>
        <v>14329853</v>
      </c>
      <c r="F49" s="87">
        <v>15067538</v>
      </c>
      <c r="G49" s="483">
        <f t="shared" si="2"/>
        <v>-4.8958562440658854E-2</v>
      </c>
      <c r="H49" s="84">
        <f t="shared" si="9"/>
        <v>1975.4415494899365</v>
      </c>
      <c r="I49" s="85">
        <f>IF(C49,F49/C49,0)</f>
        <v>1525.9811626493822</v>
      </c>
      <c r="J49" s="485">
        <f t="shared" si="0"/>
        <v>0.29453862068664655</v>
      </c>
    </row>
    <row r="50" spans="1:10">
      <c r="A50" s="430" t="s">
        <v>382</v>
      </c>
      <c r="B50" s="285">
        <f>電輔車!E50</f>
        <v>1506</v>
      </c>
      <c r="C50" s="86">
        <v>1626</v>
      </c>
      <c r="D50" s="484">
        <f t="shared" si="1"/>
        <v>-7.3800738007380073E-2</v>
      </c>
      <c r="E50" s="285">
        <f>電輔車!G50</f>
        <v>1381039</v>
      </c>
      <c r="F50" s="87">
        <v>1801531</v>
      </c>
      <c r="G50" s="483">
        <f t="shared" si="2"/>
        <v>-0.23340814007641278</v>
      </c>
      <c r="H50" s="84">
        <f t="shared" si="9"/>
        <v>917.02456839309434</v>
      </c>
      <c r="I50" s="85">
        <f t="shared" si="10"/>
        <v>1107.9526445264453</v>
      </c>
      <c r="J50" s="485">
        <f t="shared" si="0"/>
        <v>-0.1723251233494337</v>
      </c>
    </row>
    <row r="51" spans="1:10">
      <c r="A51" s="283" t="s">
        <v>218</v>
      </c>
      <c r="B51" s="285">
        <f>電輔車!E51</f>
        <v>0</v>
      </c>
      <c r="C51" s="86">
        <v>45</v>
      </c>
      <c r="D51" s="484">
        <f t="shared" si="1"/>
        <v>-1</v>
      </c>
      <c r="E51" s="285">
        <f>電輔車!G51</f>
        <v>0</v>
      </c>
      <c r="F51" s="87">
        <v>37257</v>
      </c>
      <c r="G51" s="483">
        <f t="shared" si="2"/>
        <v>-1</v>
      </c>
      <c r="H51" s="84">
        <f t="shared" si="9"/>
        <v>0</v>
      </c>
      <c r="I51" s="85">
        <f t="shared" si="10"/>
        <v>827.93333333333328</v>
      </c>
      <c r="J51" s="485">
        <f t="shared" si="0"/>
        <v>-1</v>
      </c>
    </row>
    <row r="52" spans="1:10">
      <c r="A52" s="430" t="s">
        <v>295</v>
      </c>
      <c r="B52" s="285">
        <f>電輔車!E52</f>
        <v>67</v>
      </c>
      <c r="C52" s="86">
        <v>1</v>
      </c>
      <c r="D52" s="484">
        <f t="shared" si="1"/>
        <v>66</v>
      </c>
      <c r="E52" s="285">
        <f>電輔車!G52</f>
        <v>260015</v>
      </c>
      <c r="F52" s="87">
        <v>1849</v>
      </c>
      <c r="G52" s="483">
        <f t="shared" si="2"/>
        <v>139.62466197944835</v>
      </c>
      <c r="H52" s="84">
        <f t="shared" si="9"/>
        <v>3880.8208955223881</v>
      </c>
      <c r="I52" s="85">
        <f t="shared" si="10"/>
        <v>1849</v>
      </c>
      <c r="J52" s="485">
        <f t="shared" si="0"/>
        <v>1.098875551932065</v>
      </c>
    </row>
    <row r="53" spans="1:10">
      <c r="A53" s="431" t="s">
        <v>22</v>
      </c>
      <c r="B53" s="285">
        <f>電輔車!E53</f>
        <v>247</v>
      </c>
      <c r="C53" s="86">
        <v>0</v>
      </c>
      <c r="D53" s="484">
        <f t="shared" si="1"/>
        <v>0</v>
      </c>
      <c r="E53" s="285">
        <f>電輔車!G53</f>
        <v>783614</v>
      </c>
      <c r="F53" s="87">
        <v>0</v>
      </c>
      <c r="G53" s="483">
        <f t="shared" si="2"/>
        <v>0</v>
      </c>
      <c r="H53" s="84">
        <f t="shared" si="9"/>
        <v>3172.5263157894738</v>
      </c>
      <c r="I53" s="85">
        <f t="shared" si="10"/>
        <v>0</v>
      </c>
      <c r="J53" s="485">
        <f t="shared" si="0"/>
        <v>0</v>
      </c>
    </row>
    <row r="54" spans="1:10">
      <c r="A54" s="430" t="s">
        <v>301</v>
      </c>
      <c r="B54" s="285">
        <f>電輔車!E54</f>
        <v>490</v>
      </c>
      <c r="C54" s="86">
        <v>20</v>
      </c>
      <c r="D54" s="484">
        <f t="shared" si="1"/>
        <v>23.5</v>
      </c>
      <c r="E54" s="285">
        <f>電輔車!G54</f>
        <v>1571375</v>
      </c>
      <c r="F54" s="87">
        <v>35359</v>
      </c>
      <c r="G54" s="483">
        <f t="shared" si="2"/>
        <v>43.440595039452475</v>
      </c>
      <c r="H54" s="84">
        <f t="shared" si="9"/>
        <v>3206.887755102041</v>
      </c>
      <c r="I54" s="85">
        <f t="shared" si="10"/>
        <v>1767.95</v>
      </c>
      <c r="J54" s="485">
        <f t="shared" si="0"/>
        <v>0.81390183834499896</v>
      </c>
    </row>
    <row r="55" spans="1:10">
      <c r="A55" s="431" t="s">
        <v>384</v>
      </c>
      <c r="B55" s="285">
        <f>電輔車!E55</f>
        <v>2551</v>
      </c>
      <c r="C55" s="86">
        <v>1784</v>
      </c>
      <c r="D55" s="484">
        <f t="shared" si="1"/>
        <v>0.42993273542600896</v>
      </c>
      <c r="E55" s="285">
        <f>電輔車!G55</f>
        <v>5903585</v>
      </c>
      <c r="F55" s="87">
        <v>3834486</v>
      </c>
      <c r="G55" s="483">
        <f t="shared" si="2"/>
        <v>0.53960270033584679</v>
      </c>
      <c r="H55" s="84">
        <f t="shared" si="9"/>
        <v>2314.2238337906701</v>
      </c>
      <c r="I55" s="85">
        <f t="shared" si="10"/>
        <v>2149.3755605381166</v>
      </c>
      <c r="J55" s="485">
        <f t="shared" si="0"/>
        <v>7.6695890787593313E-2</v>
      </c>
    </row>
    <row r="56" spans="1:10">
      <c r="A56" s="431" t="s">
        <v>23</v>
      </c>
      <c r="B56" s="285">
        <f>電輔車!E56</f>
        <v>237</v>
      </c>
      <c r="C56" s="86">
        <v>177</v>
      </c>
      <c r="D56" s="484">
        <f t="shared" si="1"/>
        <v>0.33898305084745761</v>
      </c>
      <c r="E56" s="285">
        <f>電輔車!G56</f>
        <v>556498</v>
      </c>
      <c r="F56" s="87">
        <v>510210</v>
      </c>
      <c r="G56" s="483">
        <f t="shared" si="2"/>
        <v>9.0723427608239746E-2</v>
      </c>
      <c r="H56" s="84">
        <f t="shared" si="9"/>
        <v>2348.0928270042195</v>
      </c>
      <c r="I56" s="85">
        <f t="shared" si="10"/>
        <v>2882.5423728813557</v>
      </c>
      <c r="J56" s="485">
        <f t="shared" si="0"/>
        <v>-0.18540908571030185</v>
      </c>
    </row>
    <row r="57" spans="1:10">
      <c r="A57" s="431" t="s">
        <v>237</v>
      </c>
      <c r="B57" s="285">
        <f>電輔車!E57</f>
        <v>119</v>
      </c>
      <c r="C57" s="86">
        <v>50</v>
      </c>
      <c r="D57" s="484">
        <f t="shared" si="1"/>
        <v>1.38</v>
      </c>
      <c r="E57" s="285">
        <f>電輔車!G57</f>
        <v>339530</v>
      </c>
      <c r="F57" s="87">
        <v>165682</v>
      </c>
      <c r="G57" s="483">
        <f t="shared" si="2"/>
        <v>1.0492871887109041</v>
      </c>
      <c r="H57" s="84">
        <f t="shared" si="9"/>
        <v>2853.1932773109243</v>
      </c>
      <c r="I57" s="85">
        <f t="shared" si="10"/>
        <v>3313.64</v>
      </c>
      <c r="J57" s="485">
        <f t="shared" si="0"/>
        <v>-0.13895496272651092</v>
      </c>
    </row>
    <row r="58" spans="1:10">
      <c r="A58" s="431" t="s">
        <v>230</v>
      </c>
      <c r="B58" s="285">
        <f>電輔車!E58</f>
        <v>64</v>
      </c>
      <c r="C58" s="86">
        <v>1603</v>
      </c>
      <c r="D58" s="484">
        <f t="shared" si="1"/>
        <v>-0.9600748596381784</v>
      </c>
      <c r="E58" s="285">
        <f>電輔車!G58</f>
        <v>231997</v>
      </c>
      <c r="F58" s="87">
        <v>3741473</v>
      </c>
      <c r="G58" s="483">
        <f t="shared" si="2"/>
        <v>-0.93799313799671946</v>
      </c>
      <c r="H58" s="84">
        <f t="shared" si="9"/>
        <v>3624.953125</v>
      </c>
      <c r="I58" s="85">
        <f t="shared" si="10"/>
        <v>2334.044291952589</v>
      </c>
      <c r="J58" s="485">
        <f t="shared" si="0"/>
        <v>0.55307812173841686</v>
      </c>
    </row>
    <row r="59" spans="1:10">
      <c r="A59" s="431" t="s">
        <v>275</v>
      </c>
      <c r="B59" s="285">
        <f>電輔車!E59</f>
        <v>0</v>
      </c>
      <c r="C59" s="86">
        <v>0</v>
      </c>
      <c r="D59" s="484">
        <f t="shared" si="1"/>
        <v>0</v>
      </c>
      <c r="E59" s="285">
        <f>電輔車!G59</f>
        <v>0</v>
      </c>
      <c r="F59" s="87">
        <v>0</v>
      </c>
      <c r="G59" s="483">
        <f t="shared" si="2"/>
        <v>0</v>
      </c>
      <c r="H59" s="84">
        <f t="shared" si="9"/>
        <v>0</v>
      </c>
      <c r="I59" s="85">
        <f t="shared" si="10"/>
        <v>0</v>
      </c>
      <c r="J59" s="485">
        <f t="shared" si="0"/>
        <v>0</v>
      </c>
    </row>
    <row r="60" spans="1:10">
      <c r="A60" s="431" t="s">
        <v>280</v>
      </c>
      <c r="B60" s="285">
        <f>電輔車!E60</f>
        <v>0</v>
      </c>
      <c r="C60" s="86">
        <v>0</v>
      </c>
      <c r="D60" s="484">
        <f t="shared" si="1"/>
        <v>0</v>
      </c>
      <c r="E60" s="285">
        <f>電輔車!G60</f>
        <v>0</v>
      </c>
      <c r="F60" s="87">
        <v>0</v>
      </c>
      <c r="G60" s="483">
        <f t="shared" si="2"/>
        <v>0</v>
      </c>
      <c r="H60" s="84">
        <f t="shared" si="9"/>
        <v>0</v>
      </c>
      <c r="I60" s="85">
        <f t="shared" si="10"/>
        <v>0</v>
      </c>
      <c r="J60" s="485">
        <f t="shared" si="0"/>
        <v>0</v>
      </c>
    </row>
    <row r="61" spans="1:10">
      <c r="A61" s="431" t="s">
        <v>286</v>
      </c>
      <c r="B61" s="285">
        <f>電輔車!E61</f>
        <v>1490</v>
      </c>
      <c r="C61" s="86">
        <v>1020</v>
      </c>
      <c r="D61" s="484">
        <f t="shared" si="1"/>
        <v>0.46078431372549017</v>
      </c>
      <c r="E61" s="285">
        <f>電輔車!G61</f>
        <v>3619926</v>
      </c>
      <c r="F61" s="87">
        <v>2475488</v>
      </c>
      <c r="G61" s="483">
        <f t="shared" si="2"/>
        <v>0.46230803784950686</v>
      </c>
      <c r="H61" s="84">
        <f t="shared" si="9"/>
        <v>2429.4805369127516</v>
      </c>
      <c r="I61" s="85">
        <f t="shared" si="10"/>
        <v>2426.9490196078432</v>
      </c>
      <c r="J61" s="485">
        <f t="shared" si="0"/>
        <v>1.0430863130851842E-3</v>
      </c>
    </row>
    <row r="62" spans="1:10">
      <c r="A62" s="431" t="s">
        <v>334</v>
      </c>
      <c r="B62" s="285">
        <f>電輔車!E62</f>
        <v>1012</v>
      </c>
      <c r="C62" s="86">
        <v>747</v>
      </c>
      <c r="D62" s="484">
        <f t="shared" si="1"/>
        <v>0.35475234270414996</v>
      </c>
      <c r="E62" s="285">
        <f>電輔車!G62</f>
        <v>2840440</v>
      </c>
      <c r="F62" s="87">
        <v>1966618</v>
      </c>
      <c r="G62" s="483">
        <f t="shared" si="2"/>
        <v>0.44432726640354153</v>
      </c>
      <c r="H62" s="84">
        <f t="shared" si="9"/>
        <v>2806.7588932806325</v>
      </c>
      <c r="I62" s="85">
        <f t="shared" si="10"/>
        <v>2632.6880856760376</v>
      </c>
      <c r="J62" s="485">
        <f t="shared" si="0"/>
        <v>6.6119039529096313E-2</v>
      </c>
    </row>
    <row r="63" spans="1:10">
      <c r="A63" s="286" t="s">
        <v>29</v>
      </c>
      <c r="B63" s="285">
        <f>B64-B48-B42-B13-B8</f>
        <v>1515</v>
      </c>
      <c r="C63" s="87">
        <v>1892</v>
      </c>
      <c r="D63" s="484">
        <f t="shared" si="1"/>
        <v>-0.19926004228329811</v>
      </c>
      <c r="E63" s="285">
        <f>E64-E48-E42-E13-E8</f>
        <v>4447020</v>
      </c>
      <c r="F63" s="87">
        <v>5104645</v>
      </c>
      <c r="G63" s="483">
        <f t="shared" si="2"/>
        <v>-0.12882874323287907</v>
      </c>
      <c r="H63" s="84">
        <f t="shared" si="9"/>
        <v>2935.3267326732675</v>
      </c>
      <c r="I63" s="85">
        <f t="shared" si="10"/>
        <v>2698.0153276955602</v>
      </c>
      <c r="J63" s="485">
        <f t="shared" si="0"/>
        <v>8.7957767526992026E-2</v>
      </c>
    </row>
    <row r="64" spans="1:10">
      <c r="A64" s="287" t="s">
        <v>399</v>
      </c>
      <c r="B64" s="582">
        <f>電輔車!E64</f>
        <v>142876</v>
      </c>
      <c r="C64" s="583">
        <v>163490</v>
      </c>
      <c r="D64" s="484">
        <f t="shared" si="1"/>
        <v>-0.1260872224600893</v>
      </c>
      <c r="E64" s="582">
        <f>電輔車!G64</f>
        <v>286423611</v>
      </c>
      <c r="F64" s="87">
        <v>297645909</v>
      </c>
      <c r="G64" s="483">
        <f t="shared" si="2"/>
        <v>-3.7703518377603502E-2</v>
      </c>
      <c r="H64" s="84">
        <f t="shared" ref="H64" si="11">E64/B64</f>
        <v>2004.7006565133402</v>
      </c>
      <c r="I64" s="85">
        <f t="shared" ref="I64" si="12">F64/C64</f>
        <v>1820.5756254205151</v>
      </c>
      <c r="J64" s="485">
        <f t="shared" si="0"/>
        <v>0.10113561256226095</v>
      </c>
    </row>
    <row r="65" spans="1:7" ht="7.5" customHeight="1">
      <c r="A65" s="290"/>
      <c r="B65" s="291"/>
      <c r="C65" s="292"/>
      <c r="D65" s="293"/>
      <c r="E65" s="291"/>
      <c r="F65" s="292"/>
      <c r="G65" s="293"/>
    </row>
    <row r="66" spans="1:7" ht="13.5" customHeight="1">
      <c r="A66" s="294" t="s">
        <v>461</v>
      </c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3" customWidth="1"/>
    <col min="3" max="3" width="14.375" style="5" customWidth="1"/>
    <col min="4" max="4" width="10.5" style="93" bestFit="1" customWidth="1"/>
    <col min="5" max="5" width="12.75" style="5" customWidth="1"/>
    <col min="6" max="6" width="8.875" style="93" customWidth="1"/>
    <col min="7" max="7" width="12.625" style="93" customWidth="1"/>
    <col min="8" max="8" width="9.125" style="5" customWidth="1"/>
    <col min="9" max="9" width="9.5" style="93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5" customFormat="1" ht="23.25">
      <c r="A1" s="174"/>
      <c r="C1" s="176" t="s">
        <v>500</v>
      </c>
    </row>
    <row r="2" spans="1:9" ht="12.75" customHeight="1"/>
    <row r="3" spans="1:9" s="7" customFormat="1" ht="15.75">
      <c r="A3" s="107" t="s">
        <v>472</v>
      </c>
      <c r="B3" s="177"/>
      <c r="C3" s="60"/>
      <c r="D3" s="178"/>
      <c r="E3" s="60"/>
      <c r="F3" s="177"/>
      <c r="G3" s="177"/>
      <c r="H3" s="60"/>
      <c r="I3" s="178"/>
    </row>
    <row r="4" spans="1:9" s="13" customFormat="1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79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112</v>
      </c>
      <c r="H5" s="8"/>
      <c r="I5" s="180" t="s">
        <v>3</v>
      </c>
    </row>
    <row r="6" spans="1:9" ht="18.600000000000001" customHeight="1">
      <c r="A6" s="167" t="s">
        <v>4</v>
      </c>
      <c r="B6" s="181"/>
      <c r="C6" s="17"/>
      <c r="D6" s="182"/>
      <c r="E6" s="17"/>
      <c r="F6" s="182"/>
      <c r="G6" s="182"/>
      <c r="H6" s="17"/>
      <c r="I6" s="183"/>
    </row>
    <row r="7" spans="1:9">
      <c r="A7" s="20" t="s">
        <v>5</v>
      </c>
      <c r="B7" s="184">
        <f>SUM(B8:B10)</f>
        <v>0</v>
      </c>
      <c r="C7" s="22">
        <f>SUM(C8:C10)</f>
        <v>0</v>
      </c>
      <c r="D7" s="185">
        <f>IF(B7,C7/B7,0)</f>
        <v>0</v>
      </c>
      <c r="E7" s="22">
        <f>SUM(E8:E10)</f>
        <v>23</v>
      </c>
      <c r="F7" s="186">
        <f>E7/$E$68</f>
        <v>1.26861555432984E-2</v>
      </c>
      <c r="G7" s="187">
        <f>SUM(G8:G10)</f>
        <v>20266</v>
      </c>
      <c r="H7" s="24">
        <f>G7/$G$68</f>
        <v>1.5530465875659715E-2</v>
      </c>
      <c r="I7" s="188">
        <f>IF(E7,G7/E7,0)</f>
        <v>881.13043478260875</v>
      </c>
    </row>
    <row r="8" spans="1:9">
      <c r="A8" s="26" t="s">
        <v>377</v>
      </c>
      <c r="B8" s="189">
        <v>0</v>
      </c>
      <c r="C8" s="28">
        <v>0</v>
      </c>
      <c r="D8" s="185">
        <f t="shared" ref="D8:D67" si="0">IF(B8,C8/B8,0)</f>
        <v>0</v>
      </c>
      <c r="E8" s="189">
        <f>VLOOKUP(A8,[10]進出口值表查詢結果!$A$10:$C$23,3,0)</f>
        <v>22</v>
      </c>
      <c r="F8" s="186">
        <f>E8/$E$68</f>
        <v>1.2134583563154992E-2</v>
      </c>
      <c r="G8" s="189">
        <f>VLOOKUP(A8,[10]進出口值表查詢結果!$A$10:$C$23,2,0)</f>
        <v>18138</v>
      </c>
      <c r="H8" s="24">
        <f>G8/$G$68</f>
        <v>1.3899713315539125E-2</v>
      </c>
      <c r="I8" s="188">
        <f t="shared" ref="I8:I67" si="1">IF(E8,G8/E8,0)</f>
        <v>824.4545454545455</v>
      </c>
    </row>
    <row r="9" spans="1:9">
      <c r="A9" s="30" t="s">
        <v>6</v>
      </c>
      <c r="B9" s="189">
        <v>0</v>
      </c>
      <c r="C9" s="28">
        <v>0</v>
      </c>
      <c r="D9" s="185">
        <f t="shared" si="0"/>
        <v>0</v>
      </c>
      <c r="E9" s="189">
        <v>0</v>
      </c>
      <c r="F9" s="186">
        <f>E9/$E$68</f>
        <v>0</v>
      </c>
      <c r="G9" s="189">
        <v>0</v>
      </c>
      <c r="H9" s="24">
        <f>G9/$G$68</f>
        <v>0</v>
      </c>
      <c r="I9" s="188">
        <f t="shared" si="1"/>
        <v>0</v>
      </c>
    </row>
    <row r="10" spans="1:9">
      <c r="A10" s="30" t="s">
        <v>7</v>
      </c>
      <c r="B10" s="189">
        <v>0</v>
      </c>
      <c r="C10" s="28">
        <v>0</v>
      </c>
      <c r="D10" s="185">
        <f t="shared" si="0"/>
        <v>0</v>
      </c>
      <c r="E10" s="189">
        <f>VLOOKUP(A10,[10]進出口值表查詢結果!$A$10:$C$23,3,0)</f>
        <v>1</v>
      </c>
      <c r="F10" s="186">
        <f>E10/$E$68</f>
        <v>5.5157198014340876E-4</v>
      </c>
      <c r="G10" s="189">
        <f>VLOOKUP(A10,[10]進出口值表查詢結果!$A$10:$C$23,2,0)</f>
        <v>2128</v>
      </c>
      <c r="H10" s="24">
        <f>G10/$G$68</f>
        <v>1.63075256012059E-3</v>
      </c>
      <c r="I10" s="188">
        <f t="shared" si="1"/>
        <v>2128</v>
      </c>
    </row>
    <row r="11" spans="1:9">
      <c r="A11" s="31"/>
      <c r="B11" s="189"/>
      <c r="C11" s="28"/>
      <c r="D11" s="185"/>
      <c r="E11" s="27"/>
      <c r="F11" s="190"/>
      <c r="G11" s="189"/>
      <c r="H11" s="29"/>
      <c r="I11" s="188"/>
    </row>
    <row r="12" spans="1:9">
      <c r="A12" s="32" t="s">
        <v>8</v>
      </c>
      <c r="B12" s="191">
        <f>SUM(B13:B39)</f>
        <v>0</v>
      </c>
      <c r="C12" s="33">
        <f>SUM(C13:C39)</f>
        <v>0</v>
      </c>
      <c r="D12" s="185">
        <f t="shared" si="0"/>
        <v>0</v>
      </c>
      <c r="E12" s="33">
        <f>SUM(E13:E39)</f>
        <v>238</v>
      </c>
      <c r="F12" s="186">
        <f t="shared" ref="F12:F13" si="2">E12/$E$68</f>
        <v>0.13127413127413126</v>
      </c>
      <c r="G12" s="191">
        <f>SUM(G13:G39)</f>
        <v>147458</v>
      </c>
      <c r="H12" s="24">
        <f>G12/$G$68</f>
        <v>0.11300164991083737</v>
      </c>
      <c r="I12" s="188">
        <f t="shared" si="1"/>
        <v>619.57142857142856</v>
      </c>
    </row>
    <row r="13" spans="1:9">
      <c r="A13" s="430" t="s">
        <v>196</v>
      </c>
      <c r="B13" s="189">
        <v>0</v>
      </c>
      <c r="C13" s="28">
        <v>0</v>
      </c>
      <c r="D13" s="185">
        <f t="shared" si="0"/>
        <v>0</v>
      </c>
      <c r="E13" s="189">
        <f>VLOOKUP(A13,[10]進出口值表查詢結果!$A$10:$C$23,3,0)</f>
        <v>227</v>
      </c>
      <c r="F13" s="186">
        <f t="shared" si="2"/>
        <v>0.12520683949255379</v>
      </c>
      <c r="G13" s="189">
        <f>VLOOKUP(A13,[10]進出口值表查詢結果!$A$10:$C$23,2,0)</f>
        <v>108571</v>
      </c>
      <c r="H13" s="24">
        <f>G13/$G$68</f>
        <v>8.3201332803032213E-2</v>
      </c>
      <c r="I13" s="188">
        <f t="shared" si="1"/>
        <v>478.2863436123348</v>
      </c>
    </row>
    <row r="14" spans="1:9">
      <c r="A14" s="430" t="s">
        <v>197</v>
      </c>
      <c r="B14" s="189">
        <v>0</v>
      </c>
      <c r="C14" s="28">
        <v>0</v>
      </c>
      <c r="D14" s="185">
        <f t="shared" ref="D14:D39" si="3">IF(B14,C14/B14,0)</f>
        <v>0</v>
      </c>
      <c r="E14" s="189">
        <f>VLOOKUP(A14,[10]進出口值表查詢結果!$A$10:$C$23,3,0)</f>
        <v>11</v>
      </c>
      <c r="F14" s="186">
        <f t="shared" ref="F14:F39" si="4">E14/$E$68</f>
        <v>6.0672917815774961E-3</v>
      </c>
      <c r="G14" s="189">
        <f>VLOOKUP(A14,[10]進出口值表查詢結果!$A$10:$C$23,2,0)</f>
        <v>38887</v>
      </c>
      <c r="H14" s="24">
        <f t="shared" ref="H14:H39" si="5">G14/$G$68</f>
        <v>2.980031710780516E-2</v>
      </c>
      <c r="I14" s="188">
        <f t="shared" ref="I14:I39" si="6">IF(E14,G14/E14,0)</f>
        <v>3535.181818181818</v>
      </c>
    </row>
    <row r="15" spans="1:9">
      <c r="A15" s="431" t="s">
        <v>9</v>
      </c>
      <c r="B15" s="189">
        <v>0</v>
      </c>
      <c r="C15" s="28">
        <v>0</v>
      </c>
      <c r="D15" s="185">
        <f t="shared" si="3"/>
        <v>0</v>
      </c>
      <c r="E15" s="189">
        <v>0</v>
      </c>
      <c r="F15" s="186">
        <f t="shared" si="4"/>
        <v>0</v>
      </c>
      <c r="G15" s="189"/>
      <c r="H15" s="24">
        <f t="shared" si="5"/>
        <v>0</v>
      </c>
      <c r="I15" s="188">
        <f t="shared" si="6"/>
        <v>0</v>
      </c>
    </row>
    <row r="16" spans="1:9">
      <c r="A16" s="430" t="s">
        <v>198</v>
      </c>
      <c r="B16" s="189">
        <v>0</v>
      </c>
      <c r="C16" s="28">
        <v>0</v>
      </c>
      <c r="D16" s="185">
        <f t="shared" si="3"/>
        <v>0</v>
      </c>
      <c r="E16" s="189">
        <v>0</v>
      </c>
      <c r="F16" s="186">
        <f t="shared" si="4"/>
        <v>0</v>
      </c>
      <c r="G16" s="189">
        <f>_xlfn.IFNA(VLOOKUP(A16,[11]折同!$C$3:$H$312,4,0),-[4]整車!$B$22)</f>
        <v>0</v>
      </c>
      <c r="H16" s="24">
        <f t="shared" si="5"/>
        <v>0</v>
      </c>
      <c r="I16" s="188">
        <f t="shared" si="6"/>
        <v>0</v>
      </c>
    </row>
    <row r="17" spans="1:9">
      <c r="A17" s="431" t="s">
        <v>10</v>
      </c>
      <c r="B17" s="189">
        <v>0</v>
      </c>
      <c r="C17" s="28">
        <v>0</v>
      </c>
      <c r="D17" s="185">
        <f t="shared" si="3"/>
        <v>0</v>
      </c>
      <c r="E17" s="189">
        <v>0</v>
      </c>
      <c r="F17" s="186">
        <f t="shared" si="4"/>
        <v>0</v>
      </c>
      <c r="G17" s="189">
        <f>_xlfn.IFNA(VLOOKUP(A17,[11]折同!$C$3:$H$312,4,0),-[4]整車!$B$22)</f>
        <v>0</v>
      </c>
      <c r="H17" s="24">
        <f t="shared" si="5"/>
        <v>0</v>
      </c>
      <c r="I17" s="188">
        <f t="shared" si="6"/>
        <v>0</v>
      </c>
    </row>
    <row r="18" spans="1:9">
      <c r="A18" s="431" t="s">
        <v>11</v>
      </c>
      <c r="B18" s="189">
        <v>0</v>
      </c>
      <c r="C18" s="28">
        <v>0</v>
      </c>
      <c r="D18" s="185">
        <f t="shared" si="3"/>
        <v>0</v>
      </c>
      <c r="E18" s="189">
        <v>0</v>
      </c>
      <c r="F18" s="186">
        <f t="shared" si="4"/>
        <v>0</v>
      </c>
      <c r="G18" s="189">
        <f>_xlfn.IFNA(VLOOKUP(A18,[11]折同!$C$3:$H$312,4,0),-[4]整車!$B$22)</f>
        <v>0</v>
      </c>
      <c r="H18" s="24">
        <f t="shared" si="5"/>
        <v>0</v>
      </c>
      <c r="I18" s="188">
        <f t="shared" si="6"/>
        <v>0</v>
      </c>
    </row>
    <row r="19" spans="1:9">
      <c r="A19" s="430" t="s">
        <v>199</v>
      </c>
      <c r="B19" s="189">
        <v>0</v>
      </c>
      <c r="C19" s="28">
        <v>0</v>
      </c>
      <c r="D19" s="185">
        <f t="shared" si="3"/>
        <v>0</v>
      </c>
      <c r="E19" s="189">
        <v>0</v>
      </c>
      <c r="F19" s="186">
        <f t="shared" si="4"/>
        <v>0</v>
      </c>
      <c r="G19" s="189">
        <f>_xlfn.IFNA(VLOOKUP(A19,[11]折同!$C$3:$H$312,4,0),-[4]整車!$B$22)</f>
        <v>0</v>
      </c>
      <c r="H19" s="24">
        <f t="shared" si="5"/>
        <v>0</v>
      </c>
      <c r="I19" s="188">
        <f t="shared" si="6"/>
        <v>0</v>
      </c>
    </row>
    <row r="20" spans="1:9">
      <c r="A20" s="431" t="s">
        <v>12</v>
      </c>
      <c r="B20" s="189">
        <v>0</v>
      </c>
      <c r="C20" s="28">
        <v>0</v>
      </c>
      <c r="D20" s="185">
        <f t="shared" si="3"/>
        <v>0</v>
      </c>
      <c r="E20" s="189">
        <v>0</v>
      </c>
      <c r="F20" s="186">
        <f t="shared" si="4"/>
        <v>0</v>
      </c>
      <c r="G20" s="189">
        <f>_xlfn.IFNA(VLOOKUP(A20,[11]折同!$C$3:$H$312,4,0),-[4]整車!$B$22)</f>
        <v>0</v>
      </c>
      <c r="H20" s="24">
        <f t="shared" si="5"/>
        <v>0</v>
      </c>
      <c r="I20" s="188">
        <f t="shared" si="6"/>
        <v>0</v>
      </c>
    </row>
    <row r="21" spans="1:9">
      <c r="A21" s="430" t="s">
        <v>201</v>
      </c>
      <c r="B21" s="189">
        <v>0</v>
      </c>
      <c r="C21" s="28">
        <v>0</v>
      </c>
      <c r="D21" s="185">
        <f t="shared" si="3"/>
        <v>0</v>
      </c>
      <c r="E21" s="189">
        <v>0</v>
      </c>
      <c r="F21" s="186">
        <f t="shared" si="4"/>
        <v>0</v>
      </c>
      <c r="G21" s="189">
        <f>_xlfn.IFNA(VLOOKUP(A21,[11]折同!$C$3:$H$312,4,0),-[4]整車!$B$22)</f>
        <v>0</v>
      </c>
      <c r="H21" s="24">
        <f t="shared" si="5"/>
        <v>0</v>
      </c>
      <c r="I21" s="188">
        <f t="shared" si="6"/>
        <v>0</v>
      </c>
    </row>
    <row r="22" spans="1:9">
      <c r="A22" s="431" t="s">
        <v>13</v>
      </c>
      <c r="B22" s="189">
        <v>0</v>
      </c>
      <c r="C22" s="28">
        <v>0</v>
      </c>
      <c r="D22" s="185">
        <f t="shared" si="3"/>
        <v>0</v>
      </c>
      <c r="E22" s="189">
        <v>0</v>
      </c>
      <c r="F22" s="186">
        <f t="shared" si="4"/>
        <v>0</v>
      </c>
      <c r="G22" s="189">
        <f>_xlfn.IFNA(VLOOKUP(A22,[11]折同!$C$3:$H$312,4,0),-[4]整車!$B$22)</f>
        <v>0</v>
      </c>
      <c r="H22" s="24">
        <f t="shared" si="5"/>
        <v>0</v>
      </c>
      <c r="I22" s="188">
        <f t="shared" si="6"/>
        <v>0</v>
      </c>
    </row>
    <row r="23" spans="1:9">
      <c r="A23" s="431" t="s">
        <v>14</v>
      </c>
      <c r="B23" s="189">
        <v>0</v>
      </c>
      <c r="C23" s="28">
        <v>0</v>
      </c>
      <c r="D23" s="185">
        <f t="shared" si="3"/>
        <v>0</v>
      </c>
      <c r="E23" s="189">
        <v>0</v>
      </c>
      <c r="F23" s="186">
        <f t="shared" si="4"/>
        <v>0</v>
      </c>
      <c r="G23" s="189">
        <f>_xlfn.IFNA(VLOOKUP(A23,[11]折同!$C$3:$H$312,4,0),-[4]整車!$B$22)</f>
        <v>0</v>
      </c>
      <c r="H23" s="24">
        <f t="shared" si="5"/>
        <v>0</v>
      </c>
      <c r="I23" s="188">
        <f t="shared" si="6"/>
        <v>0</v>
      </c>
    </row>
    <row r="24" spans="1:9">
      <c r="A24" s="431" t="s">
        <v>15</v>
      </c>
      <c r="B24" s="189">
        <v>0</v>
      </c>
      <c r="C24" s="28">
        <v>0</v>
      </c>
      <c r="D24" s="185">
        <f t="shared" si="3"/>
        <v>0</v>
      </c>
      <c r="E24" s="189">
        <v>0</v>
      </c>
      <c r="F24" s="186">
        <f t="shared" si="4"/>
        <v>0</v>
      </c>
      <c r="G24" s="189">
        <f>_xlfn.IFNA(VLOOKUP(A24,[11]折同!$C$3:$H$312,4,0),-[4]整車!$B$22)</f>
        <v>0</v>
      </c>
      <c r="H24" s="24">
        <f t="shared" si="5"/>
        <v>0</v>
      </c>
      <c r="I24" s="188">
        <f t="shared" si="6"/>
        <v>0</v>
      </c>
    </row>
    <row r="25" spans="1:9">
      <c r="A25" s="430" t="s">
        <v>202</v>
      </c>
      <c r="B25" s="189">
        <v>0</v>
      </c>
      <c r="C25" s="28">
        <v>0</v>
      </c>
      <c r="D25" s="185">
        <f t="shared" si="3"/>
        <v>0</v>
      </c>
      <c r="E25" s="189">
        <v>0</v>
      </c>
      <c r="F25" s="186">
        <f t="shared" si="4"/>
        <v>0</v>
      </c>
      <c r="G25" s="189">
        <f>_xlfn.IFNA(VLOOKUP(A25,[11]折同!$C$3:$H$312,4,0),-[4]整車!$B$22)</f>
        <v>0</v>
      </c>
      <c r="H25" s="24">
        <f t="shared" si="5"/>
        <v>0</v>
      </c>
      <c r="I25" s="188">
        <f t="shared" si="6"/>
        <v>0</v>
      </c>
    </row>
    <row r="26" spans="1:9">
      <c r="A26" s="430" t="s">
        <v>203</v>
      </c>
      <c r="B26" s="189">
        <v>0</v>
      </c>
      <c r="C26" s="28">
        <v>0</v>
      </c>
      <c r="D26" s="185">
        <f t="shared" si="3"/>
        <v>0</v>
      </c>
      <c r="E26" s="189">
        <v>0</v>
      </c>
      <c r="F26" s="186">
        <f t="shared" si="4"/>
        <v>0</v>
      </c>
      <c r="G26" s="189">
        <f>_xlfn.IFNA(VLOOKUP(A26,[11]折同!$C$3:$H$312,4,0),-[4]整車!$B$22)</f>
        <v>0</v>
      </c>
      <c r="H26" s="24">
        <f t="shared" si="5"/>
        <v>0</v>
      </c>
      <c r="I26" s="188">
        <f t="shared" si="6"/>
        <v>0</v>
      </c>
    </row>
    <row r="27" spans="1:9">
      <c r="A27" s="286" t="s">
        <v>204</v>
      </c>
      <c r="B27" s="189">
        <v>0</v>
      </c>
      <c r="C27" s="28">
        <v>0</v>
      </c>
      <c r="D27" s="185">
        <f t="shared" si="3"/>
        <v>0</v>
      </c>
      <c r="E27" s="189">
        <v>0</v>
      </c>
      <c r="F27" s="186">
        <f t="shared" si="4"/>
        <v>0</v>
      </c>
      <c r="G27" s="189">
        <f>_xlfn.IFNA(VLOOKUP(A27,[11]折同!$C$3:$H$312,4,0),-[4]整車!$B$22)</f>
        <v>0</v>
      </c>
      <c r="H27" s="24">
        <f t="shared" si="5"/>
        <v>0</v>
      </c>
      <c r="I27" s="188">
        <f t="shared" si="6"/>
        <v>0</v>
      </c>
    </row>
    <row r="28" spans="1:9">
      <c r="A28" s="286" t="s">
        <v>205</v>
      </c>
      <c r="B28" s="189">
        <v>0</v>
      </c>
      <c r="C28" s="28">
        <v>0</v>
      </c>
      <c r="D28" s="185">
        <f t="shared" si="3"/>
        <v>0</v>
      </c>
      <c r="E28" s="189">
        <v>0</v>
      </c>
      <c r="F28" s="186">
        <f t="shared" si="4"/>
        <v>0</v>
      </c>
      <c r="G28" s="189">
        <f>_xlfn.IFNA(VLOOKUP(A28,[11]折同!$C$3:$H$312,4,0),-[4]整車!$B$22)</f>
        <v>0</v>
      </c>
      <c r="H28" s="24">
        <f t="shared" si="5"/>
        <v>0</v>
      </c>
      <c r="I28" s="188">
        <f t="shared" si="6"/>
        <v>0</v>
      </c>
    </row>
    <row r="29" spans="1:9">
      <c r="A29" s="431" t="s">
        <v>206</v>
      </c>
      <c r="B29" s="189">
        <v>0</v>
      </c>
      <c r="C29" s="28">
        <v>0</v>
      </c>
      <c r="D29" s="185">
        <f t="shared" si="3"/>
        <v>0</v>
      </c>
      <c r="E29" s="189">
        <v>0</v>
      </c>
      <c r="F29" s="186">
        <f t="shared" si="4"/>
        <v>0</v>
      </c>
      <c r="G29" s="189">
        <f>_xlfn.IFNA(VLOOKUP(A29,[11]折同!$C$3:$H$312,4,0),-[4]整車!$B$22)</f>
        <v>0</v>
      </c>
      <c r="H29" s="24">
        <f t="shared" si="5"/>
        <v>0</v>
      </c>
      <c r="I29" s="188">
        <f t="shared" si="6"/>
        <v>0</v>
      </c>
    </row>
    <row r="30" spans="1:9">
      <c r="A30" s="431" t="s">
        <v>207</v>
      </c>
      <c r="B30" s="189">
        <v>0</v>
      </c>
      <c r="C30" s="28">
        <v>0</v>
      </c>
      <c r="D30" s="185">
        <f t="shared" si="3"/>
        <v>0</v>
      </c>
      <c r="E30" s="189">
        <v>0</v>
      </c>
      <c r="F30" s="186">
        <f t="shared" si="4"/>
        <v>0</v>
      </c>
      <c r="G30" s="189">
        <f>_xlfn.IFNA(VLOOKUP(A30,[11]折同!$C$3:$H$312,4,0),-[4]整車!$B$22)</f>
        <v>0</v>
      </c>
      <c r="H30" s="24">
        <f t="shared" si="5"/>
        <v>0</v>
      </c>
      <c r="I30" s="188">
        <f t="shared" si="6"/>
        <v>0</v>
      </c>
    </row>
    <row r="31" spans="1:9">
      <c r="A31" s="431" t="s">
        <v>16</v>
      </c>
      <c r="B31" s="189">
        <v>0</v>
      </c>
      <c r="C31" s="28">
        <v>0</v>
      </c>
      <c r="D31" s="185">
        <f t="shared" si="3"/>
        <v>0</v>
      </c>
      <c r="E31" s="189">
        <v>0</v>
      </c>
      <c r="F31" s="186">
        <f t="shared" si="4"/>
        <v>0</v>
      </c>
      <c r="G31" s="189">
        <f>_xlfn.IFNA(VLOOKUP(A31,[11]折同!$C$3:$H$312,4,0),-[4]整車!$B$22)</f>
        <v>0</v>
      </c>
      <c r="H31" s="24">
        <f t="shared" si="5"/>
        <v>0</v>
      </c>
      <c r="I31" s="188">
        <f t="shared" si="6"/>
        <v>0</v>
      </c>
    </row>
    <row r="32" spans="1:9">
      <c r="A32" s="431" t="s">
        <v>17</v>
      </c>
      <c r="B32" s="189">
        <v>0</v>
      </c>
      <c r="C32" s="28">
        <v>0</v>
      </c>
      <c r="D32" s="185">
        <f t="shared" si="3"/>
        <v>0</v>
      </c>
      <c r="E32" s="189">
        <v>0</v>
      </c>
      <c r="F32" s="186">
        <f t="shared" si="4"/>
        <v>0</v>
      </c>
      <c r="G32" s="189">
        <f>_xlfn.IFNA(VLOOKUP(A32,[11]折同!$C$3:$H$312,4,0),-[4]整車!$B$22)</f>
        <v>0</v>
      </c>
      <c r="H32" s="24">
        <f t="shared" si="5"/>
        <v>0</v>
      </c>
      <c r="I32" s="188">
        <f t="shared" si="6"/>
        <v>0</v>
      </c>
    </row>
    <row r="33" spans="1:9">
      <c r="A33" s="431" t="s">
        <v>208</v>
      </c>
      <c r="B33" s="189">
        <v>0</v>
      </c>
      <c r="C33" s="28">
        <v>0</v>
      </c>
      <c r="D33" s="185">
        <f t="shared" si="3"/>
        <v>0</v>
      </c>
      <c r="E33" s="189">
        <v>0</v>
      </c>
      <c r="F33" s="186">
        <f t="shared" si="4"/>
        <v>0</v>
      </c>
      <c r="G33" s="189">
        <f>_xlfn.IFNA(VLOOKUP(A33,[11]折同!$C$3:$H$312,4,0),-[4]整車!$B$22)</f>
        <v>0</v>
      </c>
      <c r="H33" s="24">
        <f t="shared" si="5"/>
        <v>0</v>
      </c>
      <c r="I33" s="188">
        <f t="shared" si="6"/>
        <v>0</v>
      </c>
    </row>
    <row r="34" spans="1:9">
      <c r="A34" s="431" t="s">
        <v>209</v>
      </c>
      <c r="B34" s="189">
        <v>0</v>
      </c>
      <c r="C34" s="28">
        <v>0</v>
      </c>
      <c r="D34" s="185">
        <f t="shared" si="3"/>
        <v>0</v>
      </c>
      <c r="E34" s="189">
        <v>0</v>
      </c>
      <c r="F34" s="186">
        <f t="shared" si="4"/>
        <v>0</v>
      </c>
      <c r="G34" s="189">
        <f>_xlfn.IFNA(VLOOKUP(A34,[11]折同!$C$3:$H$312,4,0),-[4]整車!$B$22)</f>
        <v>0</v>
      </c>
      <c r="H34" s="24">
        <f t="shared" si="5"/>
        <v>0</v>
      </c>
      <c r="I34" s="188">
        <f t="shared" si="6"/>
        <v>0</v>
      </c>
    </row>
    <row r="35" spans="1:9">
      <c r="A35" s="431" t="s">
        <v>210</v>
      </c>
      <c r="B35" s="189">
        <v>0</v>
      </c>
      <c r="C35" s="28">
        <v>0</v>
      </c>
      <c r="D35" s="185">
        <f t="shared" si="3"/>
        <v>0</v>
      </c>
      <c r="E35" s="189">
        <v>0</v>
      </c>
      <c r="F35" s="186">
        <f t="shared" si="4"/>
        <v>0</v>
      </c>
      <c r="G35" s="189">
        <f>_xlfn.IFNA(VLOOKUP(A35,[11]折同!$C$3:$H$312,4,0),-[4]整車!$B$22)</f>
        <v>0</v>
      </c>
      <c r="H35" s="24">
        <f t="shared" si="5"/>
        <v>0</v>
      </c>
      <c r="I35" s="188">
        <f t="shared" si="6"/>
        <v>0</v>
      </c>
    </row>
    <row r="36" spans="1:9">
      <c r="A36" s="431" t="s">
        <v>378</v>
      </c>
      <c r="B36" s="189">
        <v>0</v>
      </c>
      <c r="C36" s="28">
        <v>0</v>
      </c>
      <c r="D36" s="185">
        <f t="shared" si="3"/>
        <v>0</v>
      </c>
      <c r="E36" s="189">
        <v>0</v>
      </c>
      <c r="F36" s="186">
        <f t="shared" si="4"/>
        <v>0</v>
      </c>
      <c r="G36" s="189">
        <f>_xlfn.IFNA(VLOOKUP(A36,[11]折同!$C$3:$H$312,4,0),-[4]整車!$B$22)</f>
        <v>0</v>
      </c>
      <c r="H36" s="24">
        <f t="shared" si="5"/>
        <v>0</v>
      </c>
      <c r="I36" s="188">
        <f t="shared" si="6"/>
        <v>0</v>
      </c>
    </row>
    <row r="37" spans="1:9">
      <c r="A37" s="431" t="s">
        <v>212</v>
      </c>
      <c r="B37" s="189">
        <v>0</v>
      </c>
      <c r="C37" s="28">
        <v>0</v>
      </c>
      <c r="D37" s="185">
        <f t="shared" si="3"/>
        <v>0</v>
      </c>
      <c r="E37" s="189">
        <v>0</v>
      </c>
      <c r="F37" s="186">
        <f t="shared" si="4"/>
        <v>0</v>
      </c>
      <c r="G37" s="189">
        <f>_xlfn.IFNA(VLOOKUP(A37,[11]折同!$C$3:$H$312,4,0),-[4]整車!$B$22)</f>
        <v>0</v>
      </c>
      <c r="H37" s="24">
        <f t="shared" si="5"/>
        <v>0</v>
      </c>
      <c r="I37" s="188">
        <f t="shared" si="6"/>
        <v>0</v>
      </c>
    </row>
    <row r="38" spans="1:9">
      <c r="A38" s="431" t="s">
        <v>213</v>
      </c>
      <c r="B38" s="189">
        <v>0</v>
      </c>
      <c r="C38" s="28">
        <v>0</v>
      </c>
      <c r="D38" s="185">
        <f t="shared" si="3"/>
        <v>0</v>
      </c>
      <c r="E38" s="189">
        <v>0</v>
      </c>
      <c r="F38" s="186">
        <f t="shared" si="4"/>
        <v>0</v>
      </c>
      <c r="G38" s="189">
        <f>_xlfn.IFNA(VLOOKUP(A38,[11]折同!$C$3:$H$312,4,0),-[4]整車!$B$22)</f>
        <v>0</v>
      </c>
      <c r="H38" s="24">
        <f t="shared" si="5"/>
        <v>0</v>
      </c>
      <c r="I38" s="188">
        <f t="shared" si="6"/>
        <v>0</v>
      </c>
    </row>
    <row r="39" spans="1:9">
      <c r="A39" s="431" t="s">
        <v>18</v>
      </c>
      <c r="B39" s="189">
        <v>0</v>
      </c>
      <c r="C39" s="28">
        <v>0</v>
      </c>
      <c r="D39" s="185">
        <f t="shared" si="3"/>
        <v>0</v>
      </c>
      <c r="E39" s="189">
        <v>0</v>
      </c>
      <c r="F39" s="186">
        <f t="shared" si="4"/>
        <v>0</v>
      </c>
      <c r="G39" s="189">
        <f>_xlfn.IFNA(VLOOKUP(A39,[11]折同!$C$3:$H$312,4,0),-[4]整車!$B$22)</f>
        <v>0</v>
      </c>
      <c r="H39" s="24">
        <f t="shared" si="5"/>
        <v>0</v>
      </c>
      <c r="I39" s="188">
        <f t="shared" si="6"/>
        <v>0</v>
      </c>
    </row>
    <row r="40" spans="1:9">
      <c r="A40" s="30"/>
      <c r="B40" s="189"/>
      <c r="C40" s="27"/>
      <c r="D40" s="185"/>
      <c r="E40" s="27"/>
      <c r="F40" s="190"/>
      <c r="G40" s="189"/>
      <c r="H40" s="24"/>
      <c r="I40" s="188"/>
    </row>
    <row r="41" spans="1:9" ht="15.6" customHeight="1">
      <c r="A41" s="36" t="s">
        <v>19</v>
      </c>
      <c r="B41" s="191">
        <f>SUM(B42:B45)</f>
        <v>0</v>
      </c>
      <c r="C41" s="33">
        <f>SUM(C42:C45)</f>
        <v>0</v>
      </c>
      <c r="D41" s="185">
        <f t="shared" si="0"/>
        <v>0</v>
      </c>
      <c r="E41" s="33">
        <f>SUM(E42:E45)</f>
        <v>0</v>
      </c>
      <c r="F41" s="186">
        <f>E41/$E$68</f>
        <v>0</v>
      </c>
      <c r="G41" s="191">
        <f>SUM(G42:G45)</f>
        <v>0</v>
      </c>
      <c r="H41" s="24">
        <f t="shared" ref="H41:H42" si="7">G41/$G$68</f>
        <v>0</v>
      </c>
      <c r="I41" s="188">
        <f t="shared" si="1"/>
        <v>0</v>
      </c>
    </row>
    <row r="42" spans="1:9">
      <c r="A42" s="430" t="s">
        <v>214</v>
      </c>
      <c r="B42" s="189">
        <v>0</v>
      </c>
      <c r="C42" s="28">
        <v>0</v>
      </c>
      <c r="D42" s="185">
        <f t="shared" si="0"/>
        <v>0</v>
      </c>
      <c r="E42" s="189">
        <v>0</v>
      </c>
      <c r="F42" s="186">
        <f>E42/$E$68</f>
        <v>0</v>
      </c>
      <c r="G42" s="28">
        <v>0</v>
      </c>
      <c r="H42" s="24">
        <f t="shared" si="7"/>
        <v>0</v>
      </c>
      <c r="I42" s="188">
        <f t="shared" si="1"/>
        <v>0</v>
      </c>
    </row>
    <row r="43" spans="1:9">
      <c r="A43" s="430" t="s">
        <v>215</v>
      </c>
      <c r="B43" s="189">
        <v>0</v>
      </c>
      <c r="C43" s="28">
        <v>0</v>
      </c>
      <c r="D43" s="185">
        <f t="shared" ref="D43:D45" si="8">IF(B43,C43/B43,0)</f>
        <v>0</v>
      </c>
      <c r="E43" s="189">
        <v>0</v>
      </c>
      <c r="F43" s="186">
        <f t="shared" ref="F43:F45" si="9">E43/$E$68</f>
        <v>0</v>
      </c>
      <c r="G43" s="28">
        <v>0</v>
      </c>
      <c r="H43" s="24">
        <f t="shared" ref="H43:H45" si="10">G43/$G$68</f>
        <v>0</v>
      </c>
      <c r="I43" s="188">
        <f t="shared" ref="I43:I45" si="11">IF(E43,G43/E43,0)</f>
        <v>0</v>
      </c>
    </row>
    <row r="44" spans="1:9">
      <c r="A44" s="430" t="s">
        <v>216</v>
      </c>
      <c r="B44" s="189">
        <v>0</v>
      </c>
      <c r="C44" s="28">
        <v>0</v>
      </c>
      <c r="D44" s="185">
        <f t="shared" si="8"/>
        <v>0</v>
      </c>
      <c r="E44" s="189">
        <v>0</v>
      </c>
      <c r="F44" s="186">
        <f t="shared" si="9"/>
        <v>0</v>
      </c>
      <c r="G44" s="28">
        <v>0</v>
      </c>
      <c r="H44" s="24">
        <f t="shared" si="10"/>
        <v>0</v>
      </c>
      <c r="I44" s="188">
        <f t="shared" si="11"/>
        <v>0</v>
      </c>
    </row>
    <row r="45" spans="1:9">
      <c r="A45" s="30" t="s">
        <v>20</v>
      </c>
      <c r="B45" s="189">
        <v>0</v>
      </c>
      <c r="C45" s="28">
        <v>0</v>
      </c>
      <c r="D45" s="185">
        <f t="shared" si="8"/>
        <v>0</v>
      </c>
      <c r="E45" s="189">
        <v>0</v>
      </c>
      <c r="F45" s="186">
        <f t="shared" si="9"/>
        <v>0</v>
      </c>
      <c r="G45" s="28">
        <v>0</v>
      </c>
      <c r="H45" s="24">
        <f t="shared" si="10"/>
        <v>0</v>
      </c>
      <c r="I45" s="188">
        <f t="shared" si="11"/>
        <v>0</v>
      </c>
    </row>
    <row r="46" spans="1:9" ht="16.899999999999999" customHeight="1">
      <c r="A46" s="30"/>
      <c r="B46" s="189"/>
      <c r="C46" s="27"/>
      <c r="D46" s="185"/>
      <c r="E46" s="27"/>
      <c r="F46" s="190"/>
      <c r="G46" s="189"/>
      <c r="H46" s="24"/>
      <c r="I46" s="188"/>
    </row>
    <row r="47" spans="1:9">
      <c r="A47" s="36" t="s">
        <v>21</v>
      </c>
      <c r="B47" s="191">
        <f>SUM(B48:B66)</f>
        <v>127</v>
      </c>
      <c r="C47" s="33">
        <f>SUM(C48:C66)</f>
        <v>126688</v>
      </c>
      <c r="D47" s="185">
        <f t="shared" si="0"/>
        <v>997.54330708661416</v>
      </c>
      <c r="E47" s="33">
        <f>SUM(E48:E66)</f>
        <v>1539</v>
      </c>
      <c r="F47" s="186">
        <f>E47/$E$68</f>
        <v>0.84886927744070606</v>
      </c>
      <c r="G47" s="191">
        <f>SUM(G48:G66)</f>
        <v>1121293</v>
      </c>
      <c r="H47" s="24">
        <f>G47/$G$68</f>
        <v>0.85928168721583487</v>
      </c>
      <c r="I47" s="188">
        <f t="shared" si="1"/>
        <v>728.58544509421699</v>
      </c>
    </row>
    <row r="48" spans="1:9">
      <c r="A48" s="460" t="s">
        <v>157</v>
      </c>
      <c r="B48" s="189">
        <v>0</v>
      </c>
      <c r="C48" s="28">
        <v>0</v>
      </c>
      <c r="D48" s="185">
        <f t="shared" si="0"/>
        <v>0</v>
      </c>
      <c r="E48" s="189">
        <v>0</v>
      </c>
      <c r="F48" s="186">
        <f t="shared" ref="F48" si="12">E48/$E$68</f>
        <v>0</v>
      </c>
      <c r="G48" s="189">
        <f>_xlfn.IFNA(VLOOKUP(A48,[11]折同!$C$3:$H$362,4,0),-[4]整車!$B$22)</f>
        <v>0</v>
      </c>
      <c r="H48" s="24">
        <f>G48/$G$68</f>
        <v>0</v>
      </c>
      <c r="I48" s="188">
        <f t="shared" si="1"/>
        <v>0</v>
      </c>
    </row>
    <row r="49" spans="1:10">
      <c r="A49" s="430" t="s">
        <v>217</v>
      </c>
      <c r="B49" s="189">
        <v>0</v>
      </c>
      <c r="C49" s="28">
        <v>0</v>
      </c>
      <c r="D49" s="185">
        <f t="shared" ref="D49:D66" si="13">IF(B49,C49/B49,0)</f>
        <v>0</v>
      </c>
      <c r="E49" s="189">
        <f>VLOOKUP(A49,[10]進出口值表查詢結果!$A$10:$C$23,3,0)</f>
        <v>317</v>
      </c>
      <c r="F49" s="186">
        <f t="shared" ref="F49:F66" si="14">E49/$E$68</f>
        <v>0.17484831770546055</v>
      </c>
      <c r="G49" s="189">
        <f>VLOOKUP(A49,[10]進出口值表查詢結果!$A$10:$C$23,2,0)</f>
        <v>150756</v>
      </c>
      <c r="H49" s="24">
        <f t="shared" ref="H49:H66" si="15">G49/$G$68</f>
        <v>0.11552900984658818</v>
      </c>
      <c r="I49" s="188">
        <f t="shared" ref="I49:I66" si="16">IF(E49,G49/E49,0)</f>
        <v>475.57097791798105</v>
      </c>
    </row>
    <row r="50" spans="1:10">
      <c r="A50" s="283" t="s">
        <v>218</v>
      </c>
      <c r="B50" s="189">
        <v>0</v>
      </c>
      <c r="C50" s="28">
        <v>0</v>
      </c>
      <c r="D50" s="185">
        <f t="shared" si="13"/>
        <v>0</v>
      </c>
      <c r="E50" s="189">
        <v>0</v>
      </c>
      <c r="F50" s="186">
        <f t="shared" si="14"/>
        <v>0</v>
      </c>
      <c r="G50" s="189">
        <f>_xlfn.IFNA(VLOOKUP(A50,[11]折同!$C$3:$H$362,4,0),-[4]整車!$B$22)</f>
        <v>0</v>
      </c>
      <c r="H50" s="24">
        <f t="shared" si="15"/>
        <v>0</v>
      </c>
      <c r="I50" s="188">
        <f t="shared" si="16"/>
        <v>0</v>
      </c>
      <c r="J50" s="461"/>
    </row>
    <row r="51" spans="1:10">
      <c r="A51" s="430" t="s">
        <v>219</v>
      </c>
      <c r="B51" s="189">
        <v>0</v>
      </c>
      <c r="C51" s="28">
        <v>0</v>
      </c>
      <c r="D51" s="185">
        <f t="shared" si="13"/>
        <v>0</v>
      </c>
      <c r="E51" s="189">
        <v>0</v>
      </c>
      <c r="F51" s="186">
        <f t="shared" si="14"/>
        <v>0</v>
      </c>
      <c r="G51" s="189">
        <f>_xlfn.IFNA(VLOOKUP(A51,[11]折同!$C$3:$H$362,4,0),-[4]整車!$B$22)</f>
        <v>0</v>
      </c>
      <c r="H51" s="24">
        <f t="shared" si="15"/>
        <v>0</v>
      </c>
      <c r="I51" s="188">
        <f t="shared" si="16"/>
        <v>0</v>
      </c>
    </row>
    <row r="52" spans="1:10">
      <c r="A52" s="431" t="s">
        <v>22</v>
      </c>
      <c r="B52" s="189">
        <v>0</v>
      </c>
      <c r="C52" s="28">
        <v>0</v>
      </c>
      <c r="D52" s="185">
        <f t="shared" si="13"/>
        <v>0</v>
      </c>
      <c r="E52" s="189">
        <v>0</v>
      </c>
      <c r="F52" s="186">
        <f t="shared" si="14"/>
        <v>0</v>
      </c>
      <c r="G52" s="189">
        <f>_xlfn.IFNA(VLOOKUP(A52,[11]折同!$C$3:$H$362,4,0),-[4]整車!$B$22)</f>
        <v>0</v>
      </c>
      <c r="H52" s="24">
        <f t="shared" si="15"/>
        <v>0</v>
      </c>
      <c r="I52" s="188">
        <f t="shared" si="16"/>
        <v>0</v>
      </c>
    </row>
    <row r="53" spans="1:10">
      <c r="A53" s="430" t="s">
        <v>220</v>
      </c>
      <c r="B53" s="189">
        <v>0</v>
      </c>
      <c r="C53" s="28">
        <v>0</v>
      </c>
      <c r="D53" s="185">
        <f t="shared" si="13"/>
        <v>0</v>
      </c>
      <c r="E53" s="189">
        <v>0</v>
      </c>
      <c r="F53" s="186">
        <f t="shared" si="14"/>
        <v>0</v>
      </c>
      <c r="G53" s="189">
        <f>_xlfn.IFNA(VLOOKUP(A53,[11]折同!$C$3:$H$362,4,0),-[4]整車!$B$22)</f>
        <v>0</v>
      </c>
      <c r="H53" s="24">
        <f t="shared" si="15"/>
        <v>0</v>
      </c>
      <c r="I53" s="188">
        <f t="shared" si="16"/>
        <v>0</v>
      </c>
    </row>
    <row r="54" spans="1:10">
      <c r="A54" s="431" t="s">
        <v>221</v>
      </c>
      <c r="B54" s="189">
        <v>0</v>
      </c>
      <c r="C54" s="28">
        <v>0</v>
      </c>
      <c r="D54" s="185">
        <f t="shared" si="13"/>
        <v>0</v>
      </c>
      <c r="E54" s="189">
        <v>0</v>
      </c>
      <c r="F54" s="186">
        <f t="shared" si="14"/>
        <v>0</v>
      </c>
      <c r="G54" s="189">
        <f>_xlfn.IFNA(VLOOKUP(A54,[11]折同!$C$3:$H$362,4,0),-[4]整車!$B$22)</f>
        <v>0</v>
      </c>
      <c r="H54" s="24">
        <f t="shared" si="15"/>
        <v>0</v>
      </c>
      <c r="I54" s="188">
        <f t="shared" si="16"/>
        <v>0</v>
      </c>
    </row>
    <row r="55" spans="1:10">
      <c r="A55" s="431" t="s">
        <v>23</v>
      </c>
      <c r="B55" s="189">
        <v>0</v>
      </c>
      <c r="C55" s="28">
        <v>0</v>
      </c>
      <c r="D55" s="185">
        <f t="shared" si="13"/>
        <v>0</v>
      </c>
      <c r="E55" s="189">
        <v>0</v>
      </c>
      <c r="F55" s="186">
        <f t="shared" si="14"/>
        <v>0</v>
      </c>
      <c r="G55" s="189">
        <f>_xlfn.IFNA(VLOOKUP(A55,[11]折同!$C$3:$H$362,4,0),-[4]整車!$B$22)</f>
        <v>0</v>
      </c>
      <c r="H55" s="24">
        <f t="shared" si="15"/>
        <v>0</v>
      </c>
      <c r="I55" s="188">
        <f t="shared" si="16"/>
        <v>0</v>
      </c>
    </row>
    <row r="56" spans="1:10">
      <c r="A56" s="431" t="s">
        <v>222</v>
      </c>
      <c r="B56" s="189">
        <v>127</v>
      </c>
      <c r="C56" s="28">
        <v>126688</v>
      </c>
      <c r="D56" s="185">
        <f t="shared" si="13"/>
        <v>997.54330708661416</v>
      </c>
      <c r="E56" s="189">
        <f>VLOOKUP(A56,[10]進出口值表查詢結果!$A$10:$C$23,3,0)</f>
        <v>215</v>
      </c>
      <c r="F56" s="186">
        <f t="shared" si="14"/>
        <v>0.11858797573083288</v>
      </c>
      <c r="G56" s="189">
        <f>VLOOKUP(A56,[10]進出口值表查詢結果!$A$10:$C$23,2,0)</f>
        <v>258004</v>
      </c>
      <c r="H56" s="24">
        <f t="shared" si="15"/>
        <v>0.197716486617177</v>
      </c>
      <c r="I56" s="188">
        <f t="shared" si="16"/>
        <v>1200.0186046511628</v>
      </c>
    </row>
    <row r="57" spans="1:10">
      <c r="A57" s="433" t="s">
        <v>223</v>
      </c>
      <c r="B57" s="189">
        <v>0</v>
      </c>
      <c r="C57" s="28">
        <v>0</v>
      </c>
      <c r="D57" s="185">
        <f t="shared" si="13"/>
        <v>0</v>
      </c>
      <c r="E57" s="189">
        <f>VLOOKUP(A57,[10]進出口值表查詢結果!$A$10:$C$23,3,0)</f>
        <v>524</v>
      </c>
      <c r="F57" s="186">
        <f t="shared" si="14"/>
        <v>0.28902371759514617</v>
      </c>
      <c r="G57" s="189">
        <f>VLOOKUP(A57,[10]進出口值表查詢結果!$A$10:$C$23,2,0)</f>
        <v>438887</v>
      </c>
      <c r="H57" s="24">
        <f t="shared" si="15"/>
        <v>0.336332753220698</v>
      </c>
      <c r="I57" s="188">
        <f t="shared" si="16"/>
        <v>837.57061068702285</v>
      </c>
    </row>
    <row r="58" spans="1:10">
      <c r="A58" s="286" t="s">
        <v>379</v>
      </c>
      <c r="B58" s="189">
        <v>0</v>
      </c>
      <c r="C58" s="28">
        <v>0</v>
      </c>
      <c r="D58" s="185">
        <f t="shared" si="13"/>
        <v>0</v>
      </c>
      <c r="E58" s="189">
        <f>VLOOKUP(A58,[10]進出口值表查詢結果!$A$10:$C$23,3,0)</f>
        <v>82</v>
      </c>
      <c r="F58" s="186">
        <f t="shared" si="14"/>
        <v>4.5228902371759513E-2</v>
      </c>
      <c r="G58" s="189">
        <f>VLOOKUP(A58,[10]進出口值表查詢結果!$A$10:$C$23,2,0)</f>
        <v>118840</v>
      </c>
      <c r="H58" s="24">
        <f t="shared" si="15"/>
        <v>9.107078676914046E-2</v>
      </c>
      <c r="I58" s="188">
        <f t="shared" si="16"/>
        <v>1449.2682926829268</v>
      </c>
    </row>
    <row r="59" spans="1:10">
      <c r="A59" s="431" t="s">
        <v>24</v>
      </c>
      <c r="B59" s="189">
        <v>0</v>
      </c>
      <c r="C59" s="28">
        <v>0</v>
      </c>
      <c r="D59" s="185">
        <f t="shared" si="13"/>
        <v>0</v>
      </c>
      <c r="E59" s="189">
        <f>VLOOKUP(A59,[10]進出口值表查詢結果!$A$10:$C$23,3,0)</f>
        <v>400</v>
      </c>
      <c r="F59" s="186">
        <f t="shared" si="14"/>
        <v>0.22062879205736349</v>
      </c>
      <c r="G59" s="189">
        <f>VLOOKUP(A59,[10]進出口值表查詢結果!$A$10:$C$23,2,0)</f>
        <v>154715</v>
      </c>
      <c r="H59" s="24">
        <f t="shared" si="15"/>
        <v>0.11856291463301553</v>
      </c>
      <c r="I59" s="188">
        <f t="shared" si="16"/>
        <v>386.78750000000002</v>
      </c>
    </row>
    <row r="60" spans="1:10">
      <c r="A60" s="431" t="s">
        <v>25</v>
      </c>
      <c r="B60" s="189">
        <v>0</v>
      </c>
      <c r="C60" s="28">
        <v>0</v>
      </c>
      <c r="D60" s="185">
        <f t="shared" si="13"/>
        <v>0</v>
      </c>
      <c r="E60" s="189">
        <v>0</v>
      </c>
      <c r="F60" s="186">
        <f t="shared" si="14"/>
        <v>0</v>
      </c>
      <c r="G60" s="189">
        <f>_xlfn.IFNA(VLOOKUP(A60,[11]折同!$C$3:$H$362,4,0),-[4]整車!$B$22)</f>
        <v>0</v>
      </c>
      <c r="H60" s="24">
        <f t="shared" si="15"/>
        <v>0</v>
      </c>
      <c r="I60" s="188">
        <f t="shared" si="16"/>
        <v>0</v>
      </c>
    </row>
    <row r="61" spans="1:10">
      <c r="A61" s="431" t="s">
        <v>26</v>
      </c>
      <c r="B61" s="189">
        <v>0</v>
      </c>
      <c r="C61" s="28">
        <v>0</v>
      </c>
      <c r="D61" s="185">
        <f t="shared" si="13"/>
        <v>0</v>
      </c>
      <c r="E61" s="189">
        <v>0</v>
      </c>
      <c r="F61" s="186">
        <f t="shared" si="14"/>
        <v>0</v>
      </c>
      <c r="G61" s="189">
        <f>_xlfn.IFNA(VLOOKUP(A61,[11]折同!$C$3:$H$362,4,0),-[4]整車!$B$22)</f>
        <v>0</v>
      </c>
      <c r="H61" s="24">
        <f t="shared" si="15"/>
        <v>0</v>
      </c>
      <c r="I61" s="188">
        <f t="shared" si="16"/>
        <v>0</v>
      </c>
    </row>
    <row r="62" spans="1:10">
      <c r="A62" s="286" t="s">
        <v>224</v>
      </c>
      <c r="B62" s="189">
        <v>0</v>
      </c>
      <c r="C62" s="28">
        <v>0</v>
      </c>
      <c r="D62" s="185">
        <f t="shared" si="13"/>
        <v>0</v>
      </c>
      <c r="E62" s="189">
        <v>0</v>
      </c>
      <c r="F62" s="186">
        <f t="shared" si="14"/>
        <v>0</v>
      </c>
      <c r="G62" s="189">
        <f>_xlfn.IFNA(VLOOKUP(A62,[11]折同!$C$3:$H$362,4,0),-[4]整車!$B$22)</f>
        <v>0</v>
      </c>
      <c r="H62" s="24">
        <f t="shared" si="15"/>
        <v>0</v>
      </c>
      <c r="I62" s="188">
        <f t="shared" si="16"/>
        <v>0</v>
      </c>
    </row>
    <row r="63" spans="1:10">
      <c r="A63" s="431" t="s">
        <v>27</v>
      </c>
      <c r="B63" s="189">
        <v>0</v>
      </c>
      <c r="C63" s="28">
        <v>0</v>
      </c>
      <c r="D63" s="185">
        <f t="shared" si="13"/>
        <v>0</v>
      </c>
      <c r="E63" s="189">
        <v>0</v>
      </c>
      <c r="F63" s="186">
        <f t="shared" si="14"/>
        <v>0</v>
      </c>
      <c r="G63" s="189">
        <f>_xlfn.IFNA(VLOOKUP(A63,[11]折同!$C$3:$H$362,4,0),-[4]整車!$B$22)</f>
        <v>0</v>
      </c>
      <c r="H63" s="24">
        <f t="shared" si="15"/>
        <v>0</v>
      </c>
      <c r="I63" s="188">
        <f t="shared" si="16"/>
        <v>0</v>
      </c>
    </row>
    <row r="64" spans="1:10" ht="15.75" customHeight="1">
      <c r="A64" s="286" t="s">
        <v>225</v>
      </c>
      <c r="B64" s="189">
        <v>0</v>
      </c>
      <c r="C64" s="28">
        <v>0</v>
      </c>
      <c r="D64" s="185">
        <f t="shared" si="13"/>
        <v>0</v>
      </c>
      <c r="E64" s="189">
        <v>0</v>
      </c>
      <c r="F64" s="186">
        <f t="shared" si="14"/>
        <v>0</v>
      </c>
      <c r="G64" s="189">
        <f>_xlfn.IFNA(VLOOKUP(A64,[11]折同!$C$3:$H$362,4,0),-[4]整車!$B$22)</f>
        <v>0</v>
      </c>
      <c r="H64" s="24">
        <f t="shared" si="15"/>
        <v>0</v>
      </c>
      <c r="I64" s="188">
        <f t="shared" si="16"/>
        <v>0</v>
      </c>
    </row>
    <row r="65" spans="1:9">
      <c r="A65" s="431" t="s">
        <v>28</v>
      </c>
      <c r="B65" s="189">
        <v>0</v>
      </c>
      <c r="C65" s="28">
        <v>0</v>
      </c>
      <c r="D65" s="185">
        <f t="shared" si="13"/>
        <v>0</v>
      </c>
      <c r="E65" s="189">
        <v>0</v>
      </c>
      <c r="F65" s="186">
        <f t="shared" si="14"/>
        <v>0</v>
      </c>
      <c r="G65" s="189">
        <f>_xlfn.IFNA(VLOOKUP(A65,[11]折同!$C$3:$H$362,4,0),-[4]整車!$B$22)</f>
        <v>0</v>
      </c>
      <c r="H65" s="24">
        <f t="shared" si="15"/>
        <v>0</v>
      </c>
      <c r="I65" s="188">
        <f t="shared" si="16"/>
        <v>0</v>
      </c>
    </row>
    <row r="66" spans="1:9">
      <c r="A66" s="286" t="s">
        <v>226</v>
      </c>
      <c r="B66" s="189">
        <v>0</v>
      </c>
      <c r="C66" s="28">
        <v>0</v>
      </c>
      <c r="D66" s="185">
        <f t="shared" si="13"/>
        <v>0</v>
      </c>
      <c r="E66" s="189">
        <f>VLOOKUP(A66,[10]進出口值表查詢結果!$A$10:$C$23,3,0)</f>
        <v>1</v>
      </c>
      <c r="F66" s="186">
        <f t="shared" si="14"/>
        <v>5.5157198014340876E-4</v>
      </c>
      <c r="G66" s="189">
        <f>VLOOKUP(A66,[10]進出口值表查詢結果!$A$10:$C$23,2,0)</f>
        <v>91</v>
      </c>
      <c r="H66" s="24">
        <f t="shared" si="15"/>
        <v>6.9736129215683114E-5</v>
      </c>
      <c r="I66" s="188">
        <f t="shared" si="16"/>
        <v>91</v>
      </c>
    </row>
    <row r="67" spans="1:9">
      <c r="A67" s="30" t="s">
        <v>29</v>
      </c>
      <c r="B67" s="189">
        <f>B68-B7-B12-B41-B47</f>
        <v>0</v>
      </c>
      <c r="C67" s="27">
        <f>C68-C47-C41-C12-C7</f>
        <v>0</v>
      </c>
      <c r="D67" s="185">
        <f t="shared" si="0"/>
        <v>0</v>
      </c>
      <c r="E67" s="27">
        <f>E68-E47-E41-E12-E7</f>
        <v>13</v>
      </c>
      <c r="F67" s="186">
        <f t="shared" ref="F67:F68" si="17">E67/$E$68</f>
        <v>7.1704357418643132E-3</v>
      </c>
      <c r="G67" s="189">
        <f>G68-G47-G41-G12-G7</f>
        <v>15902</v>
      </c>
      <c r="H67" s="24">
        <f t="shared" ref="H67:H68" si="18">G67/$G$68</f>
        <v>1.2186196997668054E-2</v>
      </c>
      <c r="I67" s="188">
        <f t="shared" si="1"/>
        <v>1223.2307692307693</v>
      </c>
    </row>
    <row r="68" spans="1:9">
      <c r="A68" s="32" t="s">
        <v>398</v>
      </c>
      <c r="B68" s="189">
        <v>127</v>
      </c>
      <c r="C68" s="28">
        <v>126688</v>
      </c>
      <c r="D68" s="185">
        <f t="shared" ref="D68" si="19">C68/B68</f>
        <v>997.54330708661416</v>
      </c>
      <c r="E68" s="189">
        <f>VLOOKUP(A68,[10]進出口值表查詢結果!$A$10:$C$23,3,0)</f>
        <v>1813</v>
      </c>
      <c r="F68" s="186">
        <f t="shared" si="17"/>
        <v>1</v>
      </c>
      <c r="G68" s="189">
        <f>VLOOKUP(A68,[10]進出口值表查詢結果!$A$10:$C$23,2,0)</f>
        <v>1304919</v>
      </c>
      <c r="H68" s="24">
        <f t="shared" si="18"/>
        <v>1</v>
      </c>
      <c r="I68" s="188">
        <f t="shared" ref="I68" si="20">G68/E68</f>
        <v>719.75675675675677</v>
      </c>
    </row>
    <row r="69" spans="1:9" ht="6.75" customHeight="1">
      <c r="A69" s="38"/>
      <c r="B69" s="192"/>
      <c r="C69" s="39"/>
      <c r="D69" s="193"/>
      <c r="E69" s="39"/>
      <c r="F69" s="194"/>
      <c r="G69" s="192"/>
      <c r="H69" s="41"/>
      <c r="I69" s="193"/>
    </row>
    <row r="70" spans="1:9">
      <c r="A70" s="54" t="s">
        <v>458</v>
      </c>
      <c r="B70" s="195"/>
      <c r="C70" s="39"/>
      <c r="D70" s="195"/>
      <c r="E70" s="13"/>
      <c r="F70" s="195"/>
      <c r="G70" s="195"/>
      <c r="H70" s="13"/>
      <c r="I70" s="195"/>
    </row>
    <row r="71" spans="1:9" s="13" customFormat="1">
      <c r="A71" s="5"/>
      <c r="B71" s="93"/>
      <c r="C71" s="39"/>
      <c r="D71" s="93"/>
      <c r="E71" s="5"/>
      <c r="F71" s="93"/>
      <c r="G71" s="93"/>
      <c r="H71" s="5"/>
      <c r="I71" s="93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2025-09-04T09:47:29Z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