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F733B712-9D6E-491C-BB1C-E3B0615D74B5}" xr6:coauthVersionLast="47" xr6:coauthVersionMax="47" xr10:uidLastSave="{00000000-0000-0000-0000-000000000000}"/>
  <bookViews>
    <workbookView xWindow="5430" yWindow="0" windowWidth="14985" windowHeight="10905" tabRatio="852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22" l="1"/>
  <c r="F67" i="22"/>
  <c r="F12" i="5"/>
  <c r="G12" i="5"/>
  <c r="E165" i="30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C58" i="25"/>
  <c r="C55" i="25"/>
  <c r="C52" i="25"/>
  <c r="C50" i="25"/>
  <c r="C48" i="25"/>
  <c r="C45" i="25"/>
  <c r="C39" i="25"/>
  <c r="C37" i="25"/>
  <c r="C35" i="25"/>
  <c r="C32" i="25"/>
  <c r="C29" i="25"/>
  <c r="C27" i="25"/>
  <c r="C24" i="25"/>
  <c r="C22" i="25"/>
  <c r="C19" i="25"/>
  <c r="C16" i="25"/>
  <c r="C13" i="25"/>
  <c r="F58" i="23"/>
  <c r="F55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F65" i="23" s="1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19" i="23"/>
  <c r="C16" i="23"/>
  <c r="C13" i="23"/>
  <c r="F65" i="25" l="1"/>
  <c r="C65" i="23"/>
  <c r="C65" i="25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M19" i="22"/>
  <c r="L19" i="22"/>
  <c r="L17" i="22"/>
  <c r="M16" i="22"/>
  <c r="L16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F20" i="22"/>
  <c r="G19" i="22"/>
  <c r="F19" i="22"/>
  <c r="F17" i="22"/>
  <c r="G16" i="22"/>
  <c r="F16" i="22"/>
  <c r="G13" i="22"/>
  <c r="F13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C17" i="22"/>
  <c r="D16" i="22"/>
  <c r="C16" i="22"/>
  <c r="D13" i="22"/>
  <c r="C13" i="22"/>
  <c r="G29" i="26"/>
  <c r="D29" i="26"/>
  <c r="G8" i="26"/>
  <c r="D8" i="26"/>
  <c r="F64" i="12"/>
  <c r="F62" i="12"/>
  <c r="F61" i="12"/>
  <c r="F58" i="12"/>
  <c r="F55" i="12"/>
  <c r="F52" i="12"/>
  <c r="F51" i="12"/>
  <c r="F50" i="12"/>
  <c r="F49" i="12"/>
  <c r="F45" i="12"/>
  <c r="F44" i="12"/>
  <c r="F43" i="12"/>
  <c r="F30" i="12"/>
  <c r="F29" i="12"/>
  <c r="F28" i="12"/>
  <c r="F27" i="12"/>
  <c r="F26" i="12"/>
  <c r="F25" i="12"/>
  <c r="F15" i="12"/>
  <c r="F16" i="12"/>
  <c r="F17" i="12"/>
  <c r="F18" i="12"/>
  <c r="F19" i="12"/>
  <c r="F20" i="12"/>
  <c r="F21" i="12"/>
  <c r="F14" i="12"/>
  <c r="F10" i="12"/>
  <c r="F11" i="12"/>
  <c r="F9" i="12"/>
  <c r="C64" i="12"/>
  <c r="C50" i="12"/>
  <c r="C51" i="12"/>
  <c r="C52" i="12"/>
  <c r="C55" i="12"/>
  <c r="C58" i="12"/>
  <c r="C61" i="12"/>
  <c r="C62" i="12"/>
  <c r="C49" i="12"/>
  <c r="C44" i="12"/>
  <c r="C45" i="12"/>
  <c r="C43" i="12"/>
  <c r="C15" i="12"/>
  <c r="C16" i="12"/>
  <c r="C17" i="12"/>
  <c r="C18" i="12"/>
  <c r="C19" i="12"/>
  <c r="C20" i="12"/>
  <c r="C21" i="12"/>
  <c r="C25" i="12"/>
  <c r="C26" i="12"/>
  <c r="C27" i="12"/>
  <c r="C28" i="12"/>
  <c r="C29" i="12"/>
  <c r="C30" i="12"/>
  <c r="C14" i="12"/>
  <c r="C10" i="12"/>
  <c r="C11" i="12"/>
  <c r="C9" i="12"/>
  <c r="G64" i="11"/>
  <c r="G62" i="11"/>
  <c r="G61" i="11"/>
  <c r="G53" i="11"/>
  <c r="G54" i="11"/>
  <c r="G55" i="11"/>
  <c r="G56" i="11"/>
  <c r="G57" i="11"/>
  <c r="G58" i="11"/>
  <c r="G52" i="11"/>
  <c r="G50" i="11"/>
  <c r="G49" i="11"/>
  <c r="G44" i="11"/>
  <c r="G43" i="11"/>
  <c r="G30" i="11"/>
  <c r="G28" i="11"/>
  <c r="G29" i="11"/>
  <c r="G26" i="11"/>
  <c r="G25" i="11"/>
  <c r="G15" i="11"/>
  <c r="G16" i="11"/>
  <c r="G17" i="11"/>
  <c r="G18" i="11"/>
  <c r="G19" i="11"/>
  <c r="G20" i="11"/>
  <c r="G14" i="11"/>
  <c r="G10" i="11"/>
  <c r="G11" i="11"/>
  <c r="G9" i="11"/>
  <c r="E48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3" i="11"/>
  <c r="E42" i="11" s="1"/>
  <c r="E15" i="11"/>
  <c r="E16" i="11"/>
  <c r="E17" i="11"/>
  <c r="E18" i="11"/>
  <c r="E19" i="11"/>
  <c r="E20" i="11"/>
  <c r="E25" i="11"/>
  <c r="E26" i="11"/>
  <c r="E28" i="11"/>
  <c r="E29" i="11"/>
  <c r="E30" i="11"/>
  <c r="E14" i="11"/>
  <c r="E10" i="11"/>
  <c r="E11" i="11"/>
  <c r="E9" i="11"/>
  <c r="C64" i="11"/>
  <c r="C62" i="11"/>
  <c r="C61" i="11"/>
  <c r="C58" i="11"/>
  <c r="C57" i="11"/>
  <c r="C56" i="11"/>
  <c r="C55" i="11"/>
  <c r="C54" i="11"/>
  <c r="C53" i="11"/>
  <c r="C50" i="11"/>
  <c r="C49" i="11"/>
  <c r="C43" i="11"/>
  <c r="C29" i="11"/>
  <c r="C30" i="11"/>
  <c r="C28" i="11"/>
  <c r="C26" i="11"/>
  <c r="C15" i="11"/>
  <c r="C16" i="11"/>
  <c r="C17" i="11"/>
  <c r="C18" i="11"/>
  <c r="C19" i="11"/>
  <c r="C20" i="11"/>
  <c r="C14" i="11"/>
  <c r="C10" i="11"/>
  <c r="C11" i="11"/>
  <c r="C9" i="11"/>
  <c r="B64" i="11"/>
  <c r="B50" i="11"/>
  <c r="B53" i="11"/>
  <c r="B54" i="11"/>
  <c r="B55" i="11"/>
  <c r="B56" i="11"/>
  <c r="B57" i="11"/>
  <c r="B58" i="11"/>
  <c r="B61" i="11"/>
  <c r="B62" i="11"/>
  <c r="B49" i="11"/>
  <c r="B43" i="11"/>
  <c r="B15" i="11"/>
  <c r="B16" i="11"/>
  <c r="B17" i="11"/>
  <c r="B18" i="11"/>
  <c r="B19" i="11"/>
  <c r="B20" i="11"/>
  <c r="B26" i="11"/>
  <c r="B28" i="11"/>
  <c r="B29" i="11"/>
  <c r="B30" i="11"/>
  <c r="B14" i="11"/>
  <c r="B10" i="11"/>
  <c r="B11" i="11"/>
  <c r="B9" i="11"/>
  <c r="E41" i="5"/>
  <c r="G66" i="5"/>
  <c r="G61" i="5"/>
  <c r="G59" i="5"/>
  <c r="G58" i="5"/>
  <c r="G57" i="5"/>
  <c r="F41" i="5"/>
  <c r="G41" i="5"/>
  <c r="F47" i="5"/>
  <c r="G49" i="5"/>
  <c r="G48" i="5"/>
  <c r="G17" i="5"/>
  <c r="G16" i="5"/>
  <c r="G15" i="5"/>
  <c r="G14" i="5"/>
  <c r="E47" i="5"/>
  <c r="E66" i="5"/>
  <c r="E49" i="5"/>
  <c r="E57" i="5"/>
  <c r="E58" i="5"/>
  <c r="E59" i="5"/>
  <c r="E61" i="5"/>
  <c r="E48" i="5"/>
  <c r="E14" i="5"/>
  <c r="E12" i="5" s="1"/>
  <c r="E15" i="5"/>
  <c r="E16" i="5"/>
  <c r="E17" i="5"/>
  <c r="G8" i="5"/>
  <c r="E8" i="5"/>
  <c r="F7" i="5"/>
  <c r="C66" i="5"/>
  <c r="C61" i="5"/>
  <c r="C57" i="5"/>
  <c r="C58" i="5"/>
  <c r="C59" i="5"/>
  <c r="C49" i="5"/>
  <c r="C48" i="5"/>
  <c r="C17" i="5"/>
  <c r="C14" i="5"/>
  <c r="C15" i="5"/>
  <c r="B66" i="5"/>
  <c r="B49" i="5"/>
  <c r="B57" i="5"/>
  <c r="B58" i="5"/>
  <c r="B59" i="5"/>
  <c r="B61" i="5"/>
  <c r="B48" i="5"/>
  <c r="B14" i="5"/>
  <c r="B15" i="5"/>
  <c r="B17" i="5"/>
  <c r="G67" i="1"/>
  <c r="G65" i="1"/>
  <c r="G64" i="1"/>
  <c r="G61" i="1"/>
  <c r="G62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41" i="1" s="1"/>
  <c r="G39" i="1"/>
  <c r="G35" i="1"/>
  <c r="G34" i="1"/>
  <c r="G33" i="1"/>
  <c r="G32" i="1"/>
  <c r="G29" i="1"/>
  <c r="G28" i="1"/>
  <c r="G27" i="1"/>
  <c r="G25" i="1"/>
  <c r="G14" i="1"/>
  <c r="G15" i="1"/>
  <c r="G16" i="1"/>
  <c r="G17" i="1"/>
  <c r="G18" i="1"/>
  <c r="G1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4" i="1"/>
  <c r="E65" i="1"/>
  <c r="E48" i="1"/>
  <c r="E43" i="1"/>
  <c r="E44" i="1"/>
  <c r="E42" i="1"/>
  <c r="E41" i="1" s="1"/>
  <c r="E14" i="1"/>
  <c r="E12" i="1" s="1"/>
  <c r="E15" i="1"/>
  <c r="E16" i="1"/>
  <c r="E17" i="1"/>
  <c r="E18" i="1"/>
  <c r="E19" i="1"/>
  <c r="E25" i="1"/>
  <c r="E27" i="1"/>
  <c r="E28" i="1"/>
  <c r="E29" i="1"/>
  <c r="E32" i="1"/>
  <c r="E33" i="1"/>
  <c r="E34" i="1"/>
  <c r="E35" i="1"/>
  <c r="E39" i="1"/>
  <c r="E13" i="1"/>
  <c r="E9" i="1"/>
  <c r="E10" i="1"/>
  <c r="E8" i="1"/>
  <c r="C67" i="1"/>
  <c r="C65" i="1"/>
  <c r="C64" i="1"/>
  <c r="C61" i="1"/>
  <c r="C62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39" i="1"/>
  <c r="C35" i="1"/>
  <c r="C34" i="1"/>
  <c r="C32" i="1"/>
  <c r="C29" i="1"/>
  <c r="C28" i="1"/>
  <c r="C27" i="1"/>
  <c r="C25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B43" i="1"/>
  <c r="B42" i="1"/>
  <c r="B39" i="1"/>
  <c r="B14" i="1"/>
  <c r="B15" i="1"/>
  <c r="B16" i="1"/>
  <c r="B17" i="1"/>
  <c r="B18" i="1"/>
  <c r="B19" i="1"/>
  <c r="B25" i="1"/>
  <c r="B27" i="1"/>
  <c r="B28" i="1"/>
  <c r="B29" i="1"/>
  <c r="B32" i="1"/>
  <c r="B34" i="1"/>
  <c r="B35" i="1"/>
  <c r="B13" i="1"/>
  <c r="B9" i="1"/>
  <c r="B10" i="1"/>
  <c r="B8" i="1"/>
  <c r="B9" i="28"/>
  <c r="B10" i="28"/>
  <c r="D72" i="1"/>
  <c r="J120" i="30"/>
  <c r="G7" i="27"/>
  <c r="B63" i="23"/>
  <c r="E68" i="10"/>
  <c r="G68" i="10" s="1"/>
  <c r="E13" i="11" l="1"/>
  <c r="E47" i="1"/>
  <c r="E7" i="1"/>
  <c r="G42" i="11"/>
  <c r="M67" i="22"/>
  <c r="L67" i="22"/>
  <c r="C13" i="12"/>
  <c r="G48" i="11"/>
  <c r="G13" i="11"/>
  <c r="G8" i="11"/>
  <c r="E8" i="11"/>
  <c r="E63" i="11" s="1"/>
  <c r="G47" i="5"/>
  <c r="G65" i="5" s="1"/>
  <c r="E7" i="5"/>
  <c r="E65" i="5" s="1"/>
  <c r="E66" i="1"/>
  <c r="G47" i="1"/>
  <c r="G12" i="1"/>
  <c r="G7" i="1"/>
  <c r="C12" i="1"/>
  <c r="C13" i="11"/>
  <c r="B13" i="11"/>
  <c r="B8" i="28"/>
  <c r="B7" i="28"/>
  <c r="C27" i="9"/>
  <c r="G63" i="11" l="1"/>
  <c r="G66" i="1"/>
  <c r="F60" i="12"/>
  <c r="F53" i="12"/>
  <c r="F46" i="12"/>
  <c r="F40" i="12"/>
  <c r="F39" i="12"/>
  <c r="F38" i="12"/>
  <c r="F37" i="12"/>
  <c r="F36" i="12"/>
  <c r="F35" i="12"/>
  <c r="F34" i="12"/>
  <c r="F33" i="12"/>
  <c r="F32" i="12"/>
  <c r="F31" i="12"/>
  <c r="F24" i="12"/>
  <c r="F23" i="12"/>
  <c r="F22" i="12"/>
  <c r="F49" i="11"/>
  <c r="H49" i="11"/>
  <c r="F64" i="10"/>
  <c r="C64" i="10"/>
  <c r="F63" i="10"/>
  <c r="C63" i="10"/>
  <c r="F62" i="10"/>
  <c r="C62" i="10"/>
  <c r="F61" i="10"/>
  <c r="C61" i="10"/>
  <c r="F60" i="10"/>
  <c r="C60" i="10"/>
  <c r="F55" i="10"/>
  <c r="C55" i="10"/>
  <c r="F54" i="10"/>
  <c r="C54" i="10"/>
  <c r="F53" i="10"/>
  <c r="C53" i="10"/>
  <c r="F52" i="10"/>
  <c r="C52" i="10"/>
  <c r="F51" i="10"/>
  <c r="C51" i="10"/>
  <c r="F50" i="10"/>
  <c r="C50" i="10"/>
  <c r="F45" i="10"/>
  <c r="C45" i="10"/>
  <c r="F44" i="10"/>
  <c r="C44" i="10"/>
  <c r="F43" i="10"/>
  <c r="C43" i="10"/>
  <c r="F42" i="10"/>
  <c r="C42" i="10"/>
  <c r="F39" i="10"/>
  <c r="C39" i="10"/>
  <c r="F38" i="10"/>
  <c r="C38" i="10"/>
  <c r="F37" i="10"/>
  <c r="C37" i="10"/>
  <c r="F36" i="10"/>
  <c r="C36" i="10"/>
  <c r="F35" i="10"/>
  <c r="C35" i="10"/>
  <c r="F34" i="10"/>
  <c r="C34" i="10"/>
  <c r="F33" i="10"/>
  <c r="C33" i="10"/>
  <c r="F32" i="10"/>
  <c r="C32" i="10"/>
  <c r="F31" i="10"/>
  <c r="C31" i="10"/>
  <c r="F30" i="10"/>
  <c r="C30" i="10"/>
  <c r="F29" i="10"/>
  <c r="C29" i="10"/>
  <c r="F28" i="10"/>
  <c r="C28" i="10"/>
  <c r="F27" i="10"/>
  <c r="C27" i="10"/>
  <c r="F26" i="10"/>
  <c r="C26" i="10"/>
  <c r="F25" i="10"/>
  <c r="C25" i="10"/>
  <c r="F23" i="10"/>
  <c r="C23" i="10"/>
  <c r="F22" i="10"/>
  <c r="C22" i="10"/>
  <c r="F21" i="10"/>
  <c r="C21" i="10"/>
  <c r="F20" i="10"/>
  <c r="C20" i="10"/>
  <c r="F19" i="10"/>
  <c r="C19" i="10"/>
  <c r="F18" i="10"/>
  <c r="C18" i="10"/>
  <c r="F17" i="10"/>
  <c r="C17" i="10"/>
  <c r="F16" i="10"/>
  <c r="C16" i="10"/>
  <c r="F14" i="10"/>
  <c r="C14" i="10"/>
  <c r="F10" i="10"/>
  <c r="C10" i="10"/>
  <c r="F9" i="10"/>
  <c r="C9" i="10"/>
  <c r="G65" i="9"/>
  <c r="E65" i="9"/>
  <c r="G64" i="9"/>
  <c r="E64" i="9"/>
  <c r="G63" i="9"/>
  <c r="E63" i="9"/>
  <c r="G62" i="9"/>
  <c r="E62" i="9"/>
  <c r="G61" i="9"/>
  <c r="E61" i="9"/>
  <c r="G60" i="9"/>
  <c r="E60" i="9"/>
  <c r="G55" i="9"/>
  <c r="E55" i="9"/>
  <c r="G54" i="9"/>
  <c r="E54" i="9"/>
  <c r="G53" i="9"/>
  <c r="E53" i="9"/>
  <c r="G52" i="9"/>
  <c r="E52" i="9"/>
  <c r="G51" i="9"/>
  <c r="E51" i="9"/>
  <c r="G50" i="9"/>
  <c r="E50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0" i="9"/>
  <c r="E10" i="9"/>
  <c r="G9" i="9"/>
  <c r="E9" i="9"/>
  <c r="G8" i="9"/>
  <c r="E8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C8" i="9"/>
  <c r="B8" i="9"/>
  <c r="C64" i="5"/>
  <c r="C63" i="5"/>
  <c r="C62" i="5"/>
  <c r="C60" i="5"/>
  <c r="C45" i="5"/>
  <c r="C44" i="5"/>
  <c r="C43" i="5"/>
  <c r="C42" i="5"/>
  <c r="C39" i="5"/>
  <c r="C38" i="5"/>
  <c r="C37" i="5"/>
  <c r="C36" i="5"/>
  <c r="C35" i="5"/>
  <c r="C34" i="5"/>
  <c r="C33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H105" i="30"/>
  <c r="F13" i="12" l="1"/>
  <c r="H120" i="30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I47" i="1"/>
  <c r="B47" i="9"/>
  <c r="G47" i="9"/>
  <c r="F47" i="10"/>
  <c r="C47" i="9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N36" i="18" s="1"/>
  <c r="N9" i="18" s="1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L36" i="18" s="1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F36" i="18" l="1"/>
  <c r="H36" i="18"/>
  <c r="T36" i="18"/>
  <c r="M36" i="18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C42" i="12" l="1"/>
  <c r="H53" i="11"/>
  <c r="H32" i="11"/>
  <c r="H28" i="11"/>
  <c r="H27" i="11"/>
  <c r="H20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I45" i="2"/>
  <c r="J45" i="2" s="1"/>
  <c r="D7" i="5"/>
  <c r="D7" i="1"/>
  <c r="F7" i="1"/>
  <c r="I7" i="1"/>
  <c r="F41" i="10"/>
  <c r="G41" i="10" s="1"/>
  <c r="C41" i="10"/>
  <c r="C41" i="9"/>
  <c r="B41" i="10"/>
  <c r="B7" i="9"/>
  <c r="D7" i="9" s="1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H43" i="11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C42" i="11"/>
  <c r="I72" i="2"/>
  <c r="B41" i="2"/>
  <c r="H15" i="5"/>
  <c r="H44" i="11"/>
  <c r="H64" i="11"/>
  <c r="H19" i="11"/>
  <c r="B42" i="11"/>
  <c r="H42" i="11"/>
  <c r="H50" i="11"/>
  <c r="H56" i="11"/>
  <c r="C7" i="9"/>
  <c r="C12" i="9"/>
  <c r="B7" i="10"/>
  <c r="C12" i="10"/>
  <c r="C8" i="11"/>
  <c r="D8" i="11" s="1"/>
  <c r="H25" i="11"/>
  <c r="H26" i="11"/>
  <c r="H48" i="11"/>
  <c r="C7" i="10"/>
  <c r="B12" i="10"/>
  <c r="H54" i="11"/>
  <c r="C8" i="12"/>
  <c r="H55" i="11"/>
  <c r="E8" i="12"/>
  <c r="E13" i="12"/>
  <c r="E42" i="12"/>
  <c r="B8" i="12"/>
  <c r="F8" i="12"/>
  <c r="B13" i="12"/>
  <c r="B42" i="12"/>
  <c r="D42" i="12" s="1"/>
  <c r="F42" i="12"/>
  <c r="H29" i="11"/>
  <c r="H52" i="11"/>
  <c r="H8" i="11"/>
  <c r="H15" i="11"/>
  <c r="H16" i="11"/>
  <c r="H17" i="11"/>
  <c r="F7" i="10"/>
  <c r="E12" i="10"/>
  <c r="F12" i="10"/>
  <c r="H7" i="9"/>
  <c r="F47" i="9"/>
  <c r="E7" i="9"/>
  <c r="H17" i="5"/>
  <c r="H24" i="5"/>
  <c r="H62" i="5"/>
  <c r="B12" i="2"/>
  <c r="D12" i="2" s="1"/>
  <c r="E7" i="2"/>
  <c r="B7" i="2"/>
  <c r="I67" i="2"/>
  <c r="J67" i="2" s="1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B63" i="11" l="1"/>
  <c r="G8" i="12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J72" i="2"/>
  <c r="E63" i="12"/>
  <c r="H66" i="1"/>
  <c r="C63" i="12"/>
  <c r="C67" i="9"/>
  <c r="B67" i="9"/>
  <c r="C66" i="1"/>
  <c r="C63" i="11"/>
  <c r="E67" i="9"/>
  <c r="B66" i="2"/>
  <c r="F63" i="12"/>
  <c r="B63" i="12"/>
  <c r="H13" i="11"/>
  <c r="F48" i="11"/>
  <c r="F67" i="10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<sst xmlns="http://schemas.openxmlformats.org/spreadsheetml/2006/main" count="1808" uniqueCount="518">
  <si>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</si>
  <si>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</si>
  <si>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</si>
  <si>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</si>
  <si>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</si>
  <si>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</si>
  <si>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</si>
  <si>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</si>
  <si>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</si>
  <si>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</si>
  <si>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</si>
  <si>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</si>
  <si>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</si>
  <si>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</si>
  <si>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</si>
  <si>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</si>
  <si>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</si>
  <si>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</si>
  <si>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</si>
  <si>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</si>
  <si>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</si>
  <si>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</si>
  <si>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</si>
  <si>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</si>
  <si>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</si>
  <si>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</si>
  <si>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</si>
  <si>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</si>
  <si>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</si>
  <si>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</si>
  <si>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</si>
  <si>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</si>
  <si>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</si>
  <si>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</si>
  <si>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</si>
  <si>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</si>
  <si>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</si>
  <si>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</si>
  <si>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</si>
  <si>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</si>
  <si>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</si>
  <si>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</si>
  <si>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</si>
  <si>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</si>
  <si>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</si>
  <si>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</si>
  <si>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</si>
  <si>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</si>
  <si>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</si>
  <si>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</si>
  <si>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</si>
  <si>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</si>
  <si>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</si>
  <si>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</si>
  <si>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</si>
  <si>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</si>
  <si>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</si>
  <si>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</si>
  <si>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</si>
  <si>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</si>
  <si>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</si>
  <si>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</si>
  <si>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</si>
  <si>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</si>
  <si>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</si>
  <si>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</si>
  <si>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</si>
  <si>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</si>
  <si>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</si>
  <si>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</si>
  <si>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</si>
  <si>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</si>
  <si>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</si>
  <si>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</si>
  <si>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</si>
  <si>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</si>
  <si>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</si>
  <si>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</si>
  <si>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</si>
  <si>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</si>
  <si>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</si>
  <si>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</si>
  <si>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</si>
  <si>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</si>
  <si>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</si>
  <si>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</si>
  <si>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</si>
  <si>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</si>
  <si>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</si>
  <si>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</si>
  <si>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</si>
  <si>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</si>
  <si>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</si>
  <si>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</si>
  <si>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</si>
  <si>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</si>
  <si>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</si>
  <si>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</si>
  <si>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</si>
  <si>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</si>
  <si>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</si>
  <si>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</si>
  <si>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</si>
  <si>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</si>
  <si>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</si>
  <si>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</si>
  <si>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</si>
  <si>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</si>
  <si>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</si>
  <si>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</si>
  <si>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</si>
  <si>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</si>
  <si>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</si>
  <si>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</si>
  <si>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</si>
  <si>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</si>
  <si>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</si>
  <si>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</si>
  <si>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</si>
  <si>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</si>
  <si>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</si>
  <si>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</si>
  <si>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</si>
  <si>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</si>
  <si>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</si>
  <si>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</si>
  <si>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</si>
  <si>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</si>
  <si>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</si>
  <si>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</si>
  <si>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</si>
  <si>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</si>
  <si>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</si>
  <si>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</si>
  <si>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</si>
  <si>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</si>
  <si>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</si>
  <si>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</si>
  <si>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</si>
  <si>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</si>
  <si>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</si>
  <si>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</si>
  <si>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</si>
  <si>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</si>
  <si>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</si>
  <si>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</si>
  <si>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</si>
  <si>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</si>
  <si>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</si>
  <si>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</si>
  <si>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</si>
  <si>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</si>
  <si>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</si>
  <si>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</si>
  <si>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</si>
  <si>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</si>
  <si>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</si>
  <si>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</si>
  <si>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</si>
  <si>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</si>
  <si>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</si>
  <si>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</si>
  <si>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</si>
  <si>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</si>
  <si>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</si>
  <si>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</si>
  <si>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</si>
  <si>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</si>
  <si>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</si>
  <si>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</si>
  <si>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</si>
  <si>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</si>
  <si>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</si>
  <si>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</si>
  <si>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</si>
  <si>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</si>
  <si>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</si>
  <si>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</si>
  <si>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</si>
  <si>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</si>
  <si>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</si>
  <si>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</si>
  <si>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</si>
  <si>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</si>
  <si>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</si>
  <si>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</si>
  <si>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</si>
  <si>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</si>
  <si>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</si>
  <si>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</si>
  <si>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</si>
  <si>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</si>
  <si>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</si>
  <si>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</si>
  <si>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</si>
  <si>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</si>
  <si>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</si>
  <si>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</si>
  <si>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</si>
  <si>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</si>
  <si>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</si>
  <si>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</si>
  <si>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</si>
  <si>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</si>
  <si>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</si>
  <si>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</si>
  <si>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</si>
  <si>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</si>
  <si>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</si>
  <si>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</si>
  <si>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</si>
  <si>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</si>
  <si>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</si>
  <si>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</si>
  <si>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</si>
  <si>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</si>
  <si>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</si>
  <si>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</si>
  <si>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</si>
  <si>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</si>
  <si>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</si>
  <si>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</si>
  <si>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</si>
  <si>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</si>
  <si>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</si>
  <si>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</si>
  <si>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</si>
  <si>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</si>
  <si>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</si>
  <si>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</si>
  <si>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</si>
  <si>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</si>
  <si>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</si>
  <si>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</si>
  <si>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</si>
  <si>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</si>
  <si>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</si>
  <si>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</si>
  <si>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</si>
  <si>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</si>
  <si>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</si>
  <si>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</si>
  <si>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</si>
  <si>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</si>
  <si>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</si>
  <si>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</si>
  <si>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</si>
  <si>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</si>
  <si>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</si>
  <si>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</si>
  <si>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</si>
  <si>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</si>
  <si>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</si>
  <si>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</si>
  <si>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</si>
  <si>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</si>
  <si>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</si>
  <si>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</si>
  <si>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</si>
  <si>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</si>
  <si>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</si>
  <si>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</si>
  <si>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</si>
  <si>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</si>
  <si>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</si>
  <si>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</si>
  <si>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</si>
  <si>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</si>
  <si>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</si>
  <si>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</si>
  <si>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</si>
  <si>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</si>
  <si>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</si>
  <si>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</si>
  <si>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</si>
  <si>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</si>
  <si>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</si>
  <si>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</si>
  <si>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</si>
  <si>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</si>
  <si>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</si>
  <si>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</si>
  <si>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</si>
  <si>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</si>
  <si>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</si>
  <si>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</si>
  <si>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</si>
  <si>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</si>
  <si>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</si>
  <si>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</si>
  <si>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</si>
  <si>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</si>
  <si>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</si>
  <si>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</si>
  <si>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</si>
  <si>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</si>
  <si>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</si>
  <si>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</si>
  <si>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</si>
  <si>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</si>
  <si>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</si>
  <si>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</si>
  <si>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</si>
  <si>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</si>
  <si>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</si>
  <si>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</si>
  <si>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</si>
  <si>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</si>
  <si>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</si>
  <si>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</si>
  <si>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</si>
  <si>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</si>
  <si>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</si>
  <si>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</si>
  <si>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</si>
  <si>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</si>
  <si>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</si>
  <si>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</si>
  <si>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</si>
  <si>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</si>
  <si>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</si>
  <si>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</si>
  <si>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</si>
  <si>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</si>
  <si>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</si>
  <si>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</si>
  <si>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</si>
  <si>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</si>
  <si>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</si>
  <si>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</si>
  <si>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</si>
  <si>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</si>
  <si>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</si>
  <si>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</si>
  <si>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</si>
  <si>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</si>
  <si>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</si>
  <si>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</si>
  <si>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</si>
  <si>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</si>
  <si>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</si>
  <si>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</si>
  <si>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</si>
  <si>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</si>
  <si>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</si>
  <si>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</si>
  <si>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</si>
  <si>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</si>
  <si>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</si>
  <si>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</si>
  <si>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</si>
  <si>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</si>
  <si>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</si>
  <si>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</si>
  <si>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</si>
  <si>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</si>
  <si>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</si>
  <si>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</si>
  <si>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</si>
  <si>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</si>
  <si>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</si>
  <si>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</si>
  <si>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</si>
  <si>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</si>
  <si>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</si>
  <si>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</si>
  <si>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</si>
  <si>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</si>
  <si>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</si>
  <si>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</si>
  <si>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</si>
  <si>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</si>
  <si>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</si>
  <si>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</si>
  <si>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</si>
  <si>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</si>
  <si>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</si>
  <si>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</si>
  <si>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</si>
  <si>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</si>
  <si>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</si>
  <si>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</si>
  <si>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</si>
  <si>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</si>
  <si>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</si>
  <si>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</si>
  <si>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</si>
  <si>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</si>
  <si>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</si>
  <si>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</si>
  <si>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</si>
  <si>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</si>
  <si>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</si>
  <si>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</si>
  <si>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</si>
  <si>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</si>
  <si>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</si>
  <si>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</si>
  <si>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</si>
  <si>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</si>
  <si>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</si>
  <si>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</si>
  <si>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</si>
  <si>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</si>
  <si>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</si>
  <si>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</si>
  <si>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</si>
  <si>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</si>
  <si>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</si>
  <si>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</si>
  <si>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</si>
  <si>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</si>
  <si>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</si>
  <si>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</si>
  <si>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</si>
  <si>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</si>
  <si>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</si>
  <si>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</si>
  <si>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</si>
  <si>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</si>
  <si>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</si>
  <si>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</si>
  <si>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</si>
  <si>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</si>
  <si>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</si>
  <si>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</si>
  <si>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</si>
  <si>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</si>
  <si>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</si>
  <si>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</si>
  <si>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</si>
  <si>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</si>
  <si>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</si>
  <si>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</si>
  <si>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</si>
  <si>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</si>
  <si>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</si>
  <si>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</si>
  <si>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</si>
  <si>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</si>
  <si>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</si>
  <si>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</si>
  <si>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</si>
  <si>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</si>
  <si>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</si>
  <si>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</si>
  <si>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</si>
  <si>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</si>
  <si>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</si>
  <si>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</si>
  <si>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</si>
  <si>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</si>
  <si>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</si>
  <si>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菲律賓</t>
  </si>
  <si>
    <t>香港</t>
  </si>
  <si>
    <t>印度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</si>
  <si>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</si>
  <si>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</si>
  <si>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</si>
  <si>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</si>
  <si>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</si>
  <si>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</si>
  <si>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</si>
  <si>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</si>
  <si>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</si>
  <si>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</si>
  <si>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2025 -2024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</si>
  <si>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</si>
  <si>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</si>
  <si>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</si>
  <si>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</si>
  <si>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＊中華民國</t>
    <phoneticPr fontId="3" type="noConversion"/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</si>
  <si>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</si>
  <si>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</si>
  <si>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</si>
  <si>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</si>
  <si>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</si>
  <si>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</si>
  <si>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</si>
  <si>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</si>
  <si>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</si>
  <si>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</si>
  <si>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</si>
  <si>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</si>
  <si>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</si>
  <si>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</si>
  <si>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年2月</t>
    </r>
    <phoneticPr fontId="4" type="noConversion"/>
  </si>
  <si>
    <r>
      <t>2</t>
    </r>
    <r>
      <rPr>
        <sz val="12"/>
        <rFont val="新細明體"/>
        <family val="1"/>
        <charset val="136"/>
      </rPr>
      <t>月數量</t>
    </r>
    <phoneticPr fontId="4" type="noConversion"/>
  </si>
  <si>
    <r>
      <t>2</t>
    </r>
    <r>
      <rPr>
        <sz val="12"/>
        <rFont val="新細明體"/>
        <family val="1"/>
        <charset val="136"/>
      </rPr>
      <t>月金額</t>
    </r>
    <phoneticPr fontId="4" type="noConversion"/>
  </si>
  <si>
    <r>
      <t>1-2</t>
    </r>
    <r>
      <rPr>
        <sz val="12"/>
        <rFont val="新細明體"/>
        <family val="1"/>
        <charset val="136"/>
      </rPr>
      <t>月數量</t>
    </r>
    <phoneticPr fontId="4" type="noConversion"/>
  </si>
  <si>
    <r>
      <t>1-2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</si>
  <si>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</si>
  <si>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</si>
  <si>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</si>
  <si>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1-2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</si>
  <si>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年2月台灣自行車出口地區別統計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</si>
  <si>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</si>
  <si>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</si>
  <si>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'2025/2024年1-2月台灣電動自行車主要出口國家比較        </t>
    <phoneticPr fontId="4" type="noConversion"/>
  </si>
  <si>
    <t>2025年1-2月台灣折疊式自行車主要出口國家統計</t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</si>
  <si>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</si>
  <si>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</si>
  <si>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</si>
  <si>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</si>
  <si>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</si>
  <si>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2月出口量</t>
    <phoneticPr fontId="4" type="noConversion"/>
  </si>
  <si>
    <t>2月出口金額</t>
    <phoneticPr fontId="4" type="noConversion"/>
  </si>
  <si>
    <r>
      <t>1-2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</si>
  <si>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1-2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</si>
  <si>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2月進口量</t>
    <phoneticPr fontId="4" type="noConversion"/>
  </si>
  <si>
    <t>2月進口金額</t>
    <phoneticPr fontId="4" type="noConversion"/>
  </si>
  <si>
    <r>
      <t>1-2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</si>
  <si>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1-2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</si>
  <si>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1-2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</si>
  <si>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1-2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</si>
  <si>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年2月台灣自行車主要零件進出口統計</t>
    </r>
    <phoneticPr fontId="4" type="noConversion"/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</si>
  <si>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</si>
  <si>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Times New Roman"/>
        <family val="1"/>
      </rPr>
      <t>(85121010001)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</si>
</sst>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10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rgb="FFFF0000"/>
      <name val="Microsoft JhengHei"/>
      <family val="3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89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176" fontId="79" fillId="0" borderId="10" xfId="4" applyNumberFormat="1" applyFont="1" applyBorder="1"/>
    <xf numFmtId="180" fontId="79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1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2" fillId="0" borderId="0" xfId="0" applyFont="1" applyAlignment="1"/>
    <xf numFmtId="0" fontId="83" fillId="2" borderId="2" xfId="0" applyFont="1" applyFill="1" applyBorder="1" applyAlignment="1"/>
    <xf numFmtId="0" fontId="83" fillId="0" borderId="4" xfId="0" quotePrefix="1" applyFont="1" applyBorder="1" applyAlignment="1">
      <alignment horizontal="center"/>
    </xf>
    <xf numFmtId="0" fontId="83" fillId="0" borderId="9" xfId="0" quotePrefix="1" applyFont="1" applyBorder="1" applyAlignment="1">
      <alignment horizontal="center"/>
    </xf>
    <xf numFmtId="0" fontId="82" fillId="2" borderId="11" xfId="0" applyFont="1" applyFill="1" applyBorder="1" applyAlignment="1"/>
    <xf numFmtId="176" fontId="82" fillId="2" borderId="9" xfId="0" applyNumberFormat="1" applyFont="1" applyFill="1" applyBorder="1" applyAlignment="1"/>
    <xf numFmtId="176" fontId="82" fillId="0" borderId="9" xfId="0" applyNumberFormat="1" applyFont="1" applyBorder="1" applyAlignment="1"/>
    <xf numFmtId="176" fontId="82" fillId="0" borderId="10" xfId="0" applyNumberFormat="1" applyFont="1" applyBorder="1" applyAlignment="1"/>
    <xf numFmtId="176" fontId="82" fillId="2" borderId="10" xfId="0" applyNumberFormat="1" applyFont="1" applyFill="1" applyBorder="1" applyAlignment="1"/>
    <xf numFmtId="176" fontId="82" fillId="2" borderId="0" xfId="0" applyNumberFormat="1" applyFont="1" applyFill="1" applyAlignment="1"/>
    <xf numFmtId="0" fontId="83" fillId="0" borderId="0" xfId="0" applyFont="1" applyAlignment="1"/>
    <xf numFmtId="0" fontId="84" fillId="0" borderId="0" xfId="0" applyFont="1" applyAlignment="1">
      <alignment horizontal="centerContinuous"/>
    </xf>
    <xf numFmtId="0" fontId="85" fillId="2" borderId="1" xfId="0" applyFont="1" applyFill="1" applyBorder="1" applyAlignment="1"/>
    <xf numFmtId="0" fontId="89" fillId="0" borderId="8" xfId="0" quotePrefix="1" applyFont="1" applyBorder="1" applyAlignment="1">
      <alignment horizontal="center"/>
    </xf>
    <xf numFmtId="0" fontId="89" fillId="0" borderId="9" xfId="0" applyFont="1" applyBorder="1" applyAlignment="1">
      <alignment horizontal="center"/>
    </xf>
    <xf numFmtId="0" fontId="88" fillId="2" borderId="8" xfId="0" applyFont="1" applyFill="1" applyBorder="1" applyAlignment="1"/>
    <xf numFmtId="176" fontId="88" fillId="2" borderId="6" xfId="0" applyNumberFormat="1" applyFont="1" applyFill="1" applyBorder="1" applyAlignment="1"/>
    <xf numFmtId="176" fontId="88" fillId="0" borderId="6" xfId="0" applyNumberFormat="1" applyFont="1" applyBorder="1" applyAlignment="1"/>
    <xf numFmtId="176" fontId="88" fillId="0" borderId="10" xfId="0" applyNumberFormat="1" applyFont="1" applyBorder="1" applyAlignment="1"/>
    <xf numFmtId="176" fontId="88" fillId="2" borderId="10" xfId="0" applyNumberFormat="1" applyFont="1" applyFill="1" applyBorder="1" applyAlignment="1"/>
    <xf numFmtId="0" fontId="90" fillId="0" borderId="10" xfId="0" applyFont="1" applyBorder="1" applyAlignment="1">
      <alignment horizontal="right"/>
    </xf>
    <xf numFmtId="176" fontId="54" fillId="5" borderId="10" xfId="4" applyNumberFormat="1" applyFont="1" applyFill="1" applyBorder="1"/>
    <xf numFmtId="0" fontId="91" fillId="0" borderId="0" xfId="0" applyFont="1">
      <alignment vertical="center"/>
    </xf>
    <xf numFmtId="3" fontId="91" fillId="0" borderId="0" xfId="0" applyNumberFormat="1" applyFont="1">
      <alignment vertical="center"/>
    </xf>
    <xf numFmtId="0" fontId="64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4" fillId="0" borderId="0" xfId="0" applyFont="1" applyAlignment="1">
      <alignment horizontal="left"/>
    </xf>
    <xf numFmtId="0" fontId="54" fillId="0" borderId="10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96" fillId="0" borderId="10" xfId="0" applyFont="1" applyBorder="1" applyAlignment="1">
      <alignment horizontal="center"/>
    </xf>
    <xf numFmtId="178" fontId="64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5" fillId="0" borderId="3" xfId="2" applyNumberFormat="1" applyFont="1" applyFill="1" applyBorder="1" applyAlignment="1"/>
    <xf numFmtId="181" fontId="23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3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0" fontId="97" fillId="0" borderId="8" xfId="0" quotePrefix="1" applyFont="1" applyBorder="1" applyAlignment="1">
      <alignment horizontal="center"/>
    </xf>
    <xf numFmtId="0" fontId="97" fillId="0" borderId="9" xfId="0" applyFont="1" applyBorder="1" applyAlignment="1">
      <alignment horizontal="center"/>
    </xf>
    <xf numFmtId="176" fontId="97" fillId="0" borderId="9" xfId="0" applyNumberFormat="1" applyFont="1" applyBorder="1" applyAlignment="1">
      <alignment horizontal="center"/>
    </xf>
    <xf numFmtId="176" fontId="98" fillId="0" borderId="0" xfId="0" applyNumberFormat="1" applyFont="1" applyAlignment="1"/>
    <xf numFmtId="176" fontId="88" fillId="0" borderId="9" xfId="0" applyNumberFormat="1" applyFont="1" applyBorder="1" applyAlignment="1"/>
    <xf numFmtId="0" fontId="97" fillId="0" borderId="10" xfId="0" quotePrefix="1" applyFont="1" applyBorder="1" applyAlignment="1">
      <alignment horizontal="center"/>
    </xf>
    <xf numFmtId="178" fontId="13" fillId="3" borderId="5" xfId="2" applyNumberFormat="1" applyFont="1" applyFill="1" applyBorder="1" applyAlignment="1"/>
    <xf numFmtId="176" fontId="13" fillId="3" borderId="5" xfId="0" applyNumberFormat="1" applyFont="1" applyFill="1" applyBorder="1" applyAlignment="1"/>
    <xf numFmtId="178" fontId="88" fillId="0" borderId="9" xfId="2" applyNumberFormat="1" applyFont="1" applyBorder="1" applyAlignment="1"/>
    <xf numFmtId="176" fontId="0" fillId="10" borderId="10" xfId="0" applyNumberFormat="1" applyFill="1" applyBorder="1" applyAlignment="1"/>
    <xf numFmtId="176" fontId="100" fillId="0" borderId="0" xfId="0" applyNumberFormat="1" applyFont="1" applyAlignment="1"/>
    <xf numFmtId="176" fontId="8" fillId="5" borderId="10" xfId="0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54" fillId="0" borderId="10" xfId="0" applyNumberFormat="1" applyFont="1" applyFill="1" applyBorder="1" applyAlignment="1"/>
    <xf numFmtId="176" fontId="54" fillId="0" borderId="10" xfId="4" applyNumberFormat="1" applyFont="1" applyFill="1" applyBorder="1"/>
    <xf numFmtId="176" fontId="54" fillId="0" borderId="9" xfId="4" applyNumberFormat="1" applyFont="1" applyFill="1" applyBorder="1"/>
    <xf numFmtId="176" fontId="0" fillId="0" borderId="10" xfId="0" applyNumberFormat="1" applyFill="1" applyBorder="1" applyAlignment="1"/>
    <xf numFmtId="10" fontId="0" fillId="0" borderId="6" xfId="3" applyNumberFormat="1" applyFont="1" applyFill="1" applyBorder="1" applyAlignment="1"/>
    <xf numFmtId="0" fontId="8" fillId="0" borderId="10" xfId="0" applyFont="1" applyFill="1" applyBorder="1" applyAlignment="1">
      <alignment horizontal="right"/>
    </xf>
    <xf numFmtId="176" fontId="8" fillId="0" borderId="10" xfId="0" applyNumberFormat="1" applyFon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%202&#26376;%20&#25972;&#36554;&#20986;&#21475;.xlsx" TargetMode="External"/><Relationship Id="rId1" Type="http://schemas.openxmlformats.org/officeDocument/2006/relationships/externalLinkPath" Target="/DATA%20Files/Downloads/&#36914;&#20986;&#21475;&#20540;&#34920;%20-%202025%202&#26376;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-02%20&#38651;&#36628;&#36554;&#20986;&#21475;.xlsx" TargetMode="External"/><Relationship Id="rId1" Type="http://schemas.openxmlformats.org/officeDocument/2006/relationships/externalLinkPath" Target="/DATA%20Files/Downloads/&#36914;&#20986;&#21475;&#20540;&#34920;%20-%20202501-02%20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2%20&#38651;&#36628;&#36554;&#20986;&#21475;.xlsx" TargetMode="External"/><Relationship Id="rId1" Type="http://schemas.openxmlformats.org/officeDocument/2006/relationships/externalLinkPath" Target="/DATA%20Files/Downloads/&#36914;&#20986;&#21475;&#20540;&#34920;%20-%20202401-02%20&#38651;&#36628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2%20&#38646;&#20214;&#20986;&#21475;.xlsx" TargetMode="External"/><Relationship Id="rId1" Type="http://schemas.openxmlformats.org/officeDocument/2006/relationships/externalLinkPath" Target="/DATA%20Files/Downloads/&#36914;&#20986;&#21475;&#20540;&#34920;%20-%20202502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-02%20&#38646;&#20214;&#20986;&#21475;.xlsx" TargetMode="External"/><Relationship Id="rId1" Type="http://schemas.openxmlformats.org/officeDocument/2006/relationships/externalLinkPath" Target="/DATA%20Files/Downloads/&#36914;&#20986;&#21475;&#20540;&#34920;%20-%20202501-02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2%20&#38646;&#20214;&#36914;&#21475;.xlsx" TargetMode="External"/><Relationship Id="rId1" Type="http://schemas.openxmlformats.org/officeDocument/2006/relationships/externalLinkPath" Target="/DATA%20Files/Downloads/&#36914;&#20986;&#21475;&#20540;&#34920;%20-%20202502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-02%20&#38646;&#20214;&#36914;&#21475;.xlsx" TargetMode="External"/><Relationship Id="rId1" Type="http://schemas.openxmlformats.org/officeDocument/2006/relationships/externalLinkPath" Target="/DATA%20Files/Downloads/&#36914;&#20986;&#21475;&#20540;&#34920;%20-%20202501-02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2%20&#38646;&#20214;&#20986;&#21475;.xlsx" TargetMode="External"/><Relationship Id="rId1" Type="http://schemas.openxmlformats.org/officeDocument/2006/relationships/externalLinkPath" Target="/DATA%20Files/Downloads/&#36914;&#20986;&#21475;&#20540;&#34920;%20-%20202401-02%20&#38646;&#2021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2&#38646;&#20214;&#36914;&#21475;.xlsx" TargetMode="External"/><Relationship Id="rId1" Type="http://schemas.openxmlformats.org/officeDocument/2006/relationships/externalLinkPath" Target="/DATA%20Files/Downloads/&#36914;&#20986;&#21475;&#20540;&#34920;%20-%20202401-02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%201-2&#26376;%20&#25972;&#36554;&#20986;&#21475;.xlsx" TargetMode="External"/><Relationship Id="rId1" Type="http://schemas.openxmlformats.org/officeDocument/2006/relationships/externalLinkPath" Target="/DATA%20Files/Downloads/&#36914;&#20986;&#21475;&#20540;&#34920;%20-%202025%201-2&#26376;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-02%20&#25972;&#36554;&#36914;&#21475;.xlsx" TargetMode="External"/><Relationship Id="rId1" Type="http://schemas.openxmlformats.org/officeDocument/2006/relationships/externalLinkPath" Target="/DATA%20Files/Downloads/&#36914;&#20986;&#21475;&#20540;&#34920;%20-%20202501-02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2%20&#25972;&#36554;&#36914;&#21475;.xlsx" TargetMode="External"/><Relationship Id="rId1" Type="http://schemas.openxmlformats.org/officeDocument/2006/relationships/externalLinkPath" Target="/DATA%20Files/Downloads/&#36914;&#20986;&#21475;&#20540;&#34920;%20-%20202502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2%20&#38651;&#36628;&#36554;&#20986;&#21475;.xlsx" TargetMode="External"/><Relationship Id="rId1" Type="http://schemas.openxmlformats.org/officeDocument/2006/relationships/externalLinkPath" Target="/DATA%20Files/Downloads/&#36914;&#20986;&#21475;&#20540;&#34920;%20-%20202502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73872480</v>
          </cell>
          <cell r="C3">
            <v>69917</v>
          </cell>
        </row>
        <row r="4">
          <cell r="A4" t="str">
            <v>美國</v>
          </cell>
          <cell r="B4">
            <v>17636896</v>
          </cell>
          <cell r="C4">
            <v>22468</v>
          </cell>
        </row>
        <row r="5">
          <cell r="A5" t="str">
            <v>荷蘭</v>
          </cell>
          <cell r="B5">
            <v>12911686</v>
          </cell>
          <cell r="C5">
            <v>9274</v>
          </cell>
        </row>
        <row r="6">
          <cell r="A6" t="str">
            <v>中國大陸</v>
          </cell>
          <cell r="B6">
            <v>9875189</v>
          </cell>
          <cell r="C6">
            <v>6751</v>
          </cell>
        </row>
        <row r="7">
          <cell r="A7" t="str">
            <v>英國</v>
          </cell>
          <cell r="B7">
            <v>4893166</v>
          </cell>
          <cell r="C7">
            <v>4251</v>
          </cell>
        </row>
        <row r="8">
          <cell r="A8" t="str">
            <v>澳大利亞</v>
          </cell>
          <cell r="B8">
            <v>3044554</v>
          </cell>
          <cell r="C8">
            <v>3451</v>
          </cell>
        </row>
        <row r="9">
          <cell r="A9" t="str">
            <v>德國</v>
          </cell>
          <cell r="B9">
            <v>2750503</v>
          </cell>
          <cell r="C9">
            <v>3542</v>
          </cell>
        </row>
        <row r="10">
          <cell r="A10" t="str">
            <v>加拿大</v>
          </cell>
          <cell r="B10">
            <v>2606167</v>
          </cell>
          <cell r="C10">
            <v>1705</v>
          </cell>
        </row>
        <row r="11">
          <cell r="A11" t="str">
            <v>比利時</v>
          </cell>
          <cell r="B11">
            <v>2517638</v>
          </cell>
          <cell r="C11">
            <v>1312</v>
          </cell>
        </row>
        <row r="12">
          <cell r="A12" t="str">
            <v>西班牙</v>
          </cell>
          <cell r="B12">
            <v>2292800</v>
          </cell>
          <cell r="C12">
            <v>1452</v>
          </cell>
        </row>
        <row r="13">
          <cell r="A13" t="str">
            <v>法國</v>
          </cell>
          <cell r="B13">
            <v>1821026</v>
          </cell>
          <cell r="C13">
            <v>1116</v>
          </cell>
        </row>
        <row r="14">
          <cell r="A14" t="str">
            <v>義大利</v>
          </cell>
          <cell r="B14">
            <v>1600882</v>
          </cell>
          <cell r="C14">
            <v>1209</v>
          </cell>
        </row>
        <row r="15">
          <cell r="A15" t="str">
            <v>韓國</v>
          </cell>
          <cell r="B15">
            <v>1455140</v>
          </cell>
          <cell r="C15">
            <v>663</v>
          </cell>
        </row>
        <row r="16">
          <cell r="A16" t="str">
            <v>日本</v>
          </cell>
          <cell r="B16">
            <v>1235276</v>
          </cell>
          <cell r="C16">
            <v>841</v>
          </cell>
        </row>
        <row r="17">
          <cell r="A17" t="str">
            <v>波蘭</v>
          </cell>
          <cell r="B17">
            <v>915561</v>
          </cell>
          <cell r="C17">
            <v>1517</v>
          </cell>
        </row>
        <row r="18">
          <cell r="A18" t="str">
            <v>哥倫比亞</v>
          </cell>
          <cell r="B18">
            <v>878121</v>
          </cell>
          <cell r="C18">
            <v>442</v>
          </cell>
        </row>
        <row r="19">
          <cell r="A19" t="str">
            <v>南非</v>
          </cell>
          <cell r="B19">
            <v>861552</v>
          </cell>
          <cell r="C19">
            <v>341</v>
          </cell>
        </row>
        <row r="20">
          <cell r="A20" t="str">
            <v>瑞士</v>
          </cell>
          <cell r="B20">
            <v>828684</v>
          </cell>
          <cell r="C20">
            <v>459</v>
          </cell>
        </row>
        <row r="21">
          <cell r="A21" t="str">
            <v>挪威</v>
          </cell>
          <cell r="B21">
            <v>707630</v>
          </cell>
          <cell r="C21">
            <v>593</v>
          </cell>
        </row>
        <row r="22">
          <cell r="A22" t="str">
            <v>紐西蘭</v>
          </cell>
          <cell r="B22">
            <v>699695</v>
          </cell>
          <cell r="C22">
            <v>480</v>
          </cell>
        </row>
        <row r="23">
          <cell r="A23" t="str">
            <v>墨西哥</v>
          </cell>
          <cell r="B23">
            <v>662558</v>
          </cell>
          <cell r="C23">
            <v>553</v>
          </cell>
        </row>
        <row r="24">
          <cell r="A24" t="str">
            <v>捷克</v>
          </cell>
          <cell r="B24">
            <v>458225</v>
          </cell>
          <cell r="C24">
            <v>1015</v>
          </cell>
        </row>
        <row r="25">
          <cell r="A25" t="str">
            <v>匈牙利</v>
          </cell>
          <cell r="B25">
            <v>452638</v>
          </cell>
          <cell r="C25">
            <v>778</v>
          </cell>
        </row>
        <row r="26">
          <cell r="A26" t="str">
            <v>丹麥</v>
          </cell>
          <cell r="B26">
            <v>348855</v>
          </cell>
          <cell r="C26">
            <v>2310</v>
          </cell>
        </row>
        <row r="27">
          <cell r="A27" t="str">
            <v>菲律賓</v>
          </cell>
          <cell r="B27">
            <v>310530</v>
          </cell>
          <cell r="C27">
            <v>224</v>
          </cell>
        </row>
        <row r="28">
          <cell r="A28" t="str">
            <v>巴拿馬</v>
          </cell>
          <cell r="B28">
            <v>306196</v>
          </cell>
          <cell r="C28">
            <v>177</v>
          </cell>
        </row>
        <row r="29">
          <cell r="A29" t="str">
            <v>俄羅斯</v>
          </cell>
          <cell r="B29">
            <v>201374</v>
          </cell>
          <cell r="C29">
            <v>580</v>
          </cell>
        </row>
        <row r="30">
          <cell r="A30" t="str">
            <v>新加坡</v>
          </cell>
          <cell r="B30">
            <v>193959</v>
          </cell>
          <cell r="C30">
            <v>98</v>
          </cell>
        </row>
        <row r="31">
          <cell r="A31" t="str">
            <v>巴西</v>
          </cell>
          <cell r="B31">
            <v>188709</v>
          </cell>
          <cell r="C31">
            <v>82</v>
          </cell>
        </row>
        <row r="32">
          <cell r="A32" t="str">
            <v>瑞典</v>
          </cell>
          <cell r="B32">
            <v>178608</v>
          </cell>
          <cell r="C32">
            <v>437</v>
          </cell>
        </row>
        <row r="33">
          <cell r="A33" t="str">
            <v>智利</v>
          </cell>
          <cell r="B33">
            <v>169424</v>
          </cell>
          <cell r="C33">
            <v>98</v>
          </cell>
        </row>
        <row r="34">
          <cell r="A34" t="str">
            <v>阿拉伯聯合大公國</v>
          </cell>
          <cell r="B34">
            <v>157461</v>
          </cell>
          <cell r="C34">
            <v>145</v>
          </cell>
        </row>
        <row r="35">
          <cell r="A35" t="str">
            <v>以色列</v>
          </cell>
          <cell r="B35">
            <v>133689</v>
          </cell>
          <cell r="C35">
            <v>238</v>
          </cell>
        </row>
        <row r="36">
          <cell r="A36" t="str">
            <v>阿根廷</v>
          </cell>
          <cell r="B36">
            <v>97528</v>
          </cell>
          <cell r="C36">
            <v>243</v>
          </cell>
        </row>
        <row r="37">
          <cell r="A37" t="str">
            <v>拉脫維亞</v>
          </cell>
          <cell r="B37">
            <v>97131</v>
          </cell>
          <cell r="C37">
            <v>234</v>
          </cell>
        </row>
        <row r="38">
          <cell r="A38" t="str">
            <v>克羅埃西亞</v>
          </cell>
          <cell r="B38">
            <v>67715</v>
          </cell>
          <cell r="C38">
            <v>256</v>
          </cell>
        </row>
        <row r="39">
          <cell r="A39" t="str">
            <v>沙烏地阿拉伯</v>
          </cell>
          <cell r="B39">
            <v>64296</v>
          </cell>
          <cell r="C39">
            <v>32</v>
          </cell>
        </row>
        <row r="40">
          <cell r="A40" t="str">
            <v>斯洛伐克</v>
          </cell>
          <cell r="B40">
            <v>57583</v>
          </cell>
          <cell r="C40">
            <v>245</v>
          </cell>
        </row>
        <row r="41">
          <cell r="A41" t="str">
            <v>泰國</v>
          </cell>
          <cell r="B41">
            <v>47421</v>
          </cell>
          <cell r="C41">
            <v>25</v>
          </cell>
        </row>
        <row r="42">
          <cell r="A42" t="str">
            <v>香港</v>
          </cell>
          <cell r="B42">
            <v>46842</v>
          </cell>
          <cell r="C42">
            <v>29</v>
          </cell>
        </row>
        <row r="43">
          <cell r="A43" t="str">
            <v>立陶宛</v>
          </cell>
          <cell r="B43">
            <v>43057</v>
          </cell>
          <cell r="C43">
            <v>101</v>
          </cell>
        </row>
        <row r="44">
          <cell r="A44" t="str">
            <v>馬來西亞</v>
          </cell>
          <cell r="B44">
            <v>41654</v>
          </cell>
          <cell r="C44">
            <v>21</v>
          </cell>
        </row>
        <row r="45">
          <cell r="A45" t="str">
            <v>印度</v>
          </cell>
          <cell r="B45">
            <v>9917</v>
          </cell>
          <cell r="C45">
            <v>6</v>
          </cell>
        </row>
        <row r="46">
          <cell r="A46" t="str">
            <v>甘比亞</v>
          </cell>
          <cell r="B46">
            <v>4944</v>
          </cell>
          <cell r="C46">
            <v>123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112718368</v>
          </cell>
          <cell r="C10">
            <v>53457</v>
          </cell>
        </row>
        <row r="11">
          <cell r="A11" t="str">
            <v>美國</v>
          </cell>
          <cell r="B11">
            <v>40271185</v>
          </cell>
          <cell r="C11">
            <v>16571</v>
          </cell>
        </row>
        <row r="12">
          <cell r="A12" t="str">
            <v>荷蘭</v>
          </cell>
          <cell r="B12">
            <v>33779255</v>
          </cell>
          <cell r="C12">
            <v>16570</v>
          </cell>
        </row>
        <row r="13">
          <cell r="A13" t="str">
            <v>德國</v>
          </cell>
          <cell r="B13">
            <v>10608538</v>
          </cell>
          <cell r="C13">
            <v>7938</v>
          </cell>
        </row>
        <row r="14">
          <cell r="A14" t="str">
            <v>英國</v>
          </cell>
          <cell r="B14">
            <v>5526016</v>
          </cell>
          <cell r="C14">
            <v>2325</v>
          </cell>
        </row>
        <row r="15">
          <cell r="A15" t="str">
            <v>義大利</v>
          </cell>
          <cell r="B15">
            <v>4287755</v>
          </cell>
          <cell r="C15">
            <v>1462</v>
          </cell>
        </row>
        <row r="16">
          <cell r="A16" t="str">
            <v>澳大利亞</v>
          </cell>
          <cell r="B16">
            <v>3121227</v>
          </cell>
          <cell r="C16">
            <v>1320</v>
          </cell>
        </row>
        <row r="17">
          <cell r="A17" t="str">
            <v>西班牙</v>
          </cell>
          <cell r="B17">
            <v>2538351</v>
          </cell>
          <cell r="C17">
            <v>932</v>
          </cell>
        </row>
        <row r="18">
          <cell r="A18" t="str">
            <v>紐西蘭</v>
          </cell>
          <cell r="B18">
            <v>1795797</v>
          </cell>
          <cell r="C18">
            <v>712</v>
          </cell>
        </row>
        <row r="19">
          <cell r="A19" t="str">
            <v>南非</v>
          </cell>
          <cell r="B19">
            <v>1464226</v>
          </cell>
          <cell r="C19">
            <v>456</v>
          </cell>
        </row>
        <row r="20">
          <cell r="A20" t="str">
            <v>加拿大</v>
          </cell>
          <cell r="B20">
            <v>1392062</v>
          </cell>
          <cell r="C20">
            <v>561</v>
          </cell>
        </row>
        <row r="21">
          <cell r="A21" t="str">
            <v>瑞士</v>
          </cell>
          <cell r="B21">
            <v>1205241</v>
          </cell>
          <cell r="C21">
            <v>524</v>
          </cell>
        </row>
        <row r="22">
          <cell r="A22" t="str">
            <v>法國</v>
          </cell>
          <cell r="B22">
            <v>909886</v>
          </cell>
          <cell r="C22">
            <v>691</v>
          </cell>
        </row>
        <row r="23">
          <cell r="A23" t="str">
            <v>墨西哥</v>
          </cell>
          <cell r="B23">
            <v>763527</v>
          </cell>
          <cell r="C23">
            <v>183</v>
          </cell>
        </row>
        <row r="24">
          <cell r="A24" t="str">
            <v>挪威</v>
          </cell>
          <cell r="B24">
            <v>574155</v>
          </cell>
          <cell r="C24">
            <v>320</v>
          </cell>
        </row>
        <row r="25">
          <cell r="A25" t="str">
            <v>智利</v>
          </cell>
          <cell r="B25">
            <v>564869</v>
          </cell>
          <cell r="C25">
            <v>137</v>
          </cell>
        </row>
        <row r="26">
          <cell r="A26" t="str">
            <v>巴拿馬</v>
          </cell>
          <cell r="B26">
            <v>554318</v>
          </cell>
          <cell r="C26">
            <v>147</v>
          </cell>
        </row>
        <row r="27">
          <cell r="A27" t="str">
            <v>日本</v>
          </cell>
          <cell r="B27">
            <v>528610</v>
          </cell>
          <cell r="C27">
            <v>638</v>
          </cell>
        </row>
        <row r="28">
          <cell r="A28" t="str">
            <v>哥倫比亞</v>
          </cell>
          <cell r="B28">
            <v>438724</v>
          </cell>
          <cell r="C28">
            <v>124</v>
          </cell>
        </row>
        <row r="29">
          <cell r="A29" t="str">
            <v>瑞典</v>
          </cell>
          <cell r="B29">
            <v>382595</v>
          </cell>
          <cell r="C29">
            <v>1031</v>
          </cell>
        </row>
        <row r="30">
          <cell r="A30" t="str">
            <v>中國大陸</v>
          </cell>
          <cell r="B30">
            <v>327830</v>
          </cell>
          <cell r="C30">
            <v>99</v>
          </cell>
        </row>
        <row r="31">
          <cell r="A31" t="str">
            <v>波蘭</v>
          </cell>
          <cell r="B31">
            <v>247727</v>
          </cell>
          <cell r="C31">
            <v>115</v>
          </cell>
        </row>
        <row r="32">
          <cell r="A32" t="str">
            <v>哥斯大黎加</v>
          </cell>
          <cell r="B32">
            <v>232164</v>
          </cell>
          <cell r="C32">
            <v>47</v>
          </cell>
        </row>
        <row r="33">
          <cell r="A33" t="str">
            <v>丹麥</v>
          </cell>
          <cell r="B33">
            <v>226744</v>
          </cell>
          <cell r="C33">
            <v>134</v>
          </cell>
        </row>
        <row r="34">
          <cell r="A34" t="str">
            <v>阿根廷</v>
          </cell>
          <cell r="B34">
            <v>182704</v>
          </cell>
          <cell r="C34">
            <v>62</v>
          </cell>
        </row>
        <row r="35">
          <cell r="A35" t="str">
            <v>韓國</v>
          </cell>
          <cell r="B35">
            <v>182240</v>
          </cell>
          <cell r="C35">
            <v>50</v>
          </cell>
        </row>
        <row r="36">
          <cell r="A36" t="str">
            <v>匈牙利</v>
          </cell>
          <cell r="B36">
            <v>162191</v>
          </cell>
          <cell r="C36">
            <v>95</v>
          </cell>
        </row>
        <row r="37">
          <cell r="A37" t="str">
            <v>秘魯</v>
          </cell>
          <cell r="B37">
            <v>137428</v>
          </cell>
          <cell r="C37">
            <v>44</v>
          </cell>
        </row>
        <row r="38">
          <cell r="A38" t="str">
            <v>以色列</v>
          </cell>
          <cell r="B38">
            <v>76699</v>
          </cell>
          <cell r="C38">
            <v>72</v>
          </cell>
        </row>
        <row r="39">
          <cell r="A39" t="str">
            <v>巴西</v>
          </cell>
          <cell r="B39">
            <v>70538</v>
          </cell>
          <cell r="C39">
            <v>24</v>
          </cell>
        </row>
        <row r="40">
          <cell r="A40" t="str">
            <v>尼泊爾</v>
          </cell>
          <cell r="B40">
            <v>42203</v>
          </cell>
          <cell r="C40">
            <v>16</v>
          </cell>
        </row>
        <row r="41">
          <cell r="A41" t="str">
            <v>阿拉伯聯合大公國</v>
          </cell>
          <cell r="B41">
            <v>38326</v>
          </cell>
          <cell r="C41">
            <v>10</v>
          </cell>
        </row>
        <row r="42">
          <cell r="A42" t="str">
            <v>捷克</v>
          </cell>
          <cell r="B42">
            <v>37778</v>
          </cell>
          <cell r="C42">
            <v>10</v>
          </cell>
        </row>
        <row r="43">
          <cell r="A43" t="str">
            <v>馬來西亞</v>
          </cell>
          <cell r="B43">
            <v>10375</v>
          </cell>
          <cell r="C43">
            <v>9</v>
          </cell>
        </row>
        <row r="44">
          <cell r="A44" t="str">
            <v>巴林</v>
          </cell>
          <cell r="B44">
            <v>9460</v>
          </cell>
          <cell r="C44">
            <v>2</v>
          </cell>
        </row>
        <row r="45">
          <cell r="A45" t="str">
            <v>奧地利</v>
          </cell>
          <cell r="B45">
            <v>9395</v>
          </cell>
          <cell r="C45">
            <v>2</v>
          </cell>
        </row>
        <row r="46">
          <cell r="A46" t="str">
            <v>香港</v>
          </cell>
          <cell r="B46">
            <v>8486</v>
          </cell>
          <cell r="C46">
            <v>16</v>
          </cell>
        </row>
        <row r="47">
          <cell r="A47" t="str">
            <v>摩洛哥</v>
          </cell>
          <cell r="B47">
            <v>4834</v>
          </cell>
          <cell r="C47">
            <v>1</v>
          </cell>
        </row>
        <row r="48">
          <cell r="A48" t="str">
            <v>菲律賓</v>
          </cell>
          <cell r="B48">
            <v>2834</v>
          </cell>
          <cell r="C48">
            <v>6</v>
          </cell>
        </row>
        <row r="49">
          <cell r="A49" t="str">
            <v>比利時</v>
          </cell>
          <cell r="B49">
            <v>2075</v>
          </cell>
          <cell r="C49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123349564</v>
          </cell>
          <cell r="C10">
            <v>67064</v>
          </cell>
        </row>
        <row r="11">
          <cell r="A11" t="str">
            <v>荷蘭</v>
          </cell>
          <cell r="B11">
            <v>44415728</v>
          </cell>
          <cell r="C11">
            <v>24055</v>
          </cell>
        </row>
        <row r="12">
          <cell r="A12" t="str">
            <v>美國</v>
          </cell>
          <cell r="B12">
            <v>34257089</v>
          </cell>
          <cell r="C12">
            <v>16264</v>
          </cell>
        </row>
        <row r="13">
          <cell r="A13" t="str">
            <v>德國</v>
          </cell>
          <cell r="B13">
            <v>11928687</v>
          </cell>
          <cell r="C13">
            <v>8968</v>
          </cell>
        </row>
        <row r="14">
          <cell r="A14" t="str">
            <v>英國</v>
          </cell>
          <cell r="B14">
            <v>5283005</v>
          </cell>
          <cell r="C14">
            <v>2888</v>
          </cell>
        </row>
        <row r="15">
          <cell r="A15" t="str">
            <v>加拿大</v>
          </cell>
          <cell r="B15">
            <v>5101289</v>
          </cell>
          <cell r="C15">
            <v>2632</v>
          </cell>
        </row>
        <row r="16">
          <cell r="A16" t="str">
            <v>挪威</v>
          </cell>
          <cell r="B16">
            <v>2533227</v>
          </cell>
          <cell r="C16">
            <v>1449</v>
          </cell>
        </row>
        <row r="17">
          <cell r="A17" t="str">
            <v>瑞士</v>
          </cell>
          <cell r="B17">
            <v>2440483</v>
          </cell>
          <cell r="C17">
            <v>1297</v>
          </cell>
        </row>
        <row r="18">
          <cell r="A18" t="str">
            <v>義大利</v>
          </cell>
          <cell r="B18">
            <v>2289156</v>
          </cell>
          <cell r="C18">
            <v>1008</v>
          </cell>
        </row>
        <row r="19">
          <cell r="A19" t="str">
            <v>法國</v>
          </cell>
          <cell r="B19">
            <v>1912779</v>
          </cell>
          <cell r="C19">
            <v>1393</v>
          </cell>
        </row>
        <row r="20">
          <cell r="A20" t="str">
            <v>巴拿馬</v>
          </cell>
          <cell r="B20">
            <v>1840951</v>
          </cell>
          <cell r="C20">
            <v>740</v>
          </cell>
        </row>
        <row r="21">
          <cell r="A21" t="str">
            <v>澳大利亞</v>
          </cell>
          <cell r="B21">
            <v>1648288</v>
          </cell>
          <cell r="C21">
            <v>731</v>
          </cell>
        </row>
        <row r="22">
          <cell r="A22" t="str">
            <v>西班牙</v>
          </cell>
          <cell r="B22">
            <v>1572692</v>
          </cell>
          <cell r="C22">
            <v>806</v>
          </cell>
        </row>
        <row r="23">
          <cell r="A23" t="str">
            <v>紐西蘭</v>
          </cell>
          <cell r="B23">
            <v>1501043</v>
          </cell>
          <cell r="C23">
            <v>555</v>
          </cell>
        </row>
        <row r="24">
          <cell r="A24" t="str">
            <v>南非</v>
          </cell>
          <cell r="B24">
            <v>1088137</v>
          </cell>
          <cell r="C24">
            <v>421</v>
          </cell>
        </row>
        <row r="25">
          <cell r="A25" t="str">
            <v>韓國</v>
          </cell>
          <cell r="B25">
            <v>998927</v>
          </cell>
          <cell r="C25">
            <v>397</v>
          </cell>
        </row>
        <row r="26">
          <cell r="A26" t="str">
            <v>丹麥</v>
          </cell>
          <cell r="B26">
            <v>928260</v>
          </cell>
          <cell r="C26">
            <v>456</v>
          </cell>
        </row>
        <row r="27">
          <cell r="A27" t="str">
            <v>日本</v>
          </cell>
          <cell r="B27">
            <v>834377</v>
          </cell>
          <cell r="C27">
            <v>812</v>
          </cell>
        </row>
        <row r="28">
          <cell r="A28" t="str">
            <v>瑞典</v>
          </cell>
          <cell r="B28">
            <v>441533</v>
          </cell>
          <cell r="C28">
            <v>1100</v>
          </cell>
        </row>
        <row r="29">
          <cell r="A29" t="str">
            <v>比利時</v>
          </cell>
          <cell r="B29">
            <v>421709</v>
          </cell>
          <cell r="C29">
            <v>246</v>
          </cell>
        </row>
        <row r="30">
          <cell r="A30" t="str">
            <v>墨西哥</v>
          </cell>
          <cell r="B30">
            <v>395726</v>
          </cell>
          <cell r="C30">
            <v>127</v>
          </cell>
        </row>
        <row r="31">
          <cell r="A31" t="str">
            <v>波蘭</v>
          </cell>
          <cell r="B31">
            <v>293856</v>
          </cell>
          <cell r="C31">
            <v>158</v>
          </cell>
        </row>
        <row r="32">
          <cell r="A32" t="str">
            <v>芬蘭</v>
          </cell>
          <cell r="B32">
            <v>229551</v>
          </cell>
          <cell r="C32">
            <v>135</v>
          </cell>
        </row>
        <row r="33">
          <cell r="A33" t="str">
            <v>捷克</v>
          </cell>
          <cell r="B33">
            <v>215167</v>
          </cell>
          <cell r="C33">
            <v>93</v>
          </cell>
        </row>
        <row r="34">
          <cell r="A34" t="str">
            <v>匈牙利</v>
          </cell>
          <cell r="B34">
            <v>186548</v>
          </cell>
          <cell r="C34">
            <v>107</v>
          </cell>
        </row>
        <row r="35">
          <cell r="A35" t="str">
            <v>馬來西亞</v>
          </cell>
          <cell r="B35">
            <v>151806</v>
          </cell>
          <cell r="C35">
            <v>52</v>
          </cell>
        </row>
        <row r="36">
          <cell r="A36" t="str">
            <v>秘魯</v>
          </cell>
          <cell r="B36">
            <v>111444</v>
          </cell>
          <cell r="C36">
            <v>26</v>
          </cell>
        </row>
        <row r="37">
          <cell r="A37" t="str">
            <v>冰島</v>
          </cell>
          <cell r="B37">
            <v>109850</v>
          </cell>
          <cell r="C37">
            <v>45</v>
          </cell>
        </row>
        <row r="38">
          <cell r="A38" t="str">
            <v>多明尼加</v>
          </cell>
          <cell r="B38">
            <v>65381</v>
          </cell>
          <cell r="C38">
            <v>23</v>
          </cell>
        </row>
        <row r="39">
          <cell r="A39" t="str">
            <v>關島</v>
          </cell>
          <cell r="B39">
            <v>43322</v>
          </cell>
          <cell r="C39">
            <v>9</v>
          </cell>
        </row>
        <row r="40">
          <cell r="A40" t="str">
            <v>薩爾瓦多</v>
          </cell>
          <cell r="B40">
            <v>43156</v>
          </cell>
          <cell r="C40">
            <v>12</v>
          </cell>
        </row>
        <row r="41">
          <cell r="A41" t="str">
            <v>阿拉伯聯合大公國</v>
          </cell>
          <cell r="B41">
            <v>37257</v>
          </cell>
          <cell r="C41">
            <v>45</v>
          </cell>
        </row>
        <row r="42">
          <cell r="A42" t="str">
            <v>瓜地馬拉</v>
          </cell>
          <cell r="B42">
            <v>20276</v>
          </cell>
          <cell r="C42">
            <v>8</v>
          </cell>
        </row>
        <row r="43">
          <cell r="A43" t="str">
            <v>奧地利</v>
          </cell>
          <cell r="B43">
            <v>2741</v>
          </cell>
          <cell r="C43">
            <v>1</v>
          </cell>
        </row>
        <row r="44">
          <cell r="A44" t="str">
            <v>泰國</v>
          </cell>
          <cell r="B44">
            <v>2249</v>
          </cell>
          <cell r="C44">
            <v>1</v>
          </cell>
        </row>
        <row r="45">
          <cell r="A45" t="str">
            <v>巴西</v>
          </cell>
          <cell r="B45">
            <v>1849</v>
          </cell>
          <cell r="C45">
            <v>1</v>
          </cell>
        </row>
        <row r="46">
          <cell r="A46" t="str">
            <v>葡萄牙</v>
          </cell>
          <cell r="B46">
            <v>1093</v>
          </cell>
          <cell r="C46">
            <v>2</v>
          </cell>
        </row>
        <row r="47">
          <cell r="A47" t="str">
            <v>香港</v>
          </cell>
          <cell r="B47">
            <v>932</v>
          </cell>
          <cell r="C47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34471349</v>
          </cell>
          <cell r="D3">
            <v>518634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9811437</v>
          </cell>
          <cell r="D4">
            <v>263651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6645810</v>
          </cell>
          <cell r="D5">
            <v>40547</v>
          </cell>
          <cell r="E5">
            <v>57914</v>
          </cell>
        </row>
        <row r="6">
          <cell r="A6">
            <v>87149620002</v>
          </cell>
          <cell r="B6" t="str">
            <v>曲柄齒輪及其零件</v>
          </cell>
          <cell r="C6">
            <v>4954926</v>
          </cell>
          <cell r="D6">
            <v>97461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4651022</v>
          </cell>
          <cell r="D7">
            <v>71548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4221177</v>
          </cell>
          <cell r="D8">
            <v>42294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3602238</v>
          </cell>
          <cell r="D9">
            <v>109499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3207416</v>
          </cell>
          <cell r="D10">
            <v>67590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3119813</v>
          </cell>
          <cell r="D11">
            <v>70150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2552635</v>
          </cell>
          <cell r="D12">
            <v>81496</v>
          </cell>
          <cell r="E12">
            <v>143939</v>
          </cell>
        </row>
        <row r="13">
          <cell r="A13">
            <v>87149610004</v>
          </cell>
          <cell r="B13" t="str">
            <v>踏板及其零件</v>
          </cell>
          <cell r="C13">
            <v>2246997</v>
          </cell>
          <cell r="D13">
            <v>87455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2189992</v>
          </cell>
          <cell r="D14">
            <v>91953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1478156</v>
          </cell>
          <cell r="D15">
            <v>39513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531036</v>
          </cell>
          <cell r="D16">
            <v>25666</v>
          </cell>
          <cell r="E16">
            <v>3691528</v>
          </cell>
        </row>
        <row r="17">
          <cell r="A17">
            <v>87149990139</v>
          </cell>
          <cell r="B17" t="str">
            <v>腳踏車用軸心</v>
          </cell>
          <cell r="C17">
            <v>151845</v>
          </cell>
          <cell r="D17">
            <v>4172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73512</v>
          </cell>
          <cell r="D18">
            <v>1756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49373</v>
          </cell>
          <cell r="D19">
            <v>1048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4">
          <cell r="A4">
            <v>87149120007</v>
          </cell>
          <cell r="B4" t="str">
            <v>其他車架及叉及其零件</v>
          </cell>
          <cell r="C4">
            <v>73595324</v>
          </cell>
          <cell r="D4">
            <v>1224572</v>
          </cell>
          <cell r="E4">
            <v>0</v>
          </cell>
        </row>
        <row r="5">
          <cell r="A5">
            <v>87149490009</v>
          </cell>
          <cell r="B5" t="str">
            <v>其他煞車器及其零件</v>
          </cell>
          <cell r="C5">
            <v>27478819</v>
          </cell>
          <cell r="D5">
            <v>685991</v>
          </cell>
          <cell r="E5">
            <v>0</v>
          </cell>
        </row>
        <row r="6">
          <cell r="A6">
            <v>87149200304</v>
          </cell>
          <cell r="B6" t="str">
            <v>輪圈及輪幅</v>
          </cell>
          <cell r="C6">
            <v>15209845</v>
          </cell>
          <cell r="D6">
            <v>101990</v>
          </cell>
          <cell r="E6">
            <v>133714</v>
          </cell>
        </row>
        <row r="7">
          <cell r="A7">
            <v>87149620002</v>
          </cell>
          <cell r="B7" t="str">
            <v>曲柄齒輪及其零件</v>
          </cell>
          <cell r="C7">
            <v>12270371</v>
          </cell>
          <cell r="D7">
            <v>266066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11329128</v>
          </cell>
          <cell r="D8">
            <v>140346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8012021</v>
          </cell>
          <cell r="D9">
            <v>254513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7944572</v>
          </cell>
          <cell r="D10">
            <v>176588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7740548</v>
          </cell>
          <cell r="D11">
            <v>81683</v>
          </cell>
          <cell r="E11">
            <v>0</v>
          </cell>
        </row>
        <row r="12">
          <cell r="A12">
            <v>87149990166</v>
          </cell>
          <cell r="B12" t="str">
            <v>腳踏車用把手</v>
          </cell>
          <cell r="C12">
            <v>6209659</v>
          </cell>
          <cell r="D12">
            <v>183797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5895916</v>
          </cell>
          <cell r="D13">
            <v>243354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5870671</v>
          </cell>
          <cell r="D14">
            <v>180618</v>
          </cell>
          <cell r="E14">
            <v>325529</v>
          </cell>
        </row>
        <row r="15">
          <cell r="A15">
            <v>87149500007</v>
          </cell>
          <cell r="B15" t="str">
            <v>腳踏車車座</v>
          </cell>
          <cell r="C15">
            <v>5231064</v>
          </cell>
          <cell r="D15">
            <v>246800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3347422</v>
          </cell>
          <cell r="D16">
            <v>96101</v>
          </cell>
          <cell r="E16">
            <v>0</v>
          </cell>
        </row>
        <row r="17">
          <cell r="A17">
            <v>87149200206</v>
          </cell>
          <cell r="B17" t="str">
            <v>輪幅</v>
          </cell>
          <cell r="C17">
            <v>1804249</v>
          </cell>
          <cell r="D17">
            <v>136376</v>
          </cell>
          <cell r="E17">
            <v>19782087</v>
          </cell>
        </row>
        <row r="18">
          <cell r="A18">
            <v>87149990139</v>
          </cell>
          <cell r="B18" t="str">
            <v>腳踏車用軸心</v>
          </cell>
          <cell r="C18">
            <v>312867</v>
          </cell>
          <cell r="D18">
            <v>15442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227269</v>
          </cell>
          <cell r="D19">
            <v>14553</v>
          </cell>
          <cell r="E19">
            <v>0</v>
          </cell>
        </row>
        <row r="20">
          <cell r="A20">
            <v>87149320103</v>
          </cell>
          <cell r="B20" t="str">
            <v>裝有棘輪機構之單一鏈輪　</v>
          </cell>
          <cell r="C20">
            <v>135599</v>
          </cell>
          <cell r="D20">
            <v>4477</v>
          </cell>
          <cell r="E20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14930348</v>
          </cell>
          <cell r="D3">
            <v>211353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5167211</v>
          </cell>
          <cell r="D4">
            <v>91019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4081359</v>
          </cell>
          <cell r="D5">
            <v>41308</v>
          </cell>
          <cell r="E5">
            <v>75628</v>
          </cell>
        </row>
        <row r="6">
          <cell r="A6">
            <v>87149990111</v>
          </cell>
          <cell r="B6" t="str">
            <v>腳踏車用變速器</v>
          </cell>
          <cell r="C6">
            <v>2255944</v>
          </cell>
          <cell r="D6">
            <v>20830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1904234</v>
          </cell>
          <cell r="D7">
            <v>61393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1772399</v>
          </cell>
          <cell r="D8">
            <v>38900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1325013</v>
          </cell>
          <cell r="D9">
            <v>21086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1173102</v>
          </cell>
          <cell r="D10">
            <v>26739</v>
          </cell>
          <cell r="E10">
            <v>0</v>
          </cell>
        </row>
        <row r="11">
          <cell r="A11">
            <v>87149200304</v>
          </cell>
          <cell r="B11" t="str">
            <v>輪圈及輪幅</v>
          </cell>
          <cell r="C11">
            <v>1048057</v>
          </cell>
          <cell r="D11">
            <v>6767</v>
          </cell>
          <cell r="E11">
            <v>804031</v>
          </cell>
        </row>
        <row r="12">
          <cell r="A12">
            <v>87149200206</v>
          </cell>
          <cell r="B12" t="str">
            <v>輪幅</v>
          </cell>
          <cell r="C12">
            <v>786968</v>
          </cell>
          <cell r="D12">
            <v>8208</v>
          </cell>
          <cell r="E12">
            <v>1555864</v>
          </cell>
        </row>
        <row r="13">
          <cell r="A13">
            <v>87149500007</v>
          </cell>
          <cell r="B13" t="str">
            <v>腳踏車車座</v>
          </cell>
          <cell r="C13">
            <v>578116</v>
          </cell>
          <cell r="D13">
            <v>40079</v>
          </cell>
          <cell r="E13">
            <v>0</v>
          </cell>
        </row>
        <row r="14">
          <cell r="A14">
            <v>87149990157</v>
          </cell>
          <cell r="B14" t="str">
            <v>腳踏車用座管及上下管</v>
          </cell>
          <cell r="C14">
            <v>514542</v>
          </cell>
          <cell r="D14">
            <v>16406</v>
          </cell>
          <cell r="E14">
            <v>0</v>
          </cell>
        </row>
        <row r="15">
          <cell r="A15">
            <v>87149410006</v>
          </cell>
          <cell r="B15" t="str">
            <v>鋼?煞車器及其零件</v>
          </cell>
          <cell r="C15">
            <v>312239</v>
          </cell>
          <cell r="D15">
            <v>2053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271761</v>
          </cell>
          <cell r="D16">
            <v>5367</v>
          </cell>
          <cell r="E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103525</v>
          </cell>
          <cell r="D17">
            <v>2730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35673</v>
          </cell>
          <cell r="D18">
            <v>486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4044</v>
          </cell>
          <cell r="D19">
            <v>55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39826387</v>
          </cell>
          <cell r="D3">
            <v>570005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12443558</v>
          </cell>
          <cell r="D4">
            <v>219834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9328912</v>
          </cell>
          <cell r="D5">
            <v>87889</v>
          </cell>
          <cell r="E5">
            <v>169050</v>
          </cell>
        </row>
        <row r="6">
          <cell r="A6">
            <v>87149620002</v>
          </cell>
          <cell r="B6" t="str">
            <v>曲柄齒輪及其零件</v>
          </cell>
          <cell r="C6">
            <v>4775602</v>
          </cell>
          <cell r="D6">
            <v>186781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3999869</v>
          </cell>
          <cell r="D7">
            <v>87303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3629156</v>
          </cell>
          <cell r="D8">
            <v>38588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3003777</v>
          </cell>
          <cell r="D9">
            <v>47576</v>
          </cell>
          <cell r="E9">
            <v>0</v>
          </cell>
        </row>
        <row r="10">
          <cell r="A10">
            <v>87149200206</v>
          </cell>
          <cell r="B10" t="str">
            <v>輪幅</v>
          </cell>
          <cell r="C10">
            <v>2122082</v>
          </cell>
          <cell r="D10">
            <v>18884</v>
          </cell>
          <cell r="E10">
            <v>4116714</v>
          </cell>
        </row>
        <row r="11">
          <cell r="A11">
            <v>87149320906</v>
          </cell>
          <cell r="B11" t="str">
            <v>其他飛輪之鏈輪</v>
          </cell>
          <cell r="C11">
            <v>1990760</v>
          </cell>
          <cell r="D11">
            <v>48317</v>
          </cell>
          <cell r="E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1611769</v>
          </cell>
          <cell r="D12">
            <v>44645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1534406</v>
          </cell>
          <cell r="D13">
            <v>11533</v>
          </cell>
          <cell r="E13">
            <v>907742</v>
          </cell>
        </row>
        <row r="14">
          <cell r="A14">
            <v>87149500007</v>
          </cell>
          <cell r="B14" t="str">
            <v>腳踏車車座</v>
          </cell>
          <cell r="C14">
            <v>1318425</v>
          </cell>
          <cell r="D14">
            <v>90761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820274</v>
          </cell>
          <cell r="D15">
            <v>22622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375783</v>
          </cell>
          <cell r="D16">
            <v>14611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324352</v>
          </cell>
          <cell r="D17">
            <v>3197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76112</v>
          </cell>
          <cell r="D18">
            <v>2839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7692</v>
          </cell>
          <cell r="D19">
            <v>206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78156228</v>
          </cell>
          <cell r="D3">
            <v>1203577</v>
          </cell>
        </row>
        <row r="4">
          <cell r="A4">
            <v>87149490009</v>
          </cell>
          <cell r="B4" t="str">
            <v>其他煞車器及其零件</v>
          </cell>
          <cell r="C4">
            <v>24373839</v>
          </cell>
          <cell r="D4">
            <v>552137</v>
          </cell>
        </row>
        <row r="5">
          <cell r="A5">
            <v>87149620002</v>
          </cell>
          <cell r="B5" t="str">
            <v>曲柄齒輪及其零件</v>
          </cell>
          <cell r="C5">
            <v>12099792</v>
          </cell>
          <cell r="D5">
            <v>258839</v>
          </cell>
        </row>
        <row r="6">
          <cell r="A6">
            <v>87149990111</v>
          </cell>
          <cell r="B6" t="str">
            <v>腳踏車用變速器</v>
          </cell>
          <cell r="C6">
            <v>10353611</v>
          </cell>
          <cell r="D6">
            <v>86985</v>
          </cell>
        </row>
        <row r="7">
          <cell r="A7">
            <v>87149200304</v>
          </cell>
          <cell r="B7" t="str">
            <v>輪圈及輪幅</v>
          </cell>
          <cell r="C7">
            <v>9433688</v>
          </cell>
          <cell r="D7">
            <v>82328</v>
          </cell>
        </row>
        <row r="8">
          <cell r="A8">
            <v>87149320906</v>
          </cell>
          <cell r="B8" t="str">
            <v>其他飛輪之鏈輪</v>
          </cell>
          <cell r="C8">
            <v>9253265</v>
          </cell>
          <cell r="D8">
            <v>206865</v>
          </cell>
        </row>
        <row r="9">
          <cell r="A9">
            <v>87149990166</v>
          </cell>
          <cell r="B9" t="str">
            <v>腳踏車用把手</v>
          </cell>
          <cell r="C9">
            <v>6343596</v>
          </cell>
          <cell r="D9">
            <v>153389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6052969</v>
          </cell>
          <cell r="D10">
            <v>113265</v>
          </cell>
        </row>
        <row r="11">
          <cell r="A11">
            <v>87149990157</v>
          </cell>
          <cell r="B11" t="str">
            <v>腳踏車用座管及上下管</v>
          </cell>
          <cell r="C11">
            <v>5882357</v>
          </cell>
          <cell r="D11">
            <v>140235</v>
          </cell>
        </row>
        <row r="12">
          <cell r="A12">
            <v>87149200108</v>
          </cell>
          <cell r="B12" t="str">
            <v>輪圈</v>
          </cell>
          <cell r="C12">
            <v>5683522</v>
          </cell>
          <cell r="D12">
            <v>200225</v>
          </cell>
        </row>
        <row r="13">
          <cell r="A13">
            <v>87149610004</v>
          </cell>
          <cell r="B13" t="str">
            <v>踏板及其零件</v>
          </cell>
          <cell r="C13">
            <v>5495603</v>
          </cell>
          <cell r="D13">
            <v>208831</v>
          </cell>
        </row>
        <row r="14">
          <cell r="A14">
            <v>87149500007</v>
          </cell>
          <cell r="B14" t="str">
            <v>腳踏車車座</v>
          </cell>
          <cell r="C14">
            <v>4135351</v>
          </cell>
          <cell r="D14">
            <v>175997</v>
          </cell>
        </row>
        <row r="15">
          <cell r="A15">
            <v>87149990148</v>
          </cell>
          <cell r="B15" t="str">
            <v>腳踏車用把手豎管</v>
          </cell>
          <cell r="C15">
            <v>3324191</v>
          </cell>
          <cell r="D15">
            <v>81023</v>
          </cell>
        </row>
        <row r="16">
          <cell r="A16">
            <v>87149200206</v>
          </cell>
          <cell r="B16" t="str">
            <v>輪幅</v>
          </cell>
          <cell r="C16">
            <v>1732197</v>
          </cell>
          <cell r="D16">
            <v>135757</v>
          </cell>
        </row>
        <row r="17">
          <cell r="A17">
            <v>87149990139</v>
          </cell>
          <cell r="B17" t="str">
            <v>腳踏車用軸心</v>
          </cell>
          <cell r="C17">
            <v>625922</v>
          </cell>
          <cell r="D17">
            <v>22740</v>
          </cell>
        </row>
        <row r="18">
          <cell r="A18">
            <v>87149410006</v>
          </cell>
          <cell r="B18" t="str">
            <v>鋼?煞車器及其零件</v>
          </cell>
          <cell r="C18">
            <v>378622</v>
          </cell>
          <cell r="D18">
            <v>16225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85774</v>
          </cell>
          <cell r="D19">
            <v>2183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49598628</v>
          </cell>
          <cell r="D3">
            <v>677418</v>
          </cell>
        </row>
        <row r="4">
          <cell r="A4">
            <v>87149490009</v>
          </cell>
          <cell r="B4" t="str">
            <v>其他煞車器及其零件</v>
          </cell>
          <cell r="C4">
            <v>17000662</v>
          </cell>
          <cell r="D4">
            <v>213543</v>
          </cell>
        </row>
        <row r="5">
          <cell r="A5">
            <v>87149200108</v>
          </cell>
          <cell r="B5" t="str">
            <v>輪圈</v>
          </cell>
          <cell r="C5">
            <v>9079957</v>
          </cell>
          <cell r="D5">
            <v>102045</v>
          </cell>
        </row>
        <row r="6">
          <cell r="A6">
            <v>87149620002</v>
          </cell>
          <cell r="B6" t="str">
            <v>曲柄齒輪及其零件</v>
          </cell>
          <cell r="C6">
            <v>6682971</v>
          </cell>
          <cell r="D6">
            <v>199903</v>
          </cell>
        </row>
        <row r="7">
          <cell r="A7">
            <v>87149990111</v>
          </cell>
          <cell r="B7" t="str">
            <v>腳踏車用變速器</v>
          </cell>
          <cell r="C7">
            <v>6356064</v>
          </cell>
          <cell r="D7">
            <v>65144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5443381</v>
          </cell>
          <cell r="D8">
            <v>135298</v>
          </cell>
        </row>
        <row r="9">
          <cell r="A9">
            <v>87149990166</v>
          </cell>
          <cell r="B9" t="str">
            <v>腳踏車用把手</v>
          </cell>
          <cell r="C9">
            <v>3685725</v>
          </cell>
          <cell r="D9">
            <v>56403</v>
          </cell>
        </row>
        <row r="10">
          <cell r="A10">
            <v>87149320906</v>
          </cell>
          <cell r="B10" t="str">
            <v>其他飛輪之鏈輪</v>
          </cell>
          <cell r="C10">
            <v>2388617</v>
          </cell>
          <cell r="D10">
            <v>46304</v>
          </cell>
        </row>
        <row r="11">
          <cell r="A11">
            <v>87149990157</v>
          </cell>
          <cell r="B11" t="str">
            <v>腳踏車用座管及上下管</v>
          </cell>
          <cell r="C11">
            <v>2257329</v>
          </cell>
          <cell r="D11">
            <v>43141</v>
          </cell>
        </row>
        <row r="12">
          <cell r="A12">
            <v>87149200206</v>
          </cell>
          <cell r="B12" t="str">
            <v>輪幅</v>
          </cell>
          <cell r="C12">
            <v>1550048</v>
          </cell>
          <cell r="D12">
            <v>15197</v>
          </cell>
        </row>
        <row r="13">
          <cell r="A13">
            <v>87149500007</v>
          </cell>
          <cell r="B13" t="str">
            <v>腳踏車車座</v>
          </cell>
          <cell r="C13">
            <v>1376752</v>
          </cell>
          <cell r="D13">
            <v>87120</v>
          </cell>
        </row>
        <row r="14">
          <cell r="A14">
            <v>87149200304</v>
          </cell>
          <cell r="B14" t="str">
            <v>輪圈及輪幅</v>
          </cell>
          <cell r="C14">
            <v>875025</v>
          </cell>
          <cell r="D14">
            <v>27807</v>
          </cell>
        </row>
        <row r="15">
          <cell r="A15">
            <v>87149990148</v>
          </cell>
          <cell r="B15" t="str">
            <v>腳踏車用把手豎管</v>
          </cell>
          <cell r="C15">
            <v>719701</v>
          </cell>
          <cell r="D15">
            <v>25307</v>
          </cell>
        </row>
        <row r="16">
          <cell r="A16">
            <v>87149610004</v>
          </cell>
          <cell r="B16" t="str">
            <v>踏板及其零件</v>
          </cell>
          <cell r="C16">
            <v>331539</v>
          </cell>
          <cell r="D16">
            <v>36593</v>
          </cell>
        </row>
        <row r="17">
          <cell r="A17">
            <v>87149990139</v>
          </cell>
          <cell r="B17" t="str">
            <v>腳踏車用軸心</v>
          </cell>
          <cell r="C17">
            <v>199021</v>
          </cell>
          <cell r="D17">
            <v>15975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98564</v>
          </cell>
          <cell r="D18">
            <v>2402</v>
          </cell>
        </row>
        <row r="19">
          <cell r="A19">
            <v>87149410006</v>
          </cell>
          <cell r="B19" t="str">
            <v>鋼?煞車器及其零件</v>
          </cell>
          <cell r="C19">
            <v>95819</v>
          </cell>
          <cell r="D19">
            <v>4652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122304093</v>
          </cell>
          <cell r="C10">
            <v>122337</v>
          </cell>
        </row>
        <row r="11">
          <cell r="A11" t="str">
            <v>美國</v>
          </cell>
          <cell r="B11">
            <v>31995482</v>
          </cell>
          <cell r="C11">
            <v>43828</v>
          </cell>
        </row>
        <row r="12">
          <cell r="A12" t="str">
            <v>荷蘭</v>
          </cell>
          <cell r="B12">
            <v>23076961</v>
          </cell>
          <cell r="C12">
            <v>15199</v>
          </cell>
        </row>
        <row r="13">
          <cell r="A13" t="str">
            <v>中國大陸</v>
          </cell>
          <cell r="B13">
            <v>13597566</v>
          </cell>
          <cell r="C13">
            <v>8911</v>
          </cell>
        </row>
        <row r="14">
          <cell r="A14" t="str">
            <v>英國</v>
          </cell>
          <cell r="B14">
            <v>8498428</v>
          </cell>
          <cell r="C14">
            <v>8128</v>
          </cell>
        </row>
        <row r="15">
          <cell r="A15" t="str">
            <v>澳大利亞</v>
          </cell>
          <cell r="B15">
            <v>5490371</v>
          </cell>
          <cell r="C15">
            <v>6140</v>
          </cell>
        </row>
        <row r="16">
          <cell r="A16" t="str">
            <v>德國</v>
          </cell>
          <cell r="B16">
            <v>4281334</v>
          </cell>
          <cell r="C16">
            <v>6801</v>
          </cell>
        </row>
        <row r="17">
          <cell r="A17" t="str">
            <v>加拿大</v>
          </cell>
          <cell r="B17">
            <v>3540341</v>
          </cell>
          <cell r="C17">
            <v>2730</v>
          </cell>
        </row>
        <row r="18">
          <cell r="A18" t="str">
            <v>韓國</v>
          </cell>
          <cell r="B18">
            <v>3411481</v>
          </cell>
          <cell r="C18">
            <v>1776</v>
          </cell>
        </row>
        <row r="19">
          <cell r="A19" t="str">
            <v>西班牙</v>
          </cell>
          <cell r="B19">
            <v>3401313</v>
          </cell>
          <cell r="C19">
            <v>2039</v>
          </cell>
        </row>
        <row r="20">
          <cell r="A20" t="str">
            <v>比利時</v>
          </cell>
          <cell r="B20">
            <v>3177566</v>
          </cell>
          <cell r="C20">
            <v>1788</v>
          </cell>
        </row>
        <row r="21">
          <cell r="A21" t="str">
            <v>法國</v>
          </cell>
          <cell r="B21">
            <v>2447174</v>
          </cell>
          <cell r="C21">
            <v>1545</v>
          </cell>
        </row>
        <row r="22">
          <cell r="A22" t="str">
            <v>日本</v>
          </cell>
          <cell r="B22">
            <v>2118765</v>
          </cell>
          <cell r="C22">
            <v>2215</v>
          </cell>
        </row>
        <row r="23">
          <cell r="A23" t="str">
            <v>義大利</v>
          </cell>
          <cell r="B23">
            <v>2041897</v>
          </cell>
          <cell r="C23">
            <v>1523</v>
          </cell>
        </row>
        <row r="24">
          <cell r="A24" t="str">
            <v>瑞士</v>
          </cell>
          <cell r="B24">
            <v>1603844</v>
          </cell>
          <cell r="C24">
            <v>1775</v>
          </cell>
        </row>
        <row r="25">
          <cell r="A25" t="str">
            <v>波蘭</v>
          </cell>
          <cell r="B25">
            <v>1456029</v>
          </cell>
          <cell r="C25">
            <v>2688</v>
          </cell>
        </row>
        <row r="26">
          <cell r="A26" t="str">
            <v>巴拿馬</v>
          </cell>
          <cell r="B26">
            <v>1269620</v>
          </cell>
          <cell r="C26">
            <v>503</v>
          </cell>
        </row>
        <row r="27">
          <cell r="A27" t="str">
            <v>南非</v>
          </cell>
          <cell r="B27">
            <v>1099101</v>
          </cell>
          <cell r="C27">
            <v>513</v>
          </cell>
        </row>
        <row r="28">
          <cell r="A28" t="str">
            <v>挪威</v>
          </cell>
          <cell r="B28">
            <v>1053784</v>
          </cell>
          <cell r="C28">
            <v>923</v>
          </cell>
        </row>
        <row r="29">
          <cell r="A29" t="str">
            <v>哥倫比亞</v>
          </cell>
          <cell r="B29">
            <v>1028592</v>
          </cell>
          <cell r="C29">
            <v>545</v>
          </cell>
        </row>
        <row r="30">
          <cell r="A30" t="str">
            <v>墨西哥</v>
          </cell>
          <cell r="B30">
            <v>894148</v>
          </cell>
          <cell r="C30">
            <v>796</v>
          </cell>
        </row>
        <row r="31">
          <cell r="A31" t="str">
            <v>紐西蘭</v>
          </cell>
          <cell r="B31">
            <v>879445</v>
          </cell>
          <cell r="C31">
            <v>611</v>
          </cell>
        </row>
        <row r="32">
          <cell r="A32" t="str">
            <v>捷克</v>
          </cell>
          <cell r="B32">
            <v>586045</v>
          </cell>
          <cell r="C32">
            <v>1566</v>
          </cell>
        </row>
        <row r="33">
          <cell r="A33" t="str">
            <v>匈牙利</v>
          </cell>
          <cell r="B33">
            <v>452638</v>
          </cell>
          <cell r="C33">
            <v>778</v>
          </cell>
        </row>
        <row r="34">
          <cell r="A34" t="str">
            <v>巴西</v>
          </cell>
          <cell r="B34">
            <v>403394</v>
          </cell>
          <cell r="C34">
            <v>206</v>
          </cell>
        </row>
        <row r="35">
          <cell r="A35" t="str">
            <v>哥斯大黎加</v>
          </cell>
          <cell r="B35">
            <v>395104</v>
          </cell>
          <cell r="C35">
            <v>329</v>
          </cell>
        </row>
        <row r="36">
          <cell r="A36" t="str">
            <v>菲律賓</v>
          </cell>
          <cell r="B36">
            <v>379973</v>
          </cell>
          <cell r="C36">
            <v>283</v>
          </cell>
        </row>
        <row r="37">
          <cell r="A37" t="str">
            <v>丹麥</v>
          </cell>
          <cell r="B37">
            <v>376158</v>
          </cell>
          <cell r="C37">
            <v>2530</v>
          </cell>
        </row>
        <row r="38">
          <cell r="A38" t="str">
            <v>以色列</v>
          </cell>
          <cell r="B38">
            <v>345790</v>
          </cell>
          <cell r="C38">
            <v>460</v>
          </cell>
        </row>
        <row r="39">
          <cell r="A39" t="str">
            <v>阿拉伯聯合大公國</v>
          </cell>
          <cell r="B39">
            <v>329732</v>
          </cell>
          <cell r="C39">
            <v>460</v>
          </cell>
        </row>
        <row r="40">
          <cell r="A40" t="str">
            <v>智利</v>
          </cell>
          <cell r="B40">
            <v>316490</v>
          </cell>
          <cell r="C40">
            <v>207</v>
          </cell>
        </row>
        <row r="41">
          <cell r="A41" t="str">
            <v>新加坡</v>
          </cell>
          <cell r="B41">
            <v>278938</v>
          </cell>
          <cell r="C41">
            <v>213</v>
          </cell>
        </row>
        <row r="42">
          <cell r="A42" t="str">
            <v>厄瓜多</v>
          </cell>
          <cell r="B42">
            <v>209548</v>
          </cell>
          <cell r="C42">
            <v>109</v>
          </cell>
        </row>
        <row r="43">
          <cell r="A43" t="str">
            <v>俄羅斯</v>
          </cell>
          <cell r="B43">
            <v>201374</v>
          </cell>
          <cell r="C43">
            <v>580</v>
          </cell>
        </row>
        <row r="44">
          <cell r="A44" t="str">
            <v>瑞典</v>
          </cell>
          <cell r="B44">
            <v>178608</v>
          </cell>
          <cell r="C44">
            <v>437</v>
          </cell>
        </row>
        <row r="45">
          <cell r="A45" t="str">
            <v>秘魯</v>
          </cell>
          <cell r="B45">
            <v>124780</v>
          </cell>
          <cell r="C45">
            <v>60</v>
          </cell>
        </row>
        <row r="46">
          <cell r="A46" t="str">
            <v>印度</v>
          </cell>
          <cell r="B46">
            <v>124511</v>
          </cell>
          <cell r="C46">
            <v>193</v>
          </cell>
        </row>
        <row r="47">
          <cell r="A47" t="str">
            <v>泰國</v>
          </cell>
          <cell r="B47">
            <v>119328</v>
          </cell>
          <cell r="C47">
            <v>82</v>
          </cell>
        </row>
        <row r="48">
          <cell r="A48" t="str">
            <v>阿根廷</v>
          </cell>
          <cell r="B48">
            <v>105768</v>
          </cell>
          <cell r="C48">
            <v>283</v>
          </cell>
        </row>
        <row r="49">
          <cell r="A49" t="str">
            <v>香港</v>
          </cell>
          <cell r="B49">
            <v>102723</v>
          </cell>
          <cell r="C49">
            <v>65</v>
          </cell>
        </row>
        <row r="50">
          <cell r="A50" t="str">
            <v>拉脫維亞</v>
          </cell>
          <cell r="B50">
            <v>97131</v>
          </cell>
          <cell r="C50">
            <v>234</v>
          </cell>
        </row>
        <row r="51">
          <cell r="A51" t="str">
            <v>冰島</v>
          </cell>
          <cell r="B51">
            <v>95318</v>
          </cell>
          <cell r="C51">
            <v>640</v>
          </cell>
        </row>
        <row r="52">
          <cell r="A52" t="str">
            <v>愛沙尼亞</v>
          </cell>
          <cell r="B52">
            <v>91579</v>
          </cell>
          <cell r="C52">
            <v>277</v>
          </cell>
        </row>
        <row r="53">
          <cell r="A53" t="str">
            <v>哈薩克</v>
          </cell>
          <cell r="B53">
            <v>88507</v>
          </cell>
          <cell r="C53">
            <v>250</v>
          </cell>
        </row>
        <row r="54">
          <cell r="A54" t="str">
            <v>瓜地馬拉</v>
          </cell>
          <cell r="B54">
            <v>86166</v>
          </cell>
          <cell r="C54">
            <v>78</v>
          </cell>
        </row>
        <row r="55">
          <cell r="A55" t="str">
            <v>越南</v>
          </cell>
          <cell r="B55">
            <v>73731</v>
          </cell>
          <cell r="C55">
            <v>43</v>
          </cell>
        </row>
        <row r="56">
          <cell r="A56" t="str">
            <v>克羅埃西亞</v>
          </cell>
          <cell r="B56">
            <v>67715</v>
          </cell>
          <cell r="C56">
            <v>256</v>
          </cell>
        </row>
        <row r="57">
          <cell r="A57" t="str">
            <v>沙烏地阿拉伯</v>
          </cell>
          <cell r="B57">
            <v>64296</v>
          </cell>
          <cell r="C57">
            <v>32</v>
          </cell>
        </row>
        <row r="58">
          <cell r="A58" t="str">
            <v>土耳其</v>
          </cell>
          <cell r="B58">
            <v>63728</v>
          </cell>
          <cell r="C58">
            <v>28</v>
          </cell>
        </row>
        <row r="59">
          <cell r="A59" t="str">
            <v>斯洛伐克</v>
          </cell>
          <cell r="B59">
            <v>57583</v>
          </cell>
          <cell r="C59">
            <v>245</v>
          </cell>
        </row>
        <row r="60">
          <cell r="A60" t="str">
            <v>馬來西亞</v>
          </cell>
          <cell r="B60">
            <v>57343</v>
          </cell>
          <cell r="C60">
            <v>22</v>
          </cell>
        </row>
        <row r="61">
          <cell r="A61" t="str">
            <v>立陶宛</v>
          </cell>
          <cell r="B61">
            <v>43057</v>
          </cell>
          <cell r="C61">
            <v>101</v>
          </cell>
        </row>
        <row r="62">
          <cell r="A62" t="str">
            <v>多明尼加</v>
          </cell>
          <cell r="B62">
            <v>15749</v>
          </cell>
          <cell r="C62">
            <v>30</v>
          </cell>
        </row>
        <row r="63">
          <cell r="A63" t="str">
            <v>甘比亞</v>
          </cell>
          <cell r="B63">
            <v>7863</v>
          </cell>
          <cell r="C63">
            <v>182</v>
          </cell>
        </row>
        <row r="64">
          <cell r="A64" t="str">
            <v>幾內亞</v>
          </cell>
          <cell r="B64">
            <v>61</v>
          </cell>
          <cell r="C64">
            <v>50</v>
          </cell>
        </row>
        <row r="65">
          <cell r="A65" t="str">
            <v>約旦</v>
          </cell>
          <cell r="B65">
            <v>61</v>
          </cell>
          <cell r="C65">
            <v>1</v>
          </cell>
        </row>
        <row r="66">
          <cell r="A66" t="str">
            <v>奈及利亞</v>
          </cell>
          <cell r="B66">
            <v>61</v>
          </cell>
          <cell r="C66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5646377</v>
          </cell>
          <cell r="C10">
            <v>31610</v>
          </cell>
        </row>
        <row r="11">
          <cell r="A11" t="str">
            <v>中國大陸</v>
          </cell>
          <cell r="B11">
            <v>4357645</v>
          </cell>
          <cell r="C11">
            <v>30232</v>
          </cell>
        </row>
        <row r="12">
          <cell r="A12" t="str">
            <v>越南</v>
          </cell>
          <cell r="B12">
            <v>461125</v>
          </cell>
          <cell r="C12">
            <v>606</v>
          </cell>
        </row>
        <row r="13">
          <cell r="A13" t="str">
            <v>柬埔寨</v>
          </cell>
          <cell r="B13">
            <v>333801</v>
          </cell>
          <cell r="C13">
            <v>474</v>
          </cell>
        </row>
        <row r="14">
          <cell r="A14" t="str">
            <v>英國</v>
          </cell>
          <cell r="B14">
            <v>285983</v>
          </cell>
          <cell r="C14">
            <v>176</v>
          </cell>
        </row>
        <row r="15">
          <cell r="A15" t="str">
            <v>義大利</v>
          </cell>
          <cell r="B15">
            <v>121697</v>
          </cell>
          <cell r="C15">
            <v>19</v>
          </cell>
        </row>
        <row r="16">
          <cell r="A16" t="str">
            <v>德國</v>
          </cell>
          <cell r="B16">
            <v>46627</v>
          </cell>
          <cell r="C16">
            <v>8</v>
          </cell>
        </row>
        <row r="17">
          <cell r="A17" t="str">
            <v>西班牙</v>
          </cell>
          <cell r="B17">
            <v>17119</v>
          </cell>
          <cell r="C17">
            <v>11</v>
          </cell>
        </row>
        <row r="18">
          <cell r="A18" t="str">
            <v>孟加拉</v>
          </cell>
          <cell r="B18">
            <v>12267</v>
          </cell>
          <cell r="C18">
            <v>52</v>
          </cell>
        </row>
        <row r="19">
          <cell r="A19" t="str">
            <v>中華民國</v>
          </cell>
          <cell r="B19">
            <v>7444</v>
          </cell>
          <cell r="C19">
            <v>4</v>
          </cell>
        </row>
        <row r="20">
          <cell r="A20" t="str">
            <v>日本</v>
          </cell>
          <cell r="B20">
            <v>1845</v>
          </cell>
          <cell r="C20">
            <v>21</v>
          </cell>
        </row>
        <row r="21">
          <cell r="A21" t="str">
            <v>喬治亞</v>
          </cell>
          <cell r="B21">
            <v>519</v>
          </cell>
          <cell r="C21">
            <v>4</v>
          </cell>
        </row>
        <row r="22">
          <cell r="A22" t="str">
            <v>美國</v>
          </cell>
          <cell r="B22">
            <v>122</v>
          </cell>
          <cell r="C22">
            <v>1</v>
          </cell>
        </row>
        <row r="23">
          <cell r="A23" t="str">
            <v>韓國</v>
          </cell>
          <cell r="B23">
            <v>92</v>
          </cell>
          <cell r="C23">
            <v>1</v>
          </cell>
        </row>
        <row r="24">
          <cell r="A24" t="str">
            <v>法國</v>
          </cell>
          <cell r="B24">
            <v>91</v>
          </cell>
          <cell r="C24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2639006</v>
          </cell>
          <cell r="C3">
            <v>11794</v>
          </cell>
        </row>
        <row r="4">
          <cell r="A4" t="str">
            <v>中國大陸</v>
          </cell>
          <cell r="B4">
            <v>1706781</v>
          </cell>
          <cell r="C4">
            <v>10709</v>
          </cell>
        </row>
        <row r="5">
          <cell r="A5" t="str">
            <v>柬埔寨</v>
          </cell>
          <cell r="B5">
            <v>330943</v>
          </cell>
          <cell r="C5">
            <v>471</v>
          </cell>
        </row>
        <row r="6">
          <cell r="A6" t="str">
            <v>越南</v>
          </cell>
          <cell r="B6">
            <v>253860</v>
          </cell>
          <cell r="C6">
            <v>400</v>
          </cell>
        </row>
        <row r="7">
          <cell r="A7" t="str">
            <v>英國</v>
          </cell>
          <cell r="B7">
            <v>158224</v>
          </cell>
          <cell r="C7">
            <v>112</v>
          </cell>
        </row>
        <row r="8">
          <cell r="A8" t="str">
            <v>義大利</v>
          </cell>
          <cell r="B8">
            <v>121575</v>
          </cell>
          <cell r="C8">
            <v>18</v>
          </cell>
        </row>
        <row r="9">
          <cell r="A9" t="str">
            <v>德國</v>
          </cell>
          <cell r="B9">
            <v>29753</v>
          </cell>
          <cell r="C9">
            <v>5</v>
          </cell>
        </row>
        <row r="10">
          <cell r="A10" t="str">
            <v>西班牙</v>
          </cell>
          <cell r="B10">
            <v>17119</v>
          </cell>
          <cell r="C10">
            <v>11</v>
          </cell>
        </row>
        <row r="11">
          <cell r="A11" t="str">
            <v>孟加拉</v>
          </cell>
          <cell r="B11">
            <v>12267</v>
          </cell>
          <cell r="C11">
            <v>52</v>
          </cell>
        </row>
        <row r="12">
          <cell r="A12" t="str">
            <v>中華民國</v>
          </cell>
          <cell r="B12">
            <v>7110</v>
          </cell>
          <cell r="C12">
            <v>3</v>
          </cell>
        </row>
        <row r="13">
          <cell r="A13" t="str">
            <v>日本</v>
          </cell>
          <cell r="B13">
            <v>763</v>
          </cell>
          <cell r="C13">
            <v>8</v>
          </cell>
        </row>
        <row r="14">
          <cell r="A14" t="str">
            <v>喬治亞</v>
          </cell>
          <cell r="B14">
            <v>519</v>
          </cell>
          <cell r="C14">
            <v>4</v>
          </cell>
        </row>
        <row r="15">
          <cell r="A15" t="str">
            <v>韓國</v>
          </cell>
          <cell r="B15">
            <v>92</v>
          </cell>
          <cell r="C15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  <row r="3">
          <cell r="C3" t="str">
            <v>中國大陸</v>
          </cell>
          <cell r="D3" t="str">
            <v>China</v>
          </cell>
          <cell r="E3">
            <v>1764148</v>
          </cell>
          <cell r="F3">
            <v>20731</v>
          </cell>
        </row>
        <row r="4">
          <cell r="C4" t="str">
            <v>越南</v>
          </cell>
          <cell r="D4" t="str">
            <v>Viet Nam</v>
          </cell>
          <cell r="E4">
            <v>260360</v>
          </cell>
          <cell r="F4">
            <v>271</v>
          </cell>
        </row>
        <row r="5">
          <cell r="C5" t="str">
            <v>柬埔寨</v>
          </cell>
          <cell r="D5" t="str">
            <v>Cambodia</v>
          </cell>
          <cell r="E5">
            <v>165163</v>
          </cell>
          <cell r="F5">
            <v>573</v>
          </cell>
        </row>
        <row r="6">
          <cell r="C6" t="str">
            <v>美國</v>
          </cell>
          <cell r="D6" t="str">
            <v>United States</v>
          </cell>
          <cell r="E6">
            <v>70260</v>
          </cell>
          <cell r="F6">
            <v>13</v>
          </cell>
        </row>
        <row r="7">
          <cell r="C7" t="str">
            <v>德國</v>
          </cell>
          <cell r="D7" t="str">
            <v>Germany</v>
          </cell>
          <cell r="E7">
            <v>60720</v>
          </cell>
          <cell r="F7">
            <v>11</v>
          </cell>
        </row>
        <row r="8">
          <cell r="C8" t="str">
            <v>印尼</v>
          </cell>
          <cell r="D8" t="str">
            <v>Indonesia</v>
          </cell>
          <cell r="E8">
            <v>38530</v>
          </cell>
          <cell r="F8">
            <v>303</v>
          </cell>
        </row>
        <row r="9">
          <cell r="C9" t="str">
            <v>中華民國</v>
          </cell>
          <cell r="D9" t="str">
            <v>Taiwan, Roc</v>
          </cell>
          <cell r="E9">
            <v>34706</v>
          </cell>
          <cell r="F9">
            <v>17</v>
          </cell>
        </row>
        <row r="10">
          <cell r="C10" t="str">
            <v>法國</v>
          </cell>
          <cell r="D10" t="str">
            <v>France</v>
          </cell>
          <cell r="E10">
            <v>25425</v>
          </cell>
          <cell r="F10">
            <v>20</v>
          </cell>
        </row>
        <row r="11">
          <cell r="C11" t="str">
            <v>韓國</v>
          </cell>
          <cell r="D11" t="str">
            <v>Republic of Korea</v>
          </cell>
          <cell r="E11">
            <v>14412</v>
          </cell>
          <cell r="F11">
            <v>86</v>
          </cell>
        </row>
        <row r="12">
          <cell r="C12" t="str">
            <v>日本</v>
          </cell>
          <cell r="D12" t="str">
            <v>Japan</v>
          </cell>
          <cell r="E12">
            <v>4378</v>
          </cell>
          <cell r="F12">
            <v>12</v>
          </cell>
        </row>
        <row r="13">
          <cell r="C13" t="str">
            <v>澳大利亞</v>
          </cell>
          <cell r="D13" t="str">
            <v>Australia</v>
          </cell>
          <cell r="E13">
            <v>3105</v>
          </cell>
          <cell r="F13">
            <v>1</v>
          </cell>
        </row>
        <row r="14">
          <cell r="C14" t="str">
            <v>英國</v>
          </cell>
          <cell r="D14" t="str">
            <v>United Kingdom</v>
          </cell>
          <cell r="E14">
            <v>3104</v>
          </cell>
          <cell r="F14">
            <v>2</v>
          </cell>
        </row>
        <row r="15">
          <cell r="C15" t="str">
            <v>西班牙</v>
          </cell>
          <cell r="D15" t="str">
            <v>Spain</v>
          </cell>
          <cell r="E15">
            <v>3072</v>
          </cell>
          <cell r="F15">
            <v>1</v>
          </cell>
        </row>
        <row r="16">
          <cell r="C16" t="str">
            <v>斯洛伐克</v>
          </cell>
          <cell r="D16" t="str">
            <v>Slovakia</v>
          </cell>
          <cell r="E16">
            <v>2647</v>
          </cell>
          <cell r="F16">
            <v>2</v>
          </cell>
        </row>
        <row r="17">
          <cell r="C17" t="str">
            <v>義大利</v>
          </cell>
          <cell r="D17" t="str">
            <v>Italy</v>
          </cell>
          <cell r="E17">
            <v>2581</v>
          </cell>
          <cell r="F17">
            <v>2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  <row r="3">
          <cell r="C3" t="str">
            <v>荷蘭</v>
          </cell>
          <cell r="D3" t="str">
            <v>Netherlands</v>
          </cell>
          <cell r="E3">
            <v>27507813</v>
          </cell>
          <cell r="F3">
            <v>59692189</v>
          </cell>
          <cell r="G3">
            <v>21126</v>
          </cell>
        </row>
        <row r="4">
          <cell r="C4" t="str">
            <v>美國</v>
          </cell>
          <cell r="D4" t="str">
            <v>United States</v>
          </cell>
          <cell r="E4">
            <v>47136779</v>
          </cell>
          <cell r="F4">
            <v>36713037</v>
          </cell>
          <cell r="G4">
            <v>30608</v>
          </cell>
        </row>
        <row r="5">
          <cell r="C5" t="str">
            <v>英國</v>
          </cell>
          <cell r="D5" t="str">
            <v>United Kingdom</v>
          </cell>
          <cell r="E5">
            <v>6494141</v>
          </cell>
          <cell r="F5">
            <v>9848953</v>
          </cell>
          <cell r="G5">
            <v>4220</v>
          </cell>
        </row>
        <row r="6">
          <cell r="C6" t="str">
            <v>德國</v>
          </cell>
          <cell r="D6" t="str">
            <v>Germany</v>
          </cell>
          <cell r="E6">
            <v>7604844</v>
          </cell>
          <cell r="F6">
            <v>8690326</v>
          </cell>
          <cell r="G6">
            <v>9631</v>
          </cell>
        </row>
        <row r="7">
          <cell r="C7" t="str">
            <v>加拿大</v>
          </cell>
          <cell r="D7" t="str">
            <v>Canada</v>
          </cell>
          <cell r="E7">
            <v>3307162</v>
          </cell>
          <cell r="F7">
            <v>5956831</v>
          </cell>
          <cell r="G7">
            <v>1594</v>
          </cell>
        </row>
        <row r="8">
          <cell r="C8" t="str">
            <v>法國</v>
          </cell>
          <cell r="D8" t="str">
            <v>France</v>
          </cell>
          <cell r="E8">
            <v>1277360</v>
          </cell>
          <cell r="F8">
            <v>5152909</v>
          </cell>
          <cell r="G8">
            <v>1104</v>
          </cell>
        </row>
        <row r="9">
          <cell r="C9" t="str">
            <v>澳大利亞</v>
          </cell>
          <cell r="D9" t="str">
            <v>Australia</v>
          </cell>
          <cell r="E9">
            <v>2625967</v>
          </cell>
          <cell r="F9">
            <v>4671078</v>
          </cell>
          <cell r="G9">
            <v>1303</v>
          </cell>
        </row>
        <row r="10">
          <cell r="C10" t="str">
            <v>義大利</v>
          </cell>
          <cell r="D10" t="str">
            <v>Italy</v>
          </cell>
          <cell r="E10">
            <v>2313671</v>
          </cell>
          <cell r="F10">
            <v>4128888</v>
          </cell>
          <cell r="G10">
            <v>1087</v>
          </cell>
        </row>
        <row r="11">
          <cell r="C11" t="str">
            <v>瑞士</v>
          </cell>
          <cell r="D11" t="str">
            <v>Switzerland</v>
          </cell>
          <cell r="E11">
            <v>1782459</v>
          </cell>
          <cell r="F11">
            <v>3645098</v>
          </cell>
          <cell r="G11">
            <v>1222</v>
          </cell>
        </row>
        <row r="12">
          <cell r="C12" t="str">
            <v>挪威</v>
          </cell>
          <cell r="D12" t="str">
            <v>Norway</v>
          </cell>
          <cell r="E12">
            <v>53128</v>
          </cell>
          <cell r="F12">
            <v>3406405</v>
          </cell>
          <cell r="G12">
            <v>28</v>
          </cell>
        </row>
        <row r="13">
          <cell r="C13" t="str">
            <v>比利時</v>
          </cell>
          <cell r="D13" t="str">
            <v>Belgium</v>
          </cell>
          <cell r="E13">
            <v>0</v>
          </cell>
          <cell r="F13">
            <v>2645523</v>
          </cell>
          <cell r="G13">
            <v>0</v>
          </cell>
        </row>
        <row r="14">
          <cell r="C14" t="str">
            <v>紐西蘭</v>
          </cell>
          <cell r="D14" t="str">
            <v>New Zealand</v>
          </cell>
          <cell r="E14">
            <v>2256600</v>
          </cell>
          <cell r="F14">
            <v>2334641</v>
          </cell>
          <cell r="G14">
            <v>1010</v>
          </cell>
        </row>
        <row r="15">
          <cell r="C15" t="str">
            <v>奧地利</v>
          </cell>
          <cell r="D15" t="str">
            <v>Austria</v>
          </cell>
          <cell r="E15">
            <v>0</v>
          </cell>
          <cell r="F15">
            <v>2214280</v>
          </cell>
          <cell r="G15">
            <v>0</v>
          </cell>
        </row>
        <row r="16">
          <cell r="C16" t="str">
            <v>西班牙</v>
          </cell>
          <cell r="D16" t="str">
            <v>Spain</v>
          </cell>
          <cell r="E16">
            <v>308318</v>
          </cell>
          <cell r="F16">
            <v>1659510</v>
          </cell>
          <cell r="G16">
            <v>140</v>
          </cell>
        </row>
        <row r="17">
          <cell r="C17" t="str">
            <v>丹麥</v>
          </cell>
          <cell r="D17" t="str">
            <v>Denmark</v>
          </cell>
          <cell r="E17">
            <v>988355</v>
          </cell>
          <cell r="F17">
            <v>1136438</v>
          </cell>
          <cell r="G17">
            <v>730</v>
          </cell>
        </row>
        <row r="18">
          <cell r="C18" t="str">
            <v>韓國</v>
          </cell>
          <cell r="D18" t="str">
            <v>Republic of Korea</v>
          </cell>
          <cell r="E18">
            <v>544449</v>
          </cell>
          <cell r="F18">
            <v>1114968</v>
          </cell>
          <cell r="G18">
            <v>207</v>
          </cell>
        </row>
        <row r="19">
          <cell r="C19" t="str">
            <v>日本</v>
          </cell>
          <cell r="D19" t="str">
            <v>Japan</v>
          </cell>
          <cell r="E19">
            <v>889148</v>
          </cell>
          <cell r="F19">
            <v>847876</v>
          </cell>
          <cell r="G19">
            <v>847</v>
          </cell>
        </row>
        <row r="20">
          <cell r="C20" t="str">
            <v>捷克</v>
          </cell>
          <cell r="D20" t="str">
            <v>Czech Republic</v>
          </cell>
          <cell r="E20">
            <v>53743</v>
          </cell>
          <cell r="F20">
            <v>757450</v>
          </cell>
          <cell r="G20">
            <v>183</v>
          </cell>
        </row>
        <row r="21">
          <cell r="C21" t="str">
            <v>波蘭</v>
          </cell>
          <cell r="D21" t="str">
            <v>Poland</v>
          </cell>
          <cell r="E21">
            <v>266003</v>
          </cell>
          <cell r="F21">
            <v>625327</v>
          </cell>
          <cell r="G21">
            <v>297</v>
          </cell>
        </row>
        <row r="22">
          <cell r="C22" t="str">
            <v>瑞典</v>
          </cell>
          <cell r="D22" t="str">
            <v>Sweden</v>
          </cell>
          <cell r="E22">
            <v>0</v>
          </cell>
          <cell r="F22">
            <v>511894</v>
          </cell>
          <cell r="G22">
            <v>0</v>
          </cell>
        </row>
        <row r="23">
          <cell r="C23" t="str">
            <v>智利</v>
          </cell>
          <cell r="D23" t="str">
            <v>Chile</v>
          </cell>
          <cell r="E23">
            <v>391429</v>
          </cell>
          <cell r="F23">
            <v>392875</v>
          </cell>
          <cell r="G23">
            <v>166</v>
          </cell>
        </row>
        <row r="24">
          <cell r="C24" t="str">
            <v>南非</v>
          </cell>
          <cell r="D24" t="str">
            <v>South Africa</v>
          </cell>
          <cell r="E24">
            <v>262930</v>
          </cell>
          <cell r="F24">
            <v>328039</v>
          </cell>
          <cell r="G24">
            <v>107</v>
          </cell>
        </row>
        <row r="25">
          <cell r="C25" t="str">
            <v>哥倫比亞</v>
          </cell>
          <cell r="D25" t="str">
            <v>Colombia</v>
          </cell>
          <cell r="E25">
            <v>0</v>
          </cell>
          <cell r="F25">
            <v>215654</v>
          </cell>
          <cell r="G25">
            <v>0</v>
          </cell>
        </row>
        <row r="26">
          <cell r="C26" t="str">
            <v>以色列</v>
          </cell>
          <cell r="D26" t="str">
            <v>Israel</v>
          </cell>
          <cell r="E26">
            <v>420977</v>
          </cell>
          <cell r="F26">
            <v>136209</v>
          </cell>
          <cell r="G26">
            <v>148</v>
          </cell>
        </row>
        <row r="27">
          <cell r="C27" t="str">
            <v>芬蘭</v>
          </cell>
          <cell r="D27" t="str">
            <v>Finland</v>
          </cell>
          <cell r="E27">
            <v>164123</v>
          </cell>
          <cell r="F27">
            <v>131961</v>
          </cell>
          <cell r="G27">
            <v>280</v>
          </cell>
        </row>
        <row r="28">
          <cell r="C28" t="str">
            <v>中國大陸</v>
          </cell>
          <cell r="D28" t="str">
            <v>China</v>
          </cell>
          <cell r="E28">
            <v>0</v>
          </cell>
          <cell r="F28">
            <v>108823</v>
          </cell>
          <cell r="G28">
            <v>0</v>
          </cell>
        </row>
        <row r="29">
          <cell r="C29" t="str">
            <v>哥斯大黎加</v>
          </cell>
          <cell r="D29" t="str">
            <v>Costa Rica</v>
          </cell>
          <cell r="E29">
            <v>0</v>
          </cell>
          <cell r="F29">
            <v>36797</v>
          </cell>
          <cell r="G29">
            <v>0</v>
          </cell>
        </row>
        <row r="30">
          <cell r="C30" t="str">
            <v>阿拉伯聯合大公國</v>
          </cell>
          <cell r="D30" t="str">
            <v>United Arab Emirates</v>
          </cell>
          <cell r="E30">
            <v>14069</v>
          </cell>
          <cell r="F30">
            <v>36209</v>
          </cell>
          <cell r="G30">
            <v>16</v>
          </cell>
        </row>
        <row r="31">
          <cell r="C31" t="str">
            <v>巴西</v>
          </cell>
          <cell r="D31" t="str">
            <v>Brazil</v>
          </cell>
          <cell r="E31">
            <v>720072</v>
          </cell>
          <cell r="F31">
            <v>24673</v>
          </cell>
          <cell r="G31">
            <v>263</v>
          </cell>
        </row>
        <row r="32">
          <cell r="C32" t="str">
            <v>菲律賓</v>
          </cell>
          <cell r="D32" t="str">
            <v>Philippines</v>
          </cell>
          <cell r="E32">
            <v>45244</v>
          </cell>
          <cell r="F32">
            <v>2092</v>
          </cell>
          <cell r="G32">
            <v>11</v>
          </cell>
        </row>
        <row r="33">
          <cell r="C33" t="str">
            <v>烏拉圭</v>
          </cell>
          <cell r="D33" t="str">
            <v>Uruguay</v>
          </cell>
          <cell r="E33">
            <v>0</v>
          </cell>
          <cell r="F33">
            <v>1078</v>
          </cell>
          <cell r="G33">
            <v>0</v>
          </cell>
        </row>
        <row r="34">
          <cell r="C34" t="str">
            <v>新加坡</v>
          </cell>
          <cell r="D34" t="str">
            <v>Singapore</v>
          </cell>
          <cell r="E34">
            <v>103146</v>
          </cell>
          <cell r="F34">
            <v>0</v>
          </cell>
          <cell r="G34">
            <v>41</v>
          </cell>
        </row>
        <row r="35">
          <cell r="C35" t="str">
            <v>墨西哥</v>
          </cell>
          <cell r="D35" t="str">
            <v>Mexico</v>
          </cell>
          <cell r="E35">
            <v>927739</v>
          </cell>
          <cell r="F35">
            <v>0</v>
          </cell>
          <cell r="G35">
            <v>375</v>
          </cell>
        </row>
        <row r="36">
          <cell r="C36" t="str">
            <v>馬來西亞</v>
          </cell>
          <cell r="D36" t="str">
            <v>Malaysia</v>
          </cell>
          <cell r="E36">
            <v>109656</v>
          </cell>
          <cell r="F36">
            <v>0</v>
          </cell>
          <cell r="G36">
            <v>37</v>
          </cell>
        </row>
        <row r="37">
          <cell r="C37" t="str">
            <v>巴拿馬</v>
          </cell>
          <cell r="D37" t="str">
            <v>Panama</v>
          </cell>
          <cell r="E37">
            <v>671646</v>
          </cell>
          <cell r="F37">
            <v>0</v>
          </cell>
          <cell r="G37">
            <v>264</v>
          </cell>
        </row>
        <row r="38">
          <cell r="C38" t="str">
            <v>多明尼加</v>
          </cell>
          <cell r="D38" t="str">
            <v>Dominican Republic</v>
          </cell>
          <cell r="E38">
            <v>26763</v>
          </cell>
          <cell r="F38">
            <v>0</v>
          </cell>
          <cell r="G38">
            <v>12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62527249</v>
          </cell>
          <cell r="C3">
            <v>30485</v>
          </cell>
        </row>
        <row r="4">
          <cell r="A4" t="str">
            <v>荷蘭</v>
          </cell>
          <cell r="B4">
            <v>22074361</v>
          </cell>
          <cell r="C4">
            <v>11217</v>
          </cell>
        </row>
        <row r="5">
          <cell r="A5" t="str">
            <v>美國</v>
          </cell>
          <cell r="B5">
            <v>13909371</v>
          </cell>
          <cell r="C5">
            <v>6179</v>
          </cell>
        </row>
        <row r="6">
          <cell r="A6" t="str">
            <v>德國</v>
          </cell>
          <cell r="B6">
            <v>6248187</v>
          </cell>
          <cell r="C6">
            <v>4758</v>
          </cell>
        </row>
        <row r="7">
          <cell r="A7" t="str">
            <v>英國</v>
          </cell>
          <cell r="B7">
            <v>4088739</v>
          </cell>
          <cell r="C7">
            <v>1662</v>
          </cell>
        </row>
        <row r="8">
          <cell r="A8" t="str">
            <v>義大利</v>
          </cell>
          <cell r="B8">
            <v>3652121</v>
          </cell>
          <cell r="C8">
            <v>1185</v>
          </cell>
        </row>
        <row r="9">
          <cell r="A9" t="str">
            <v>西班牙</v>
          </cell>
          <cell r="B9">
            <v>2494599</v>
          </cell>
          <cell r="C9">
            <v>900</v>
          </cell>
        </row>
        <row r="10">
          <cell r="A10" t="str">
            <v>澳大利亞</v>
          </cell>
          <cell r="B10">
            <v>1559415</v>
          </cell>
          <cell r="C10">
            <v>641</v>
          </cell>
        </row>
        <row r="11">
          <cell r="A11" t="str">
            <v>紐西蘭</v>
          </cell>
          <cell r="B11">
            <v>1331553</v>
          </cell>
          <cell r="C11">
            <v>510</v>
          </cell>
        </row>
        <row r="12">
          <cell r="A12" t="str">
            <v>南非</v>
          </cell>
          <cell r="B12">
            <v>936802</v>
          </cell>
          <cell r="C12">
            <v>280</v>
          </cell>
        </row>
        <row r="13">
          <cell r="A13" t="str">
            <v>法國</v>
          </cell>
          <cell r="B13">
            <v>909886</v>
          </cell>
          <cell r="C13">
            <v>691</v>
          </cell>
        </row>
        <row r="14">
          <cell r="A14" t="str">
            <v>墨西哥</v>
          </cell>
          <cell r="B14">
            <v>719927</v>
          </cell>
          <cell r="C14">
            <v>153</v>
          </cell>
        </row>
        <row r="15">
          <cell r="A15" t="str">
            <v>瑞士</v>
          </cell>
          <cell r="B15">
            <v>719379</v>
          </cell>
          <cell r="C15">
            <v>299</v>
          </cell>
        </row>
        <row r="16">
          <cell r="A16" t="str">
            <v>巴拿馬</v>
          </cell>
          <cell r="B16">
            <v>554318</v>
          </cell>
          <cell r="C16">
            <v>147</v>
          </cell>
        </row>
        <row r="17">
          <cell r="A17" t="str">
            <v>智利</v>
          </cell>
          <cell r="B17">
            <v>546018</v>
          </cell>
          <cell r="C17">
            <v>131</v>
          </cell>
        </row>
        <row r="18">
          <cell r="A18" t="str">
            <v>哥倫比亞</v>
          </cell>
          <cell r="B18">
            <v>438724</v>
          </cell>
          <cell r="C18">
            <v>124</v>
          </cell>
        </row>
        <row r="19">
          <cell r="A19" t="str">
            <v>加拿大</v>
          </cell>
          <cell r="B19">
            <v>375280</v>
          </cell>
          <cell r="C19">
            <v>192</v>
          </cell>
        </row>
        <row r="20">
          <cell r="A20" t="str">
            <v>日本</v>
          </cell>
          <cell r="B20">
            <v>366555</v>
          </cell>
          <cell r="C20">
            <v>415</v>
          </cell>
        </row>
        <row r="21">
          <cell r="A21" t="str">
            <v>中國大陸</v>
          </cell>
          <cell r="B21">
            <v>327830</v>
          </cell>
          <cell r="C21">
            <v>99</v>
          </cell>
        </row>
        <row r="22">
          <cell r="A22" t="str">
            <v>波蘭</v>
          </cell>
          <cell r="B22">
            <v>247727</v>
          </cell>
          <cell r="C22">
            <v>115</v>
          </cell>
        </row>
        <row r="23">
          <cell r="A23" t="str">
            <v>哥斯大黎加</v>
          </cell>
          <cell r="B23">
            <v>232164</v>
          </cell>
          <cell r="C23">
            <v>47</v>
          </cell>
        </row>
        <row r="24">
          <cell r="A24" t="str">
            <v>韓國</v>
          </cell>
          <cell r="B24">
            <v>182240</v>
          </cell>
          <cell r="C24">
            <v>50</v>
          </cell>
        </row>
        <row r="25">
          <cell r="A25" t="str">
            <v>匈牙利</v>
          </cell>
          <cell r="B25">
            <v>162191</v>
          </cell>
          <cell r="C25">
            <v>95</v>
          </cell>
        </row>
        <row r="26">
          <cell r="A26" t="str">
            <v>瑞典</v>
          </cell>
          <cell r="B26">
            <v>146323</v>
          </cell>
          <cell r="C26">
            <v>411</v>
          </cell>
        </row>
        <row r="27">
          <cell r="A27" t="str">
            <v>丹麥</v>
          </cell>
          <cell r="B27">
            <v>71803</v>
          </cell>
          <cell r="C27">
            <v>55</v>
          </cell>
        </row>
        <row r="28">
          <cell r="A28" t="str">
            <v>以色列</v>
          </cell>
          <cell r="B28">
            <v>63412</v>
          </cell>
          <cell r="C28">
            <v>62</v>
          </cell>
        </row>
        <row r="29">
          <cell r="A29" t="str">
            <v>阿根廷</v>
          </cell>
          <cell r="B29">
            <v>59323</v>
          </cell>
          <cell r="C29">
            <v>22</v>
          </cell>
        </row>
        <row r="30">
          <cell r="A30" t="str">
            <v>尼泊爾</v>
          </cell>
          <cell r="B30">
            <v>42203</v>
          </cell>
          <cell r="C30">
            <v>16</v>
          </cell>
        </row>
        <row r="31">
          <cell r="A31" t="str">
            <v>捷克</v>
          </cell>
          <cell r="B31">
            <v>37778</v>
          </cell>
          <cell r="C31">
            <v>10</v>
          </cell>
        </row>
        <row r="32">
          <cell r="A32" t="str">
            <v>馬來西亞</v>
          </cell>
          <cell r="B32">
            <v>10375</v>
          </cell>
          <cell r="C32">
            <v>9</v>
          </cell>
        </row>
        <row r="33">
          <cell r="A33" t="str">
            <v>巴林</v>
          </cell>
          <cell r="B33">
            <v>9460</v>
          </cell>
          <cell r="C33">
            <v>2</v>
          </cell>
        </row>
        <row r="34">
          <cell r="A34" t="str">
            <v>阿拉伯聯合大公國</v>
          </cell>
          <cell r="B34">
            <v>4334</v>
          </cell>
          <cell r="C34">
            <v>2</v>
          </cell>
        </row>
        <row r="35">
          <cell r="A35" t="str">
            <v>比利時</v>
          </cell>
          <cell r="B35">
            <v>2075</v>
          </cell>
          <cell r="C35">
            <v>1</v>
          </cell>
        </row>
        <row r="36">
          <cell r="A36" t="str">
            <v>菲律賓</v>
          </cell>
          <cell r="B36">
            <v>1861</v>
          </cell>
          <cell r="C36">
            <v>4</v>
          </cell>
        </row>
        <row r="37">
          <cell r="A37" t="str">
            <v>香港</v>
          </cell>
          <cell r="B37">
            <v>915</v>
          </cell>
          <cell r="C3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485</v>
      </c>
      <c r="B1" s="2"/>
      <c r="C1" s="2"/>
      <c r="D1" s="3"/>
      <c r="E1" s="2"/>
      <c r="F1" s="2"/>
      <c r="G1" s="2"/>
      <c r="H1" s="2"/>
      <c r="I1" s="3"/>
    </row>
    <row r="2" spans="1:9" ht="12" customHeight="1"/>
    <row r="3" spans="1:9" s="7" customFormat="1">
      <c r="A3" s="573" t="s">
        <v>104</v>
      </c>
      <c r="B3" s="574"/>
      <c r="C3" s="574"/>
      <c r="D3" s="574"/>
      <c r="E3" s="574"/>
      <c r="F3" s="574"/>
      <c r="G3" s="574"/>
      <c r="H3" s="574"/>
      <c r="I3" s="575"/>
    </row>
    <row r="4" spans="1:9" s="13" customFormat="1">
      <c r="A4" s="543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24726</v>
      </c>
      <c r="C7" s="22">
        <f>SUM(C8:C10)</f>
        <v>20905621</v>
      </c>
      <c r="D7" s="23">
        <f>IF(B7,C7/B7,0)</f>
        <v>845.49142602928089</v>
      </c>
      <c r="E7" s="207">
        <f>SUM(E8:E10)</f>
        <v>47354</v>
      </c>
      <c r="F7" s="24">
        <f>E7/$E$67</f>
        <v>0.38707831645373025</v>
      </c>
      <c r="G7" s="21">
        <f>SUM(G8:G10)</f>
        <v>36429971</v>
      </c>
      <c r="H7" s="24">
        <f>G7/$G$67</f>
        <v>0.29786387443304946</v>
      </c>
      <c r="I7" s="25">
        <f>IF(E7,G7/E7,0)</f>
        <v>769.31137813067539</v>
      </c>
    </row>
    <row r="8" spans="1:9">
      <c r="A8" s="445" t="s">
        <v>196</v>
      </c>
      <c r="B8" s="27">
        <f>VLOOKUP(A8,[1]進出口值表查詢結果!$A$3:$C$46,3,0)</f>
        <v>22468</v>
      </c>
      <c r="C8" s="28">
        <f>VLOOKUP(A8,[1]進出口值表查詢結果!$A$3:$C$46,2,0)</f>
        <v>17636896</v>
      </c>
      <c r="D8" s="23">
        <f t="shared" ref="D8:D66" si="0">IF(B8,C8/B8,0)</f>
        <v>784.97845825173579</v>
      </c>
      <c r="E8" s="28">
        <f>VLOOKUP(A8,[2]進出口值表查詢結果!$A$10:$C$66,3,0)</f>
        <v>43828</v>
      </c>
      <c r="F8" s="29">
        <f>E8/$E$67</f>
        <v>0.3582562920457425</v>
      </c>
      <c r="G8" s="27">
        <f>VLOOKUP(A8,[2]進出口值表查詢結果!$A$10:$C$66,2,0)</f>
        <v>31995482</v>
      </c>
      <c r="H8" s="24">
        <f>G8/$G$67</f>
        <v>0.26160597912287364</v>
      </c>
      <c r="I8" s="25">
        <f t="shared" ref="I8:I66" si="1">IF(E8,G8/E8,0)</f>
        <v>730.02377475586388</v>
      </c>
    </row>
    <row r="9" spans="1:9">
      <c r="A9" s="446" t="s">
        <v>6</v>
      </c>
      <c r="B9" s="27">
        <f>VLOOKUP(A9,[1]進出口值表查詢結果!$A$3:$C$46,3,0)</f>
        <v>1705</v>
      </c>
      <c r="C9" s="28">
        <f>VLOOKUP(A9,[1]進出口值表查詢結果!$A$3:$C$46,2,0)</f>
        <v>2606167</v>
      </c>
      <c r="D9" s="23">
        <f t="shared" si="0"/>
        <v>1528.5436950146627</v>
      </c>
      <c r="E9" s="28">
        <f>VLOOKUP(A9,[2]進出口值表查詢結果!$A$10:$C$66,3,0)</f>
        <v>2730</v>
      </c>
      <c r="F9" s="29">
        <f>E9/$E$67</f>
        <v>2.2315407440103976E-2</v>
      </c>
      <c r="G9" s="27">
        <f>VLOOKUP(A9,[2]進出口值表查詢結果!$A$10:$C$66,2,0)</f>
        <v>3540341</v>
      </c>
      <c r="H9" s="24">
        <f>G9/$G$67</f>
        <v>2.8947036138847783E-2</v>
      </c>
      <c r="I9" s="25">
        <f t="shared" si="1"/>
        <v>1296.8282051282051</v>
      </c>
    </row>
    <row r="10" spans="1:9">
      <c r="A10" s="446" t="s">
        <v>7</v>
      </c>
      <c r="B10" s="27">
        <f>VLOOKUP(A10,[1]進出口值表查詢結果!$A$3:$C$46,3,0)</f>
        <v>553</v>
      </c>
      <c r="C10" s="28">
        <f>VLOOKUP(A10,[1]進出口值表查詢結果!$A$3:$C$46,2,0)</f>
        <v>662558</v>
      </c>
      <c r="D10" s="23">
        <f t="shared" si="0"/>
        <v>1198.1157323688969</v>
      </c>
      <c r="E10" s="28">
        <f>VLOOKUP(A10,[2]進出口值表查詢結果!$A$10:$C$66,3,0)</f>
        <v>796</v>
      </c>
      <c r="F10" s="29">
        <f>E10/$E$67</f>
        <v>6.5066169678837963E-3</v>
      </c>
      <c r="G10" s="27">
        <f>VLOOKUP(A10,[2]進出口值表查詢結果!$A$10:$C$66,2,0)</f>
        <v>894148</v>
      </c>
      <c r="H10" s="24">
        <f>G10/$G$67</f>
        <v>7.3108591713279781E-3</v>
      </c>
      <c r="I10" s="25">
        <f t="shared" si="1"/>
        <v>1123.3015075376884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24798</v>
      </c>
      <c r="C12" s="33">
        <f>SUM(C13:C39)</f>
        <v>26513908</v>
      </c>
      <c r="D12" s="23">
        <f t="shared" si="0"/>
        <v>1069.1954189854021</v>
      </c>
      <c r="E12" s="33">
        <f>SUM(E13:E39)</f>
        <v>38007</v>
      </c>
      <c r="F12" s="24">
        <f t="shared" ref="F12:F27" si="2">E12/$E$67</f>
        <v>0.31067461193261237</v>
      </c>
      <c r="G12" s="33">
        <f>SUM(G13:G39)</f>
        <v>41832788</v>
      </c>
      <c r="H12" s="24">
        <f t="shared" ref="H12:H39" si="3">G12/$G$67</f>
        <v>0.34203914990809015</v>
      </c>
      <c r="I12" s="25">
        <f t="shared" si="1"/>
        <v>1100.6600889309864</v>
      </c>
    </row>
    <row r="13" spans="1:9">
      <c r="A13" s="445" t="s">
        <v>197</v>
      </c>
      <c r="B13" s="27">
        <f>VLOOKUP(A13,[1]進出口值表查詢結果!$A$3:$C$46,3,0)</f>
        <v>9274</v>
      </c>
      <c r="C13" s="28">
        <f>VLOOKUP(A13,[1]進出口值表查詢結果!$A$3:$C$46,2,0)</f>
        <v>12911686</v>
      </c>
      <c r="D13" s="23">
        <f t="shared" si="0"/>
        <v>1392.24563295234</v>
      </c>
      <c r="E13" s="28">
        <f>VLOOKUP(A13,[2]進出口值表查詢結果!$A$10:$C$66,3,0)</f>
        <v>15199</v>
      </c>
      <c r="F13" s="29">
        <f t="shared" si="2"/>
        <v>0.12423878303375104</v>
      </c>
      <c r="G13" s="27">
        <f>VLOOKUP(A13,[2]進出口值表查詢結果!$A$10:$C$66,2,0)</f>
        <v>23076961</v>
      </c>
      <c r="H13" s="24">
        <f t="shared" si="3"/>
        <v>0.18868510802823255</v>
      </c>
      <c r="I13" s="25">
        <f t="shared" si="1"/>
        <v>1518.3210079610501</v>
      </c>
    </row>
    <row r="14" spans="1:9">
      <c r="A14" s="445" t="s">
        <v>198</v>
      </c>
      <c r="B14" s="27">
        <f>VLOOKUP(A14,[1]進出口值表查詢結果!$A$3:$C$46,3,0)</f>
        <v>3542</v>
      </c>
      <c r="C14" s="28">
        <f>VLOOKUP(A14,[1]進出口值表查詢結果!$A$3:$C$46,2,0)</f>
        <v>2750503</v>
      </c>
      <c r="D14" s="23">
        <f t="shared" si="0"/>
        <v>776.53952569169962</v>
      </c>
      <c r="E14" s="28">
        <f>VLOOKUP(A14,[2]進出口值表查詢結果!$A$10:$C$66,3,0)</f>
        <v>6801</v>
      </c>
      <c r="F14" s="29">
        <f t="shared" si="2"/>
        <v>5.559233919419309E-2</v>
      </c>
      <c r="G14" s="27">
        <f>VLOOKUP(A14,[2]進出口值表查詢結果!$A$10:$C$66,2,0)</f>
        <v>4281334</v>
      </c>
      <c r="H14" s="24">
        <f t="shared" si="3"/>
        <v>3.5005647766833119E-2</v>
      </c>
      <c r="I14" s="25">
        <f t="shared" si="1"/>
        <v>629.51536538744301</v>
      </c>
    </row>
    <row r="15" spans="1:9">
      <c r="A15" s="446" t="s">
        <v>9</v>
      </c>
      <c r="B15" s="27">
        <f>VLOOKUP(A15,[1]進出口值表查詢結果!$A$3:$C$46,3,0)</f>
        <v>1452</v>
      </c>
      <c r="C15" s="28">
        <f>VLOOKUP(A15,[1]進出口值表查詢結果!$A$3:$C$46,2,0)</f>
        <v>2292800</v>
      </c>
      <c r="D15" s="23">
        <f t="shared" si="0"/>
        <v>1579.0633608815426</v>
      </c>
      <c r="E15" s="28">
        <f>VLOOKUP(A15,[2]進出口值表查詢結果!$A$10:$C$66,3,0)</f>
        <v>2039</v>
      </c>
      <c r="F15" s="29">
        <f t="shared" si="2"/>
        <v>1.6667075373762639E-2</v>
      </c>
      <c r="G15" s="27">
        <f>VLOOKUP(A15,[2]進出口值表查詢結果!$A$10:$C$66,2,0)</f>
        <v>3401313</v>
      </c>
      <c r="H15" s="24">
        <f t="shared" si="3"/>
        <v>2.7810295768269995E-2</v>
      </c>
      <c r="I15" s="25">
        <f t="shared" si="1"/>
        <v>1668.1280039234919</v>
      </c>
    </row>
    <row r="16" spans="1:9">
      <c r="A16" s="445" t="s">
        <v>199</v>
      </c>
      <c r="B16" s="27">
        <f>VLOOKUP(A16,[1]進出口值表查詢結果!$A$3:$C$46,3,0)</f>
        <v>1116</v>
      </c>
      <c r="C16" s="28">
        <f>VLOOKUP(A16,[1]進出口值表查詢結果!$A$3:$C$46,2,0)</f>
        <v>1821026</v>
      </c>
      <c r="D16" s="23">
        <f t="shared" si="0"/>
        <v>1631.7437275985662</v>
      </c>
      <c r="E16" s="28">
        <f>VLOOKUP(A16,[2]進出口值表查詢結果!$A$10:$C$66,3,0)</f>
        <v>1545</v>
      </c>
      <c r="F16" s="29">
        <f t="shared" si="2"/>
        <v>1.2629049265553348E-2</v>
      </c>
      <c r="G16" s="27">
        <f>VLOOKUP(A16,[2]進出口值表查詢結果!$A$10:$C$66,2,0)</f>
        <v>2447174</v>
      </c>
      <c r="H16" s="24">
        <f t="shared" si="3"/>
        <v>2.0008929709327064E-2</v>
      </c>
      <c r="I16" s="25">
        <f t="shared" si="1"/>
        <v>1583.9313915857606</v>
      </c>
    </row>
    <row r="17" spans="1:9">
      <c r="A17" s="446" t="s">
        <v>10</v>
      </c>
      <c r="B17" s="27">
        <f>VLOOKUP(A17,[1]進出口值表查詢結果!$A$3:$C$46,3,0)</f>
        <v>1209</v>
      </c>
      <c r="C17" s="28">
        <f>VLOOKUP(A17,[1]進出口值表查詢結果!$A$3:$C$46,2,0)</f>
        <v>1600882</v>
      </c>
      <c r="D17" s="23">
        <f t="shared" si="0"/>
        <v>1324.1373035566585</v>
      </c>
      <c r="E17" s="28">
        <f>VLOOKUP(A17,[2]進出口值表查詢結果!$A$10:$C$66,3,0)</f>
        <v>1523</v>
      </c>
      <c r="F17" s="29">
        <f t="shared" si="2"/>
        <v>1.2449218143325405E-2</v>
      </c>
      <c r="G17" s="27">
        <f>VLOOKUP(A17,[2]進出口值表查詢結果!$A$10:$C$66,2,0)</f>
        <v>2041897</v>
      </c>
      <c r="H17" s="24">
        <f t="shared" si="3"/>
        <v>1.6695246658670695E-2</v>
      </c>
      <c r="I17" s="25">
        <f t="shared" si="1"/>
        <v>1340.7071569271175</v>
      </c>
    </row>
    <row r="18" spans="1:9">
      <c r="A18" s="446" t="s">
        <v>11</v>
      </c>
      <c r="B18" s="27">
        <f>VLOOKUP(A18,[1]進出口值表查詢結果!$A$3:$C$46,3,0)</f>
        <v>1312</v>
      </c>
      <c r="C18" s="28">
        <f>VLOOKUP(A18,[1]進出口值表查詢結果!$A$3:$C$46,2,0)</f>
        <v>2517638</v>
      </c>
      <c r="D18" s="23">
        <f t="shared" si="0"/>
        <v>1918.9314024390244</v>
      </c>
      <c r="E18" s="28">
        <f>VLOOKUP(A18,[2]進出口值表查詢結果!$A$10:$C$66,3,0)</f>
        <v>1788</v>
      </c>
      <c r="F18" s="29">
        <f t="shared" si="2"/>
        <v>1.4615365751980186E-2</v>
      </c>
      <c r="G18" s="27">
        <f>VLOOKUP(A18,[2]進出口值表查詢結果!$A$10:$C$66,2,0)</f>
        <v>3177566</v>
      </c>
      <c r="H18" s="24">
        <f t="shared" si="3"/>
        <v>2.5980863943776598E-2</v>
      </c>
      <c r="I18" s="25">
        <f t="shared" si="1"/>
        <v>1777.1621923937359</v>
      </c>
    </row>
    <row r="19" spans="1:9">
      <c r="A19" s="445" t="s">
        <v>200</v>
      </c>
      <c r="B19" s="27">
        <f>VLOOKUP(A19,[1]進出口值表查詢結果!$A$3:$C$46,3,0)</f>
        <v>2310</v>
      </c>
      <c r="C19" s="28">
        <f>VLOOKUP(A19,[1]進出口值表查詢結果!$A$3:$C$46,2,0)</f>
        <v>348855</v>
      </c>
      <c r="D19" s="23">
        <f t="shared" si="0"/>
        <v>151.01948051948051</v>
      </c>
      <c r="E19" s="28">
        <f>VLOOKUP(A19,[2]進出口值表查詢結果!$A$10:$C$66,3,0)</f>
        <v>2530</v>
      </c>
      <c r="F19" s="29">
        <f t="shared" si="2"/>
        <v>2.0680579056213573E-2</v>
      </c>
      <c r="G19" s="27">
        <f>VLOOKUP(A19,[2]進出口值表查詢結果!$A$10:$C$66,2,0)</f>
        <v>376158</v>
      </c>
      <c r="H19" s="24">
        <f t="shared" si="3"/>
        <v>3.0755961699499294E-3</v>
      </c>
      <c r="I19" s="25">
        <f t="shared" si="1"/>
        <v>148.67905138339921</v>
      </c>
    </row>
    <row r="20" spans="1:9">
      <c r="A20" s="446" t="s">
        <v>201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45" t="s">
        <v>202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9">
        <f t="shared" si="2"/>
        <v>0</v>
      </c>
      <c r="G21" s="27">
        <v>0</v>
      </c>
      <c r="H21" s="24">
        <f t="shared" si="3"/>
        <v>0</v>
      </c>
      <c r="I21" s="25">
        <f t="shared" si="1"/>
        <v>0</v>
      </c>
    </row>
    <row r="22" spans="1:9">
      <c r="A22" s="446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46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2"/>
        <v>0</v>
      </c>
      <c r="G23" s="27">
        <v>0</v>
      </c>
      <c r="H23" s="24">
        <f t="shared" si="3"/>
        <v>0</v>
      </c>
      <c r="I23" s="25">
        <f t="shared" si="1"/>
        <v>0</v>
      </c>
    </row>
    <row r="24" spans="1:9">
      <c r="A24" s="446" t="s">
        <v>15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9">
        <f t="shared" si="2"/>
        <v>0</v>
      </c>
      <c r="G24" s="27">
        <v>0</v>
      </c>
      <c r="H24" s="24">
        <f t="shared" si="3"/>
        <v>0</v>
      </c>
      <c r="I24" s="25">
        <f t="shared" si="1"/>
        <v>0</v>
      </c>
    </row>
    <row r="25" spans="1:9">
      <c r="A25" s="445" t="s">
        <v>203</v>
      </c>
      <c r="B25" s="27">
        <f>VLOOKUP(A25,[1]進出口值表查詢結果!$A$3:$C$46,3,0)</f>
        <v>437</v>
      </c>
      <c r="C25" s="28">
        <f>VLOOKUP(A25,[1]進出口值表查詢結果!$A$3:$C$46,2,0)</f>
        <v>178608</v>
      </c>
      <c r="D25" s="23">
        <f t="shared" si="0"/>
        <v>408.71395881006868</v>
      </c>
      <c r="E25" s="28">
        <f>VLOOKUP(A25,[2]進出口值表查詢結果!$A$10:$C$66,3,0)</f>
        <v>437</v>
      </c>
      <c r="F25" s="29">
        <f t="shared" si="2"/>
        <v>3.5721000188005266E-3</v>
      </c>
      <c r="G25" s="27">
        <f>VLOOKUP(A25,[2]進出口值表查詢結果!$A$10:$C$66,2,0)</f>
        <v>178608</v>
      </c>
      <c r="H25" s="24">
        <f t="shared" si="3"/>
        <v>1.4603599570457548E-3</v>
      </c>
      <c r="I25" s="25">
        <f t="shared" si="1"/>
        <v>408.71395881006868</v>
      </c>
    </row>
    <row r="26" spans="1:9">
      <c r="A26" s="445" t="s">
        <v>204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9">
        <f t="shared" si="2"/>
        <v>0</v>
      </c>
      <c r="G26" s="27">
        <v>0</v>
      </c>
      <c r="H26" s="24">
        <f t="shared" si="3"/>
        <v>0</v>
      </c>
      <c r="I26" s="25">
        <f t="shared" si="1"/>
        <v>0</v>
      </c>
    </row>
    <row r="27" spans="1:9">
      <c r="A27" s="447" t="s">
        <v>205</v>
      </c>
      <c r="B27" s="27">
        <f>VLOOKUP(A27,[1]進出口值表查詢結果!$A$3:$C$46,3,0)</f>
        <v>1517</v>
      </c>
      <c r="C27" s="28">
        <f>VLOOKUP(A27,[1]進出口值表查詢結果!$A$3:$C$46,2,0)</f>
        <v>915561</v>
      </c>
      <c r="D27" s="23">
        <f t="shared" si="0"/>
        <v>603.53394858272907</v>
      </c>
      <c r="E27" s="28">
        <f>VLOOKUP(A27,[2]進出口值表查詢結果!$A$10:$C$66,3,0)</f>
        <v>2688</v>
      </c>
      <c r="F27" s="29">
        <f t="shared" si="2"/>
        <v>2.197209347948699E-2</v>
      </c>
      <c r="G27" s="27">
        <f>VLOOKUP(A27,[2]進出口值表查詢結果!$A$10:$C$66,2,0)</f>
        <v>1456029</v>
      </c>
      <c r="H27" s="24">
        <f t="shared" si="3"/>
        <v>1.1904989966280196E-2</v>
      </c>
      <c r="I27" s="25">
        <f t="shared" si="1"/>
        <v>541.67745535714289</v>
      </c>
    </row>
    <row r="28" spans="1:9">
      <c r="A28" s="447" t="s">
        <v>206</v>
      </c>
      <c r="B28" s="27">
        <f>VLOOKUP(A28,[1]進出口值表查詢結果!$A$3:$C$46,3,0)</f>
        <v>1015</v>
      </c>
      <c r="C28" s="28">
        <f>VLOOKUP(A28,[1]進出口值表查詢結果!$A$3:$C$46,2,0)</f>
        <v>458225</v>
      </c>
      <c r="D28" s="23">
        <f t="shared" si="0"/>
        <v>451.45320197044333</v>
      </c>
      <c r="E28" s="28">
        <f>VLOOKUP(A28,[2]進出口值表查詢結果!$A$10:$C$66,3,0)</f>
        <v>1566</v>
      </c>
      <c r="F28" s="29">
        <f t="shared" ref="F28:F39" si="4">E28/$E$67</f>
        <v>1.280070624586184E-2</v>
      </c>
      <c r="G28" s="27">
        <f>VLOOKUP(A28,[2]進出口值表查詢結果!$A$10:$C$66,2,0)</f>
        <v>586045</v>
      </c>
      <c r="H28" s="24">
        <f t="shared" si="3"/>
        <v>4.7917039047908234E-3</v>
      </c>
      <c r="I28" s="25">
        <f t="shared" si="1"/>
        <v>374.23052362707534</v>
      </c>
    </row>
    <row r="29" spans="1:9">
      <c r="A29" s="446" t="s">
        <v>207</v>
      </c>
      <c r="B29" s="27">
        <f>VLOOKUP(A29,[1]進出口值表查詢結果!$A$3:$C$46,3,0)</f>
        <v>778</v>
      </c>
      <c r="C29" s="28">
        <f>VLOOKUP(A29,[1]進出口值表查詢結果!$A$3:$C$46,2,0)</f>
        <v>452638</v>
      </c>
      <c r="D29" s="23">
        <f t="shared" si="0"/>
        <v>581.79691516709511</v>
      </c>
      <c r="E29" s="28">
        <f>VLOOKUP(A29,[2]進出口值表查詢結果!$A$10:$C$66,3,0)</f>
        <v>778</v>
      </c>
      <c r="F29" s="29">
        <f t="shared" si="4"/>
        <v>6.3594824133336603E-3</v>
      </c>
      <c r="G29" s="27">
        <f>VLOOKUP(A29,[2]進出口值表查詢結果!$A$10:$C$66,2,0)</f>
        <v>452638</v>
      </c>
      <c r="H29" s="24">
        <f t="shared" si="3"/>
        <v>3.7009227483498857E-3</v>
      </c>
      <c r="I29" s="25">
        <f t="shared" si="1"/>
        <v>581.79691516709511</v>
      </c>
    </row>
    <row r="30" spans="1:9">
      <c r="A30" s="446" t="s">
        <v>208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46" t="s">
        <v>16</v>
      </c>
      <c r="B31" s="27">
        <v>0</v>
      </c>
      <c r="C31" s="28">
        <v>0</v>
      </c>
      <c r="D31" s="23">
        <f t="shared" si="0"/>
        <v>0</v>
      </c>
      <c r="E31" s="28">
        <v>0</v>
      </c>
      <c r="F31" s="29">
        <f t="shared" si="4"/>
        <v>0</v>
      </c>
      <c r="G31" s="27">
        <v>0</v>
      </c>
      <c r="H31" s="24">
        <f t="shared" si="3"/>
        <v>0</v>
      </c>
      <c r="I31" s="25">
        <f t="shared" si="1"/>
        <v>0</v>
      </c>
    </row>
    <row r="32" spans="1:9">
      <c r="A32" s="446" t="s">
        <v>17</v>
      </c>
      <c r="B32" s="27">
        <f>VLOOKUP(A32,[1]進出口值表查詢結果!$A$3:$C$46,3,0)</f>
        <v>245</v>
      </c>
      <c r="C32" s="28">
        <f>VLOOKUP(A32,[1]進出口值表查詢結果!$A$3:$C$46,2,0)</f>
        <v>57583</v>
      </c>
      <c r="D32" s="23">
        <f t="shared" si="0"/>
        <v>235.03265306122449</v>
      </c>
      <c r="E32" s="28">
        <f>VLOOKUP(A32,[2]進出口值表查詢結果!$A$10:$C$66,3,0)</f>
        <v>245</v>
      </c>
      <c r="F32" s="29">
        <f t="shared" si="4"/>
        <v>2.0026647702657413E-3</v>
      </c>
      <c r="G32" s="27">
        <f>VLOOKUP(A32,[2]進出口值表查詢結果!$A$10:$C$66,2,0)</f>
        <v>57583</v>
      </c>
      <c r="H32" s="24">
        <f t="shared" si="3"/>
        <v>4.708182578975505E-4</v>
      </c>
      <c r="I32" s="25">
        <f t="shared" si="1"/>
        <v>235.03265306122449</v>
      </c>
    </row>
    <row r="33" spans="1:9">
      <c r="A33" s="446" t="s">
        <v>209</v>
      </c>
      <c r="B33" s="27">
        <v>0</v>
      </c>
      <c r="C33" s="28">
        <v>0</v>
      </c>
      <c r="D33" s="23">
        <f t="shared" si="0"/>
        <v>0</v>
      </c>
      <c r="E33" s="28">
        <f>VLOOKUP(A33,[2]進出口值表查詢結果!$A$10:$C$66,3,0)</f>
        <v>277</v>
      </c>
      <c r="F33" s="29">
        <f t="shared" si="4"/>
        <v>2.2642373116882057E-3</v>
      </c>
      <c r="G33" s="27">
        <f>VLOOKUP(A33,[2]進出口值表查詢結果!$A$10:$C$66,2,0)</f>
        <v>91579</v>
      </c>
      <c r="H33" s="24">
        <f t="shared" si="3"/>
        <v>7.4878115485472758E-4</v>
      </c>
      <c r="I33" s="25">
        <f t="shared" si="1"/>
        <v>330.61010830324909</v>
      </c>
    </row>
    <row r="34" spans="1:9">
      <c r="A34" s="446" t="s">
        <v>210</v>
      </c>
      <c r="B34" s="27">
        <f>VLOOKUP(A34,[1]進出口值表查詢結果!$A$3:$C$46,3,0)</f>
        <v>234</v>
      </c>
      <c r="C34" s="28">
        <f>VLOOKUP(A34,[1]進出口值表查詢結果!$A$3:$C$46,2,0)</f>
        <v>97131</v>
      </c>
      <c r="D34" s="23">
        <f t="shared" si="0"/>
        <v>415.08974358974359</v>
      </c>
      <c r="E34" s="28">
        <f>VLOOKUP(A34,[2]進出口值表查詢結果!$A$10:$C$66,3,0)</f>
        <v>234</v>
      </c>
      <c r="F34" s="29">
        <f t="shared" si="4"/>
        <v>1.9127492091517693E-3</v>
      </c>
      <c r="G34" s="27">
        <f>VLOOKUP(A34,[2]進出口值表查詢結果!$A$10:$C$66,2,0)</f>
        <v>97131</v>
      </c>
      <c r="H34" s="24">
        <f t="shared" si="3"/>
        <v>7.9417620144568669E-4</v>
      </c>
      <c r="I34" s="25">
        <f t="shared" si="1"/>
        <v>415.08974358974359</v>
      </c>
    </row>
    <row r="35" spans="1:9">
      <c r="A35" s="446" t="s">
        <v>211</v>
      </c>
      <c r="B35" s="27">
        <f>VLOOKUP(A35,[1]進出口值表查詢結果!$A$3:$C$46,3,0)</f>
        <v>101</v>
      </c>
      <c r="C35" s="28">
        <f>VLOOKUP(A35,[1]進出口值表查詢結果!$A$3:$C$46,2,0)</f>
        <v>43057</v>
      </c>
      <c r="D35" s="23">
        <f t="shared" si="0"/>
        <v>426.30693069306932</v>
      </c>
      <c r="E35" s="28">
        <f>VLOOKUP(A35,[2]進出口值表查詢結果!$A$10:$C$66,3,0)</f>
        <v>101</v>
      </c>
      <c r="F35" s="29">
        <f t="shared" si="4"/>
        <v>8.2558833386465254E-4</v>
      </c>
      <c r="G35" s="27">
        <f>VLOOKUP(A35,[2]進出口值表查詢結果!$A$10:$C$66,2,0)</f>
        <v>43057</v>
      </c>
      <c r="H35" s="24">
        <f t="shared" si="3"/>
        <v>3.5204872497603167E-4</v>
      </c>
      <c r="I35" s="25">
        <f t="shared" si="1"/>
        <v>426.30693069306932</v>
      </c>
    </row>
    <row r="36" spans="1:9">
      <c r="A36" s="446" t="s">
        <v>212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46" t="s">
        <v>213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46" t="s">
        <v>214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9">
        <f t="shared" si="4"/>
        <v>0</v>
      </c>
      <c r="G38" s="27">
        <v>0</v>
      </c>
      <c r="H38" s="24">
        <f t="shared" si="3"/>
        <v>0</v>
      </c>
      <c r="I38" s="25">
        <f t="shared" si="1"/>
        <v>0</v>
      </c>
    </row>
    <row r="39" spans="1:9">
      <c r="A39" s="446" t="s">
        <v>18</v>
      </c>
      <c r="B39" s="27">
        <f>VLOOKUP(A39,[1]進出口值表查詢結果!$A$3:$C$46,3,0)</f>
        <v>256</v>
      </c>
      <c r="C39" s="28">
        <f>VLOOKUP(A39,[1]進出口值表查詢結果!$A$3:$C$46,2,0)</f>
        <v>67715</v>
      </c>
      <c r="D39" s="23">
        <f t="shared" si="0"/>
        <v>264.51171875</v>
      </c>
      <c r="E39" s="28">
        <f>VLOOKUP(A39,[2]進出口值表查詢結果!$A$10:$C$66,3,0)</f>
        <v>256</v>
      </c>
      <c r="F39" s="29">
        <f t="shared" si="4"/>
        <v>2.0925803313797133E-3</v>
      </c>
      <c r="G39" s="27">
        <f>VLOOKUP(A39,[2]進出口值表查詢結果!$A$10:$C$66,2,0)</f>
        <v>67715</v>
      </c>
      <c r="H39" s="24">
        <f t="shared" si="3"/>
        <v>5.5366094738955307E-4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1052</v>
      </c>
      <c r="C41" s="33">
        <f>SUM(C42:C45)</f>
        <v>1536314</v>
      </c>
      <c r="D41" s="23">
        <f t="shared" si="0"/>
        <v>1460.3745247148288</v>
      </c>
      <c r="E41" s="33">
        <f>SUM(E42:E45)</f>
        <v>3338</v>
      </c>
      <c r="F41" s="24">
        <f>E41/$E$67</f>
        <v>2.7285285727130796E-2</v>
      </c>
      <c r="G41" s="33">
        <f>SUM(G42:G45)</f>
        <v>2752946</v>
      </c>
      <c r="H41" s="24">
        <f>G41/$G$67</f>
        <v>2.2509025924422662E-2</v>
      </c>
      <c r="I41" s="25">
        <f t="shared" si="1"/>
        <v>824.72917914919117</v>
      </c>
    </row>
    <row r="42" spans="1:9">
      <c r="A42" s="445" t="s">
        <v>215</v>
      </c>
      <c r="B42" s="27">
        <f>VLOOKUP(A42,[1]進出口值表查詢結果!$A$3:$C$46,3,0)</f>
        <v>459</v>
      </c>
      <c r="C42" s="28">
        <f>VLOOKUP(A42,[1]進出口值表查詢結果!$A$3:$C$46,2,0)</f>
        <v>828684</v>
      </c>
      <c r="D42" s="23">
        <f t="shared" si="0"/>
        <v>1805.4117647058824</v>
      </c>
      <c r="E42" s="28">
        <f>VLOOKUP(A42,[2]進出口值表查詢結果!$A$10:$C$66,3,0)</f>
        <v>1775</v>
      </c>
      <c r="F42" s="29">
        <f>E42/$E$67</f>
        <v>1.4509101907027309E-2</v>
      </c>
      <c r="G42" s="27">
        <f>VLOOKUP(A42,[2]進出口值表查詢結果!$A$10:$C$66,2,0)</f>
        <v>1603844</v>
      </c>
      <c r="H42" s="29">
        <f>G42/$G$67</f>
        <v>1.3113575847375771E-2</v>
      </c>
      <c r="I42" s="25">
        <f t="shared" si="1"/>
        <v>903.57408450704224</v>
      </c>
    </row>
    <row r="43" spans="1:9">
      <c r="A43" s="445" t="s">
        <v>216</v>
      </c>
      <c r="B43" s="27">
        <f>VLOOKUP(A43,[1]進出口值表查詢結果!$A$3:$C$46,3,0)</f>
        <v>593</v>
      </c>
      <c r="C43" s="28">
        <f>VLOOKUP(A43,[1]進出口值表查詢結果!$A$3:$C$46,2,0)</f>
        <v>707630</v>
      </c>
      <c r="D43" s="23">
        <f t="shared" si="0"/>
        <v>1193.3052276559865</v>
      </c>
      <c r="E43" s="28">
        <f>VLOOKUP(A43,[2]進出口值表查詢結果!$A$10:$C$66,3,0)</f>
        <v>923</v>
      </c>
      <c r="F43" s="29">
        <f>E43/$E$67</f>
        <v>7.5447329916542008E-3</v>
      </c>
      <c r="G43" s="27">
        <f>VLOOKUP(A43,[2]進出口值表查詢結果!$A$10:$C$66,2,0)</f>
        <v>1053784</v>
      </c>
      <c r="H43" s="29">
        <f>G43/$G$67</f>
        <v>8.6160975822779703E-3</v>
      </c>
      <c r="I43" s="25">
        <f t="shared" si="1"/>
        <v>1141.6944745395449</v>
      </c>
    </row>
    <row r="44" spans="1:9">
      <c r="A44" s="445" t="s">
        <v>217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VLOOKUP(A44,[2]進出口值表查詢結果!$A$10:$C$66,3,0)</f>
        <v>640</v>
      </c>
      <c r="F44" s="29">
        <f>E44/$E$67</f>
        <v>5.2314508284492835E-3</v>
      </c>
      <c r="G44" s="27">
        <f>VLOOKUP(A44,[2]進出口值表查詢結果!$A$10:$C$66,2,0)</f>
        <v>95318</v>
      </c>
      <c r="H44" s="29">
        <f>G44/$G$67</f>
        <v>7.7935249476891993E-4</v>
      </c>
      <c r="I44" s="25">
        <f t="shared" si="1"/>
        <v>148.93437499999999</v>
      </c>
    </row>
    <row r="45" spans="1:9">
      <c r="A45" s="44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18652</v>
      </c>
      <c r="C47" s="33">
        <f>SUM(C48:C65)</f>
        <v>23979953</v>
      </c>
      <c r="D47" s="23">
        <f t="shared" si="0"/>
        <v>1285.6504932446924</v>
      </c>
      <c r="E47" s="33">
        <f>SUM(E48:E65)</f>
        <v>31139</v>
      </c>
      <c r="F47" s="24">
        <f t="shared" ref="F47:F65" si="5">E47/$E$67</f>
        <v>0.25453460522981602</v>
      </c>
      <c r="G47" s="33">
        <f>SUM(G48:G65)</f>
        <v>38002968</v>
      </c>
      <c r="H47" s="24">
        <f t="shared" ref="H47:H66" si="6">G47/$G$67</f>
        <v>0.31072523468204782</v>
      </c>
      <c r="I47" s="25">
        <f t="shared" si="1"/>
        <v>1220.4299431580976</v>
      </c>
    </row>
    <row r="48" spans="1:9">
      <c r="A48" s="477" t="s">
        <v>158</v>
      </c>
      <c r="B48" s="27">
        <f>VLOOKUP(A48,[1]進出口值表查詢結果!$A$3:$C$46,3,0)</f>
        <v>4251</v>
      </c>
      <c r="C48" s="28">
        <f>VLOOKUP(A48,[1]進出口值表查詢結果!$A$3:$C$46,2,0)</f>
        <v>4893166</v>
      </c>
      <c r="D48" s="23">
        <f t="shared" si="0"/>
        <v>1151.0623382733475</v>
      </c>
      <c r="E48" s="28">
        <f>VLOOKUP(A48,[2]進出口值表查詢結果!$A$10:$C$66,3,0)</f>
        <v>8128</v>
      </c>
      <c r="F48" s="29">
        <f t="shared" ref="F48" si="7">E48/$E$67</f>
        <v>6.6439425521305898E-2</v>
      </c>
      <c r="G48" s="27">
        <f>VLOOKUP(A48,[2]進出口值表查詢結果!$A$10:$C$66,2,0)</f>
        <v>8498428</v>
      </c>
      <c r="H48" s="29">
        <f t="shared" ref="H48" si="8">G48/$G$67</f>
        <v>6.9486047372102261E-2</v>
      </c>
      <c r="I48" s="25">
        <f t="shared" si="1"/>
        <v>1045.5743110236222</v>
      </c>
    </row>
    <row r="49" spans="1:9">
      <c r="A49" s="445" t="s">
        <v>218</v>
      </c>
      <c r="B49" s="27">
        <f>VLOOKUP(A49,[1]進出口值表查詢結果!$A$3:$C$46,3,0)</f>
        <v>841</v>
      </c>
      <c r="C49" s="28">
        <f>VLOOKUP(A49,[1]進出口值表查詢結果!$A$3:$C$46,2,0)</f>
        <v>1235276</v>
      </c>
      <c r="D49" s="23">
        <f t="shared" si="0"/>
        <v>1468.8180737217599</v>
      </c>
      <c r="E49" s="28">
        <f>VLOOKUP(A49,[2]進出口值表查詢結果!$A$10:$C$66,3,0)</f>
        <v>2215</v>
      </c>
      <c r="F49" s="29">
        <f t="shared" si="5"/>
        <v>1.8105724351586191E-2</v>
      </c>
      <c r="G49" s="27">
        <f>VLOOKUP(A49,[2]進出口值表查詢結果!$A$10:$C$66,2,0)</f>
        <v>2118765</v>
      </c>
      <c r="H49" s="29">
        <f t="shared" si="6"/>
        <v>1.7323745657473622E-2</v>
      </c>
      <c r="I49" s="25">
        <f t="shared" si="1"/>
        <v>956.55304740406325</v>
      </c>
    </row>
    <row r="50" spans="1:9">
      <c r="A50" s="286" t="s">
        <v>219</v>
      </c>
      <c r="B50" s="27">
        <f>VLOOKUP(A50,[1]進出口值表查詢結果!$A$3:$C$46,3,0)</f>
        <v>145</v>
      </c>
      <c r="C50" s="28">
        <f>VLOOKUP(A50,[1]進出口值表查詢結果!$A$3:$C$46,2,0)</f>
        <v>157461</v>
      </c>
      <c r="D50" s="23">
        <f t="shared" si="0"/>
        <v>1085.9379310344827</v>
      </c>
      <c r="E50" s="28">
        <f>VLOOKUP(A50,[2]進出口值表查詢結果!$A$10:$C$66,3,0)</f>
        <v>460</v>
      </c>
      <c r="F50" s="29">
        <f t="shared" si="5"/>
        <v>3.7601052829479226E-3</v>
      </c>
      <c r="G50" s="27">
        <f>VLOOKUP(A50,[2]進出口值表查詢結果!$A$10:$C$66,2,0)</f>
        <v>329732</v>
      </c>
      <c r="H50" s="29">
        <f t="shared" si="6"/>
        <v>2.6960013513202701E-3</v>
      </c>
      <c r="I50" s="25">
        <f t="shared" si="1"/>
        <v>716.80869565217392</v>
      </c>
    </row>
    <row r="51" spans="1:9">
      <c r="A51" s="445" t="s">
        <v>220</v>
      </c>
      <c r="B51" s="27">
        <f>VLOOKUP(A51,[1]進出口值表查詢結果!$A$3:$C$46,3,0)</f>
        <v>82</v>
      </c>
      <c r="C51" s="28">
        <f>VLOOKUP(A51,[1]進出口值表查詢結果!$A$3:$C$46,2,0)</f>
        <v>188709</v>
      </c>
      <c r="D51" s="23">
        <f t="shared" si="0"/>
        <v>2301.3292682926831</v>
      </c>
      <c r="E51" s="28">
        <f>VLOOKUP(A51,[2]進出口值表查詢結果!$A$10:$C$66,3,0)</f>
        <v>206</v>
      </c>
      <c r="F51" s="29">
        <f t="shared" si="5"/>
        <v>1.6838732354071131E-3</v>
      </c>
      <c r="G51" s="27">
        <f>VLOOKUP(A51,[2]進出口值表查詢結果!$A$10:$C$66,2,0)</f>
        <v>403394</v>
      </c>
      <c r="H51" s="29">
        <f t="shared" si="6"/>
        <v>3.2982870000924664E-3</v>
      </c>
      <c r="I51" s="25">
        <f t="shared" si="1"/>
        <v>1958.2233009708739</v>
      </c>
    </row>
    <row r="52" spans="1:9">
      <c r="A52" s="446" t="s">
        <v>22</v>
      </c>
      <c r="B52" s="27">
        <f>VLOOKUP(A52,[1]進出口值表查詢結果!$A$3:$C$46,3,0)</f>
        <v>243</v>
      </c>
      <c r="C52" s="28">
        <f>VLOOKUP(A52,[1]進出口值表查詢結果!$A$3:$C$46,2,0)</f>
        <v>97528</v>
      </c>
      <c r="D52" s="23">
        <f t="shared" si="0"/>
        <v>401.3497942386831</v>
      </c>
      <c r="E52" s="28">
        <f>VLOOKUP(A52,[2]進出口值表查詢結果!$A$10:$C$66,3,0)</f>
        <v>283</v>
      </c>
      <c r="F52" s="29">
        <f t="shared" si="5"/>
        <v>2.3132821632049177E-3</v>
      </c>
      <c r="G52" s="27">
        <f>VLOOKUP(A52,[2]進出口值表查詢結果!$A$10:$C$66,2,0)</f>
        <v>105768</v>
      </c>
      <c r="H52" s="29">
        <f t="shared" si="6"/>
        <v>8.6479526077675914E-4</v>
      </c>
      <c r="I52" s="25">
        <f t="shared" si="1"/>
        <v>373.73851590106005</v>
      </c>
    </row>
    <row r="53" spans="1:9">
      <c r="A53" s="445" t="s">
        <v>221</v>
      </c>
      <c r="B53" s="27">
        <f>VLOOKUP(A53,[1]進出口值表查詢結果!$A$3:$C$46,3,0)</f>
        <v>98</v>
      </c>
      <c r="C53" s="28">
        <f>VLOOKUP(A53,[1]進出口值表查詢結果!$A$3:$C$46,2,0)</f>
        <v>169424</v>
      </c>
      <c r="D53" s="23">
        <f t="shared" si="0"/>
        <v>1728.8163265306123</v>
      </c>
      <c r="E53" s="28">
        <f>VLOOKUP(A53,[2]進出口值表查詢結果!$A$10:$C$66,3,0)</f>
        <v>207</v>
      </c>
      <c r="F53" s="29">
        <f t="shared" si="5"/>
        <v>1.6920473773265651E-3</v>
      </c>
      <c r="G53" s="27">
        <f>VLOOKUP(A53,[2]進出口值表查詢結果!$A$10:$C$66,2,0)</f>
        <v>316490</v>
      </c>
      <c r="H53" s="29">
        <f t="shared" si="6"/>
        <v>2.5877302405570351E-3</v>
      </c>
      <c r="I53" s="25">
        <f t="shared" si="1"/>
        <v>1528.9371980676328</v>
      </c>
    </row>
    <row r="54" spans="1:9">
      <c r="A54" s="446" t="s">
        <v>222</v>
      </c>
      <c r="B54" s="27">
        <f>VLOOKUP(A54,[1]進出口值表查詢結果!$A$3:$C$46,3,0)</f>
        <v>3451</v>
      </c>
      <c r="C54" s="28">
        <f>VLOOKUP(A54,[1]進出口值表查詢結果!$A$3:$C$46,2,0)</f>
        <v>3044554</v>
      </c>
      <c r="D54" s="23">
        <f t="shared" si="0"/>
        <v>882.2237032744132</v>
      </c>
      <c r="E54" s="28">
        <f>VLOOKUP(A54,[2]進出口值表查詢結果!$A$10:$C$66,3,0)</f>
        <v>6140</v>
      </c>
      <c r="F54" s="29">
        <f t="shared" si="5"/>
        <v>5.0189231385435316E-2</v>
      </c>
      <c r="G54" s="27">
        <f>VLOOKUP(A54,[2]進出口值表查詢結果!$A$10:$C$66,2,0)</f>
        <v>5490371</v>
      </c>
      <c r="H54" s="29">
        <f t="shared" si="6"/>
        <v>4.4891146856385254E-2</v>
      </c>
      <c r="I54" s="25">
        <f t="shared" si="1"/>
        <v>894.19723127035832</v>
      </c>
    </row>
    <row r="55" spans="1:9">
      <c r="A55" s="446" t="s">
        <v>23</v>
      </c>
      <c r="B55" s="27">
        <f>VLOOKUP(A55,[1]進出口值表查詢結果!$A$3:$C$46,3,0)</f>
        <v>238</v>
      </c>
      <c r="C55" s="28">
        <f>VLOOKUP(A55,[1]進出口值表查詢結果!$A$3:$C$46,2,0)</f>
        <v>133689</v>
      </c>
      <c r="D55" s="23">
        <f t="shared" si="0"/>
        <v>561.71848739495795</v>
      </c>
      <c r="E55" s="28">
        <f>VLOOKUP(A55,[2]進出口值表查詢結果!$A$10:$C$66,3,0)</f>
        <v>460</v>
      </c>
      <c r="F55" s="29">
        <f t="shared" si="5"/>
        <v>3.7601052829479226E-3</v>
      </c>
      <c r="G55" s="27">
        <f>VLOOKUP(A55,[2]進出口值表查詢結果!$A$10:$C$66,2,0)</f>
        <v>345790</v>
      </c>
      <c r="H55" s="29">
        <f t="shared" si="6"/>
        <v>2.8272970390287758E-3</v>
      </c>
      <c r="I55" s="25">
        <f t="shared" si="1"/>
        <v>751.71739130434787</v>
      </c>
    </row>
    <row r="56" spans="1:9">
      <c r="A56" s="446" t="s">
        <v>223</v>
      </c>
      <c r="B56" s="27">
        <f>VLOOKUP(A56,[1]進出口值表查詢結果!$A$3:$C$46,3,0)</f>
        <v>6751</v>
      </c>
      <c r="C56" s="28">
        <f>VLOOKUP(A56,[1]進出口值表查詢結果!$A$3:$C$46,2,0)</f>
        <v>9875189</v>
      </c>
      <c r="D56" s="23">
        <f t="shared" si="0"/>
        <v>1462.7742556658272</v>
      </c>
      <c r="E56" s="28">
        <f>VLOOKUP(A56,[2]進出口值表查詢結果!$A$10:$C$66,3,0)</f>
        <v>8911</v>
      </c>
      <c r="F56" s="29">
        <f t="shared" si="5"/>
        <v>7.2839778644236824E-2</v>
      </c>
      <c r="G56" s="27">
        <f>VLOOKUP(A56,[2]進出口值表查詢結果!$A$10:$C$66,2,0)</f>
        <v>13597566</v>
      </c>
      <c r="H56" s="29">
        <f t="shared" si="6"/>
        <v>0.11117833971427268</v>
      </c>
      <c r="I56" s="25">
        <f t="shared" si="1"/>
        <v>1525.9304230726068</v>
      </c>
    </row>
    <row r="57" spans="1:9">
      <c r="A57" s="448" t="s">
        <v>224</v>
      </c>
      <c r="B57" s="27">
        <f>VLOOKUP(A57,[1]進出口值表查詢結果!$A$3:$C$46,3,0)</f>
        <v>663</v>
      </c>
      <c r="C57" s="28">
        <f>VLOOKUP(A57,[1]進出口值表查詢結果!$A$3:$C$46,2,0)</f>
        <v>1455140</v>
      </c>
      <c r="D57" s="23">
        <f t="shared" si="0"/>
        <v>2194.7812971342382</v>
      </c>
      <c r="E57" s="28">
        <f>VLOOKUP(A57,[2]進出口值表查詢結果!$A$10:$C$66,3,0)</f>
        <v>1776</v>
      </c>
      <c r="F57" s="29">
        <f t="shared" si="5"/>
        <v>1.4517276048946762E-2</v>
      </c>
      <c r="G57" s="27">
        <f>VLOOKUP(A57,[2]進出口值表查詢結果!$A$10:$C$66,2,0)</f>
        <v>3411481</v>
      </c>
      <c r="H57" s="29">
        <f t="shared" si="6"/>
        <v>2.7893432806046808E-2</v>
      </c>
      <c r="I57" s="25">
        <f t="shared" si="1"/>
        <v>1920.8789414414414</v>
      </c>
    </row>
    <row r="58" spans="1:9">
      <c r="A58" s="446" t="s">
        <v>24</v>
      </c>
      <c r="B58" s="27">
        <f>VLOOKUP(A58,[1]進出口值表查詢結果!$A$3:$C$46,3,0)</f>
        <v>580</v>
      </c>
      <c r="C58" s="28">
        <f>VLOOKUP(A58,[1]進出口值表查詢結果!$A$3:$C$46,2,0)</f>
        <v>201374</v>
      </c>
      <c r="D58" s="23">
        <f t="shared" si="0"/>
        <v>347.19655172413792</v>
      </c>
      <c r="E58" s="28">
        <f>VLOOKUP(A58,[2]進出口值表查詢結果!$A$10:$C$66,3,0)</f>
        <v>580</v>
      </c>
      <c r="F58" s="29">
        <f t="shared" si="5"/>
        <v>4.7410023132821635E-3</v>
      </c>
      <c r="G58" s="27">
        <f>VLOOKUP(A58,[2]進出口值表查詢結果!$A$10:$C$66,2,0)</f>
        <v>201374</v>
      </c>
      <c r="H58" s="29">
        <f t="shared" si="6"/>
        <v>1.6465025418241725E-3</v>
      </c>
      <c r="I58" s="25">
        <f t="shared" si="1"/>
        <v>347.19655172413792</v>
      </c>
    </row>
    <row r="59" spans="1:9">
      <c r="A59" s="44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46" t="s">
        <v>26</v>
      </c>
      <c r="B60" s="27">
        <f>VLOOKUP(A60,[1]進出口值表查詢結果!$A$3:$C$46,3,0)</f>
        <v>480</v>
      </c>
      <c r="C60" s="28">
        <f>VLOOKUP(A60,[1]進出口值表查詢結果!$A$3:$C$46,2,0)</f>
        <v>699695</v>
      </c>
      <c r="D60" s="23">
        <f t="shared" si="0"/>
        <v>1457.6979166666667</v>
      </c>
      <c r="E60" s="28">
        <f>VLOOKUP(A60,[2]進出口值表查詢結果!$A$10:$C$66,3,0)</f>
        <v>611</v>
      </c>
      <c r="F60" s="29">
        <f t="shared" si="5"/>
        <v>4.994400712785175E-3</v>
      </c>
      <c r="G60" s="27">
        <f>VLOOKUP(A60,[2]進出口值表查詢結果!$A$10:$C$66,2,0)</f>
        <v>879445</v>
      </c>
      <c r="H60" s="29">
        <f t="shared" si="6"/>
        <v>7.1906424260061354E-3</v>
      </c>
      <c r="I60" s="25">
        <f t="shared" si="1"/>
        <v>1439.353518821604</v>
      </c>
    </row>
    <row r="61" spans="1:9">
      <c r="A61" s="447" t="s">
        <v>225</v>
      </c>
      <c r="B61" s="27">
        <f>VLOOKUP(A61,[1]進出口值表查詢結果!$A$3:$C$46,3,0)</f>
        <v>341</v>
      </c>
      <c r="C61" s="28">
        <f>VLOOKUP(A61,[1]進出口值表查詢結果!$A$3:$C$46,2,0)</f>
        <v>861552</v>
      </c>
      <c r="D61" s="23">
        <f t="shared" si="0"/>
        <v>2526.5454545454545</v>
      </c>
      <c r="E61" s="28">
        <f>VLOOKUP(A61,[2]進出口值表查詢結果!$A$10:$C$66,3,0)</f>
        <v>513</v>
      </c>
      <c r="F61" s="29">
        <f t="shared" si="5"/>
        <v>4.193334804678879E-3</v>
      </c>
      <c r="G61" s="27">
        <f>VLOOKUP(A61,[2]進出口值表查詢結果!$A$10:$C$66,2,0)</f>
        <v>1099101</v>
      </c>
      <c r="H61" s="29">
        <f t="shared" si="6"/>
        <v>8.9866248384671797E-3</v>
      </c>
      <c r="I61" s="25">
        <f t="shared" si="1"/>
        <v>2142.4970760233919</v>
      </c>
    </row>
    <row r="62" spans="1:9">
      <c r="A62" s="446" t="s">
        <v>27</v>
      </c>
      <c r="B62" s="27">
        <f>VLOOKUP(A62,[1]進出口值表查詢結果!$A$3:$C$46,3,0)</f>
        <v>442</v>
      </c>
      <c r="C62" s="28">
        <f>VLOOKUP(A62,[1]進出口值表查詢結果!$A$3:$C$46,2,0)</f>
        <v>878121</v>
      </c>
      <c r="D62" s="23">
        <f t="shared" si="0"/>
        <v>1986.6990950226245</v>
      </c>
      <c r="E62" s="28">
        <f>VLOOKUP(A62,[2]進出口值表查詢結果!$A$10:$C$66,3,0)</f>
        <v>545</v>
      </c>
      <c r="F62" s="29">
        <f t="shared" si="5"/>
        <v>4.454907346101343E-3</v>
      </c>
      <c r="G62" s="27">
        <f>VLOOKUP(A62,[2]進出口值表查詢結果!$A$10:$C$66,2,0)</f>
        <v>1028592</v>
      </c>
      <c r="H62" s="29">
        <f t="shared" si="6"/>
        <v>8.410119193639742E-3</v>
      </c>
      <c r="I62" s="25">
        <f t="shared" si="1"/>
        <v>1887.3247706422019</v>
      </c>
    </row>
    <row r="63" spans="1:9">
      <c r="A63" s="289" t="s">
        <v>226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9">
        <f t="shared" si="5"/>
        <v>0</v>
      </c>
      <c r="G63" s="27">
        <v>0</v>
      </c>
      <c r="H63" s="29">
        <f t="shared" si="6"/>
        <v>0</v>
      </c>
      <c r="I63" s="25">
        <f t="shared" si="1"/>
        <v>0</v>
      </c>
    </row>
    <row r="64" spans="1:9">
      <c r="A64" s="446" t="s">
        <v>28</v>
      </c>
      <c r="B64" s="27">
        <f>VLOOKUP(A64,[1]進出口值表查詢結果!$A$3:$C$46,3,0)</f>
        <v>21</v>
      </c>
      <c r="C64" s="28">
        <f>VLOOKUP(A64,[1]進出口值表查詢結果!$A$3:$C$46,2,0)</f>
        <v>41654</v>
      </c>
      <c r="D64" s="23">
        <f t="shared" si="0"/>
        <v>1983.5238095238096</v>
      </c>
      <c r="E64" s="28">
        <f>VLOOKUP(A64,[2]進出口值表查詢結果!$A$10:$C$66,3,0)</f>
        <v>22</v>
      </c>
      <c r="F64" s="29">
        <f t="shared" si="5"/>
        <v>1.7983112222794411E-4</v>
      </c>
      <c r="G64" s="27">
        <f>VLOOKUP(A64,[2]進出口值表查詢結果!$A$10:$C$66,2,0)</f>
        <v>57343</v>
      </c>
      <c r="H64" s="29">
        <f t="shared" si="6"/>
        <v>4.6885593599880587E-4</v>
      </c>
      <c r="I64" s="25">
        <f t="shared" si="1"/>
        <v>2606.5</v>
      </c>
    </row>
    <row r="65" spans="1:256">
      <c r="A65" s="289" t="s">
        <v>227</v>
      </c>
      <c r="B65" s="27">
        <f>VLOOKUP(A65,[1]進出口值表查詢結果!$A$3:$C$46,3,0)</f>
        <v>25</v>
      </c>
      <c r="C65" s="28">
        <f>VLOOKUP(A65,[1]進出口值表查詢結果!$A$3:$C$46,2,0)</f>
        <v>47421</v>
      </c>
      <c r="D65" s="23">
        <f t="shared" si="0"/>
        <v>1896.84</v>
      </c>
      <c r="E65" s="28">
        <f>VLOOKUP(A65,[2]進出口值表查詢結果!$A$10:$C$66,3,0)</f>
        <v>82</v>
      </c>
      <c r="F65" s="29">
        <f t="shared" si="5"/>
        <v>6.7027963739506443E-4</v>
      </c>
      <c r="G65" s="27">
        <f>VLOOKUP(A65,[2]進出口值表查詢結果!$A$10:$C$66,2,0)</f>
        <v>119328</v>
      </c>
      <c r="H65" s="29">
        <f t="shared" si="6"/>
        <v>9.7566644805583075E-4</v>
      </c>
      <c r="I65" s="25">
        <f t="shared" si="1"/>
        <v>1455.219512195122</v>
      </c>
    </row>
    <row r="66" spans="1:256">
      <c r="A66" s="30" t="s">
        <v>29</v>
      </c>
      <c r="B66" s="27">
        <f>B67-B7-B12-B41-B47</f>
        <v>689</v>
      </c>
      <c r="C66" s="27">
        <f>C67-C7-C12-C41-C47</f>
        <v>936684</v>
      </c>
      <c r="D66" s="23">
        <f t="shared" si="0"/>
        <v>1359.4833091436865</v>
      </c>
      <c r="E66" s="27">
        <f>E67-E7-E12-E41-E47</f>
        <v>2499</v>
      </c>
      <c r="F66" s="29">
        <f>E66/$E$67</f>
        <v>2.0427180656710561E-2</v>
      </c>
      <c r="G66" s="27">
        <f>G67-G7-G12-G41-G47</f>
        <v>3285420</v>
      </c>
      <c r="H66" s="29">
        <f t="shared" si="6"/>
        <v>2.6862715052389949E-2</v>
      </c>
      <c r="I66" s="25">
        <f t="shared" si="1"/>
        <v>1314.6938775510205</v>
      </c>
    </row>
    <row r="67" spans="1:256">
      <c r="A67" s="290" t="s">
        <v>400</v>
      </c>
      <c r="B67" s="27">
        <f>VLOOKUP(A67,[1]進出口值表查詢結果!$A$3:$C$46,3,0)</f>
        <v>69917</v>
      </c>
      <c r="C67" s="28">
        <f>VLOOKUP(A67,[1]進出口值表查詢結果!$A$3:$C$46,2,0)</f>
        <v>73872480</v>
      </c>
      <c r="D67" s="23">
        <f t="shared" ref="D67" si="9">C67/B67</f>
        <v>1056.5739376689503</v>
      </c>
      <c r="E67" s="28">
        <f>VLOOKUP(A67,[2]進出口值表查詢結果!$A$10:$C$66,3,0)</f>
        <v>122337</v>
      </c>
      <c r="F67" s="24">
        <f>E67/$E$67</f>
        <v>1</v>
      </c>
      <c r="G67" s="27">
        <f>VLOOKUP(A67,[2]進出口值表查詢結果!$A$10:$C$66,2,0)</f>
        <v>122304093</v>
      </c>
      <c r="H67" s="24">
        <f>G67/$G$67</f>
        <v>1</v>
      </c>
      <c r="I67" s="25">
        <f>G67/E67</f>
        <v>999.73101351185664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73" t="s">
        <v>149</v>
      </c>
      <c r="B69" s="574"/>
      <c r="C69" s="574"/>
      <c r="D69" s="574"/>
      <c r="E69" s="574"/>
      <c r="F69" s="574"/>
      <c r="G69" s="574"/>
      <c r="H69" s="574"/>
      <c r="I69" s="575"/>
    </row>
    <row r="70" spans="1:256">
      <c r="A70" s="543" t="s">
        <v>486</v>
      </c>
      <c r="B70" s="8" t="s">
        <v>487</v>
      </c>
      <c r="C70" s="8" t="s">
        <v>488</v>
      </c>
      <c r="D70" s="9" t="s">
        <v>0</v>
      </c>
      <c r="E70" s="10" t="s">
        <v>489</v>
      </c>
      <c r="F70" s="11" t="s">
        <v>1</v>
      </c>
      <c r="G70" s="72" t="s">
        <v>490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1635</v>
      </c>
      <c r="C72" s="27">
        <v>879950</v>
      </c>
      <c r="D72" s="510">
        <f>C72/B72</f>
        <v>538.19571865443424</v>
      </c>
      <c r="E72" s="27">
        <v>2906</v>
      </c>
      <c r="F72" s="511">
        <v>1</v>
      </c>
      <c r="G72" s="27">
        <v>1586393</v>
      </c>
      <c r="H72" s="53">
        <v>1</v>
      </c>
      <c r="I72" s="52">
        <f>G72/E72</f>
        <v>545.90261527873361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5" t="s">
        <v>463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8" customWidth="1"/>
    <col min="4" max="4" width="13.75" style="59" customWidth="1"/>
    <col min="5" max="5" width="13.5" style="519" customWidth="1"/>
    <col min="6" max="6" width="15.125" style="58" customWidth="1"/>
    <col min="7" max="7" width="12.25" style="59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500</v>
      </c>
      <c r="B1" s="1"/>
      <c r="C1" s="56"/>
      <c r="D1" s="57"/>
      <c r="E1" s="530"/>
      <c r="F1" s="56"/>
      <c r="G1" s="57"/>
    </row>
    <row r="2" spans="1:10" ht="9.75" customHeight="1"/>
    <row r="3" spans="1:10">
      <c r="A3" s="110" t="s">
        <v>150</v>
      </c>
      <c r="B3" s="62"/>
      <c r="C3" s="65"/>
      <c r="D3" s="64"/>
      <c r="E3" s="520"/>
      <c r="F3" s="65"/>
      <c r="G3" s="199"/>
      <c r="H3" s="200"/>
      <c r="I3" s="67"/>
      <c r="J3" s="68"/>
    </row>
    <row r="4" spans="1:10">
      <c r="A4" s="69" t="s">
        <v>494</v>
      </c>
      <c r="B4" s="8" t="s">
        <v>459</v>
      </c>
      <c r="C4" s="70" t="s">
        <v>460</v>
      </c>
      <c r="D4" s="71" t="s">
        <v>154</v>
      </c>
      <c r="E4" s="521" t="s">
        <v>464</v>
      </c>
      <c r="F4" s="70" t="s">
        <v>460</v>
      </c>
      <c r="G4" s="73" t="s">
        <v>155</v>
      </c>
      <c r="H4" s="8" t="s">
        <v>459</v>
      </c>
      <c r="I4" s="70" t="s">
        <v>460</v>
      </c>
      <c r="J4" s="201" t="s">
        <v>114</v>
      </c>
    </row>
    <row r="5" spans="1:10">
      <c r="A5" s="46"/>
      <c r="B5" s="76" t="s">
        <v>31</v>
      </c>
      <c r="C5" s="75" t="s">
        <v>31</v>
      </c>
      <c r="D5" s="202" t="s">
        <v>1</v>
      </c>
      <c r="E5" s="522" t="s">
        <v>32</v>
      </c>
      <c r="F5" s="75" t="s">
        <v>32</v>
      </c>
      <c r="G5" s="202" t="s">
        <v>1</v>
      </c>
      <c r="H5" s="77" t="s">
        <v>33</v>
      </c>
      <c r="I5" s="78" t="s">
        <v>115</v>
      </c>
      <c r="J5" s="202" t="s">
        <v>1</v>
      </c>
    </row>
    <row r="6" spans="1:10">
      <c r="A6" s="20" t="s">
        <v>4</v>
      </c>
      <c r="B6" s="203"/>
      <c r="C6" s="80"/>
      <c r="D6" s="204"/>
      <c r="E6" s="523"/>
      <c r="F6" s="80"/>
      <c r="G6" s="205"/>
      <c r="H6" s="206"/>
      <c r="I6" s="83"/>
      <c r="J6" s="205"/>
    </row>
    <row r="7" spans="1:10">
      <c r="A7" s="121" t="s">
        <v>5</v>
      </c>
      <c r="B7" s="207">
        <f>SUM(B8:B10)</f>
        <v>0</v>
      </c>
      <c r="C7" s="208">
        <f>SUM(C8:C10)</f>
        <v>0</v>
      </c>
      <c r="D7" s="506">
        <f>IF(C7,(B7-C7)/C7,0)</f>
        <v>0</v>
      </c>
      <c r="E7" s="524">
        <f>SUM(E8:E10)</f>
        <v>0</v>
      </c>
      <c r="F7" s="208">
        <f>SUM(F8:F10)</f>
        <v>0</v>
      </c>
      <c r="G7" s="506">
        <f>IF(F7,(E7-F7)/F7,0)</f>
        <v>0</v>
      </c>
      <c r="H7" s="86">
        <f>IF(B7,E7/B7,0)</f>
        <v>0</v>
      </c>
      <c r="I7" s="87">
        <f>IF(C7,F7/C7,0)</f>
        <v>0</v>
      </c>
      <c r="J7" s="503">
        <f>IF(I7,(H7-I7)/I7,0)</f>
        <v>0</v>
      </c>
    </row>
    <row r="8" spans="1:10">
      <c r="A8" s="76" t="s">
        <v>378</v>
      </c>
      <c r="B8" s="209">
        <f>折疊車!E8</f>
        <v>0</v>
      </c>
      <c r="C8" s="210">
        <v>0</v>
      </c>
      <c r="D8" s="506">
        <f t="shared" ref="D8:D68" si="0">IF(C8,(B8-C8)/C8,0)</f>
        <v>0</v>
      </c>
      <c r="E8" s="525">
        <f>折疊車!G8</f>
        <v>0</v>
      </c>
      <c r="F8" s="210">
        <v>0</v>
      </c>
      <c r="G8" s="506">
        <f t="shared" ref="G8:G68" si="1">IF(F8,(E8-F8)/F8,0)</f>
        <v>0</v>
      </c>
      <c r="H8" s="86">
        <f t="shared" ref="H8:H10" si="2">IF(B8,E8/B8,0)</f>
        <v>0</v>
      </c>
      <c r="I8" s="87">
        <f t="shared" ref="I8:I10" si="3">IF(C8,F8/C8,0)</f>
        <v>0</v>
      </c>
      <c r="J8" s="503">
        <f t="shared" ref="J8:J68" si="4">IF(I8,(H8-I8)/I8,0)</f>
        <v>0</v>
      </c>
    </row>
    <row r="9" spans="1:10">
      <c r="A9" s="30" t="s">
        <v>6</v>
      </c>
      <c r="B9" s="209">
        <f>折疊車!E9</f>
        <v>0</v>
      </c>
      <c r="C9" s="210">
        <f>_xlfn.IFNA(VLOOKUP(A9,[8]折同!$C$3:$H$632,5,0),-[4]整車!$B$22)</f>
        <v>0</v>
      </c>
      <c r="D9" s="506">
        <f t="shared" si="0"/>
        <v>0</v>
      </c>
      <c r="E9" s="525">
        <f>折疊車!G9</f>
        <v>0</v>
      </c>
      <c r="F9" s="210">
        <f>_xlfn.IFNA(VLOOKUP(A9,[8]折同!$C$3:$H$352,3,0),-[4]整車!$B$22)</f>
        <v>0</v>
      </c>
      <c r="G9" s="506">
        <f t="shared" si="1"/>
        <v>0</v>
      </c>
      <c r="H9" s="86">
        <f t="shared" si="2"/>
        <v>0</v>
      </c>
      <c r="I9" s="87">
        <f t="shared" si="3"/>
        <v>0</v>
      </c>
      <c r="J9" s="503">
        <f t="shared" si="4"/>
        <v>0</v>
      </c>
    </row>
    <row r="10" spans="1:10">
      <c r="A10" s="30" t="s">
        <v>7</v>
      </c>
      <c r="B10" s="209">
        <f>折疊車!E10</f>
        <v>0</v>
      </c>
      <c r="C10" s="210">
        <f>_xlfn.IFNA(VLOOKUP(A10,[8]折同!$C$3:$H$632,5,0),-[4]整車!$B$22)</f>
        <v>0</v>
      </c>
      <c r="D10" s="506">
        <f t="shared" si="0"/>
        <v>0</v>
      </c>
      <c r="E10" s="525">
        <f>折疊車!G10</f>
        <v>0</v>
      </c>
      <c r="F10" s="210">
        <f>_xlfn.IFNA(VLOOKUP(A10,[8]折同!$C$3:$H$352,3,0),-[4]整車!$B$22)</f>
        <v>0</v>
      </c>
      <c r="G10" s="506">
        <f t="shared" si="1"/>
        <v>0</v>
      </c>
      <c r="H10" s="86">
        <f t="shared" si="2"/>
        <v>0</v>
      </c>
      <c r="I10" s="87">
        <f t="shared" si="3"/>
        <v>0</v>
      </c>
      <c r="J10" s="503">
        <f t="shared" si="4"/>
        <v>0</v>
      </c>
    </row>
    <row r="11" spans="1:10">
      <c r="A11" s="30"/>
      <c r="B11" s="27"/>
      <c r="C11" s="89"/>
      <c r="D11" s="506"/>
      <c r="E11" s="526"/>
      <c r="F11" s="89"/>
      <c r="G11" s="506"/>
      <c r="H11" s="86"/>
      <c r="I11" s="87"/>
      <c r="J11" s="503"/>
    </row>
    <row r="12" spans="1:10">
      <c r="A12" s="32" t="s">
        <v>8</v>
      </c>
      <c r="B12" s="33">
        <f>SUM(B13:B39)</f>
        <v>97</v>
      </c>
      <c r="C12" s="90">
        <f>SUM(C13:C39)</f>
        <v>100</v>
      </c>
      <c r="D12" s="506">
        <f t="shared" si="0"/>
        <v>-0.03</v>
      </c>
      <c r="E12" s="527">
        <f>SUM(E13:E39)</f>
        <v>40433</v>
      </c>
      <c r="F12" s="90">
        <f>SUM(F13:F39)</f>
        <v>40230</v>
      </c>
      <c r="G12" s="506">
        <f t="shared" si="1"/>
        <v>5.0459855828983349E-3</v>
      </c>
      <c r="H12" s="86">
        <f t="shared" ref="H12:H67" si="5">IF(B12,E12/B12,0)</f>
        <v>416.83505154639175</v>
      </c>
      <c r="I12" s="87">
        <f t="shared" ref="I12:I67" si="6">IF(C12,F12/C12,0)</f>
        <v>402.3</v>
      </c>
      <c r="J12" s="503">
        <f t="shared" si="4"/>
        <v>3.6129882044225056E-2</v>
      </c>
    </row>
    <row r="13" spans="1:10">
      <c r="A13" s="445" t="s">
        <v>197</v>
      </c>
      <c r="B13" s="209">
        <f>折疊車!E13</f>
        <v>97</v>
      </c>
      <c r="C13" s="89">
        <v>100</v>
      </c>
      <c r="D13" s="506">
        <f t="shared" si="0"/>
        <v>-0.03</v>
      </c>
      <c r="E13" s="526">
        <f>折疊車!G13</f>
        <v>40433</v>
      </c>
      <c r="F13" s="210">
        <v>40230</v>
      </c>
      <c r="G13" s="506">
        <f t="shared" si="1"/>
        <v>5.0459855828983349E-3</v>
      </c>
      <c r="H13" s="86">
        <f t="shared" si="5"/>
        <v>416.83505154639175</v>
      </c>
      <c r="I13" s="87">
        <f t="shared" si="6"/>
        <v>402.3</v>
      </c>
      <c r="J13" s="503">
        <f t="shared" si="4"/>
        <v>3.6129882044225056E-2</v>
      </c>
    </row>
    <row r="14" spans="1:10">
      <c r="A14" s="445" t="s">
        <v>198</v>
      </c>
      <c r="B14" s="209">
        <f>折疊車!E14</f>
        <v>0</v>
      </c>
      <c r="C14" s="89">
        <f>_xlfn.IFNA(VLOOKUP(A14,[8]折同!$C$3:$H$326,5,0),-[4]整車!$B$22)</f>
        <v>0</v>
      </c>
      <c r="D14" s="506">
        <f t="shared" si="0"/>
        <v>0</v>
      </c>
      <c r="E14" s="526">
        <f>折疊車!G14</f>
        <v>0</v>
      </c>
      <c r="F14" s="210">
        <f>_xlfn.IFNA(VLOOKUP(A14,[8]折同!$C$3:$H$355,3,0),-[4]整車!$B$22)</f>
        <v>0</v>
      </c>
      <c r="G14" s="506">
        <f t="shared" si="1"/>
        <v>0</v>
      </c>
      <c r="H14" s="86">
        <f t="shared" si="5"/>
        <v>0</v>
      </c>
      <c r="I14" s="87">
        <f t="shared" si="6"/>
        <v>0</v>
      </c>
      <c r="J14" s="503">
        <f t="shared" si="4"/>
        <v>0</v>
      </c>
    </row>
    <row r="15" spans="1:10">
      <c r="A15" s="446" t="s">
        <v>9</v>
      </c>
      <c r="B15" s="209">
        <f>折疊車!E15</f>
        <v>0</v>
      </c>
      <c r="C15" s="89">
        <v>0</v>
      </c>
      <c r="D15" s="506">
        <f t="shared" si="0"/>
        <v>0</v>
      </c>
      <c r="E15" s="526">
        <f>折疊車!G15</f>
        <v>0</v>
      </c>
      <c r="F15" s="210">
        <v>0</v>
      </c>
      <c r="G15" s="506">
        <f t="shared" si="1"/>
        <v>0</v>
      </c>
      <c r="H15" s="86">
        <f t="shared" si="5"/>
        <v>0</v>
      </c>
      <c r="I15" s="87">
        <f t="shared" si="6"/>
        <v>0</v>
      </c>
      <c r="J15" s="503">
        <f t="shared" si="4"/>
        <v>0</v>
      </c>
    </row>
    <row r="16" spans="1:10">
      <c r="A16" s="445" t="s">
        <v>199</v>
      </c>
      <c r="B16" s="209">
        <f>折疊車!E16</f>
        <v>0</v>
      </c>
      <c r="C16" s="89">
        <f>_xlfn.IFNA(VLOOKUP(A16,[8]折同!$C$3:$H$326,5,0),-[4]整車!$B$22)</f>
        <v>0</v>
      </c>
      <c r="D16" s="506">
        <f t="shared" si="0"/>
        <v>0</v>
      </c>
      <c r="E16" s="526">
        <f>折疊車!G16</f>
        <v>0</v>
      </c>
      <c r="F16" s="210">
        <f>_xlfn.IFNA(VLOOKUP(A16,[8]折同!$C$3:$H$355,3,0),-[4]整車!$B$22)</f>
        <v>0</v>
      </c>
      <c r="G16" s="506">
        <f t="shared" si="1"/>
        <v>0</v>
      </c>
      <c r="H16" s="86">
        <f t="shared" si="5"/>
        <v>0</v>
      </c>
      <c r="I16" s="87">
        <f t="shared" si="6"/>
        <v>0</v>
      </c>
      <c r="J16" s="503">
        <f t="shared" si="4"/>
        <v>0</v>
      </c>
    </row>
    <row r="17" spans="1:10">
      <c r="A17" s="446" t="s">
        <v>10</v>
      </c>
      <c r="B17" s="209">
        <f>折疊車!E17</f>
        <v>0</v>
      </c>
      <c r="C17" s="89">
        <f>_xlfn.IFNA(VLOOKUP(A17,[8]折同!$C$3:$H$326,5,0),-[4]整車!$B$22)</f>
        <v>0</v>
      </c>
      <c r="D17" s="506">
        <f t="shared" si="0"/>
        <v>0</v>
      </c>
      <c r="E17" s="526">
        <f>折疊車!G17</f>
        <v>0</v>
      </c>
      <c r="F17" s="210">
        <f>_xlfn.IFNA(VLOOKUP(A17,[8]折同!$C$3:$H$355,3,0),-[4]整車!$B$22)</f>
        <v>0</v>
      </c>
      <c r="G17" s="506">
        <f t="shared" si="1"/>
        <v>0</v>
      </c>
      <c r="H17" s="86">
        <f t="shared" si="5"/>
        <v>0</v>
      </c>
      <c r="I17" s="87">
        <f t="shared" si="6"/>
        <v>0</v>
      </c>
      <c r="J17" s="503">
        <f t="shared" si="4"/>
        <v>0</v>
      </c>
    </row>
    <row r="18" spans="1:10">
      <c r="A18" s="446" t="s">
        <v>11</v>
      </c>
      <c r="B18" s="209">
        <f>折疊車!E18</f>
        <v>0</v>
      </c>
      <c r="C18" s="89">
        <f>_xlfn.IFNA(VLOOKUP(A18,[8]折同!$C$3:$H$326,5,0),-[4]整車!$B$22)</f>
        <v>0</v>
      </c>
      <c r="D18" s="506">
        <f t="shared" si="0"/>
        <v>0</v>
      </c>
      <c r="E18" s="526">
        <f>折疊車!G18</f>
        <v>0</v>
      </c>
      <c r="F18" s="210">
        <f>_xlfn.IFNA(VLOOKUP(A18,[8]折同!$C$3:$H$355,3,0),-[4]整車!$B$22)</f>
        <v>0</v>
      </c>
      <c r="G18" s="506">
        <f t="shared" si="1"/>
        <v>0</v>
      </c>
      <c r="H18" s="86">
        <f t="shared" si="5"/>
        <v>0</v>
      </c>
      <c r="I18" s="87">
        <f t="shared" si="6"/>
        <v>0</v>
      </c>
      <c r="J18" s="503">
        <f t="shared" si="4"/>
        <v>0</v>
      </c>
    </row>
    <row r="19" spans="1:10">
      <c r="A19" s="445" t="s">
        <v>200</v>
      </c>
      <c r="B19" s="209">
        <f>折疊車!E19</f>
        <v>0</v>
      </c>
      <c r="C19" s="89">
        <f>_xlfn.IFNA(VLOOKUP(A19,[8]折同!$C$3:$H$326,5,0),-[4]整車!$B$22)</f>
        <v>0</v>
      </c>
      <c r="D19" s="506">
        <f t="shared" si="0"/>
        <v>0</v>
      </c>
      <c r="E19" s="526">
        <f>折疊車!G19</f>
        <v>0</v>
      </c>
      <c r="F19" s="210">
        <f>_xlfn.IFNA(VLOOKUP(A19,[8]折同!$C$3:$H$355,3,0),-[4]整車!$B$22)</f>
        <v>0</v>
      </c>
      <c r="G19" s="506">
        <f t="shared" si="1"/>
        <v>0</v>
      </c>
      <c r="H19" s="86">
        <f t="shared" si="5"/>
        <v>0</v>
      </c>
      <c r="I19" s="87">
        <f t="shared" si="6"/>
        <v>0</v>
      </c>
      <c r="J19" s="503">
        <f t="shared" si="4"/>
        <v>0</v>
      </c>
    </row>
    <row r="20" spans="1:10">
      <c r="A20" s="446" t="s">
        <v>12</v>
      </c>
      <c r="B20" s="209">
        <f>折疊車!E20</f>
        <v>0</v>
      </c>
      <c r="C20" s="89">
        <f>_xlfn.IFNA(VLOOKUP(A20,[8]折同!$C$3:$H$326,5,0),-[4]整車!$B$22)</f>
        <v>0</v>
      </c>
      <c r="D20" s="506">
        <f t="shared" si="0"/>
        <v>0</v>
      </c>
      <c r="E20" s="526">
        <f>折疊車!G20</f>
        <v>0</v>
      </c>
      <c r="F20" s="210">
        <f>_xlfn.IFNA(VLOOKUP(A20,[8]折同!$C$3:$H$355,3,0),-[4]整車!$B$22)</f>
        <v>0</v>
      </c>
      <c r="G20" s="506">
        <f t="shared" si="1"/>
        <v>0</v>
      </c>
      <c r="H20" s="86">
        <f t="shared" si="5"/>
        <v>0</v>
      </c>
      <c r="I20" s="87">
        <f t="shared" si="6"/>
        <v>0</v>
      </c>
      <c r="J20" s="503">
        <f t="shared" si="4"/>
        <v>0</v>
      </c>
    </row>
    <row r="21" spans="1:10">
      <c r="A21" s="445" t="s">
        <v>202</v>
      </c>
      <c r="B21" s="209">
        <f>折疊車!E21</f>
        <v>0</v>
      </c>
      <c r="C21" s="89">
        <f>_xlfn.IFNA(VLOOKUP(A21,[8]折同!$C$3:$H$326,5,0),-[4]整車!$B$22)</f>
        <v>0</v>
      </c>
      <c r="D21" s="506">
        <f t="shared" si="0"/>
        <v>0</v>
      </c>
      <c r="E21" s="526">
        <f>折疊車!G21</f>
        <v>0</v>
      </c>
      <c r="F21" s="210">
        <f>_xlfn.IFNA(VLOOKUP(A21,[8]折同!$C$3:$H$355,3,0),-[4]整車!$B$22)</f>
        <v>0</v>
      </c>
      <c r="G21" s="506">
        <f t="shared" si="1"/>
        <v>0</v>
      </c>
      <c r="H21" s="86">
        <f t="shared" si="5"/>
        <v>0</v>
      </c>
      <c r="I21" s="87">
        <f t="shared" si="6"/>
        <v>0</v>
      </c>
      <c r="J21" s="503">
        <f t="shared" si="4"/>
        <v>0</v>
      </c>
    </row>
    <row r="22" spans="1:10">
      <c r="A22" s="446" t="s">
        <v>13</v>
      </c>
      <c r="B22" s="209">
        <f>折疊車!E22</f>
        <v>0</v>
      </c>
      <c r="C22" s="89">
        <f>_xlfn.IFNA(VLOOKUP(A22,[8]折同!$C$3:$H$326,5,0),-[4]整車!$B$22)</f>
        <v>0</v>
      </c>
      <c r="D22" s="506">
        <f t="shared" si="0"/>
        <v>0</v>
      </c>
      <c r="E22" s="526">
        <f>折疊車!G22</f>
        <v>0</v>
      </c>
      <c r="F22" s="210">
        <f>_xlfn.IFNA(VLOOKUP(A22,[8]折同!$C$3:$H$355,3,0),-[4]整車!$B$22)</f>
        <v>0</v>
      </c>
      <c r="G22" s="506">
        <f t="shared" si="1"/>
        <v>0</v>
      </c>
      <c r="H22" s="86">
        <f t="shared" si="5"/>
        <v>0</v>
      </c>
      <c r="I22" s="87">
        <f t="shared" si="6"/>
        <v>0</v>
      </c>
      <c r="J22" s="503">
        <f t="shared" si="4"/>
        <v>0</v>
      </c>
    </row>
    <row r="23" spans="1:10">
      <c r="A23" s="446" t="s">
        <v>14</v>
      </c>
      <c r="B23" s="209">
        <f>折疊車!E23</f>
        <v>0</v>
      </c>
      <c r="C23" s="89">
        <f>_xlfn.IFNA(VLOOKUP(A23,[8]折同!$C$3:$H$326,5,0),-[4]整車!$B$22)</f>
        <v>0</v>
      </c>
      <c r="D23" s="506">
        <f t="shared" si="0"/>
        <v>0</v>
      </c>
      <c r="E23" s="526">
        <f>折疊車!G23</f>
        <v>0</v>
      </c>
      <c r="F23" s="210">
        <f>_xlfn.IFNA(VLOOKUP(A23,[8]折同!$C$3:$H$355,3,0),-[4]整車!$B$22)</f>
        <v>0</v>
      </c>
      <c r="G23" s="506">
        <f t="shared" si="1"/>
        <v>0</v>
      </c>
      <c r="H23" s="86">
        <f t="shared" si="5"/>
        <v>0</v>
      </c>
      <c r="I23" s="87">
        <f t="shared" si="6"/>
        <v>0</v>
      </c>
      <c r="J23" s="503">
        <f t="shared" si="4"/>
        <v>0</v>
      </c>
    </row>
    <row r="24" spans="1:10">
      <c r="A24" s="446" t="s">
        <v>15</v>
      </c>
      <c r="B24" s="209">
        <f>折疊車!E24</f>
        <v>0</v>
      </c>
      <c r="C24" s="89"/>
      <c r="D24" s="506">
        <f t="shared" si="0"/>
        <v>0</v>
      </c>
      <c r="E24" s="526">
        <f>折疊車!G24</f>
        <v>0</v>
      </c>
      <c r="F24" s="210"/>
      <c r="G24" s="506">
        <f t="shared" si="1"/>
        <v>0</v>
      </c>
      <c r="H24" s="86">
        <f t="shared" si="5"/>
        <v>0</v>
      </c>
      <c r="I24" s="87">
        <f t="shared" si="6"/>
        <v>0</v>
      </c>
      <c r="J24" s="503">
        <f t="shared" si="4"/>
        <v>0</v>
      </c>
    </row>
    <row r="25" spans="1:10">
      <c r="A25" s="445" t="s">
        <v>203</v>
      </c>
      <c r="B25" s="209">
        <f>折疊車!E25</f>
        <v>0</v>
      </c>
      <c r="C25" s="89">
        <f>_xlfn.IFNA(VLOOKUP(A25,[8]折同!$C$3:$H$326,5,0),-[4]整車!$B$22)</f>
        <v>0</v>
      </c>
      <c r="D25" s="506">
        <f t="shared" si="0"/>
        <v>0</v>
      </c>
      <c r="E25" s="526">
        <f>折疊車!G25</f>
        <v>0</v>
      </c>
      <c r="F25" s="210">
        <f>_xlfn.IFNA(VLOOKUP(A25,[8]折同!$C$3:$H$355,3,0),-[4]整車!$B$22)</f>
        <v>0</v>
      </c>
      <c r="G25" s="506">
        <f t="shared" si="1"/>
        <v>0</v>
      </c>
      <c r="H25" s="86">
        <f t="shared" si="5"/>
        <v>0</v>
      </c>
      <c r="I25" s="87">
        <f t="shared" si="6"/>
        <v>0</v>
      </c>
      <c r="J25" s="503">
        <f t="shared" si="4"/>
        <v>0</v>
      </c>
    </row>
    <row r="26" spans="1:10">
      <c r="A26" s="445" t="s">
        <v>204</v>
      </c>
      <c r="B26" s="209">
        <f>折疊車!E26</f>
        <v>0</v>
      </c>
      <c r="C26" s="89">
        <f>_xlfn.IFNA(VLOOKUP(A26,[8]折同!$C$3:$H$326,5,0),-[4]整車!$B$22)</f>
        <v>0</v>
      </c>
      <c r="D26" s="506">
        <f t="shared" si="0"/>
        <v>0</v>
      </c>
      <c r="E26" s="526">
        <f>折疊車!G26</f>
        <v>0</v>
      </c>
      <c r="F26" s="210">
        <f>_xlfn.IFNA(VLOOKUP(A26,[8]折同!$C$3:$H$355,3,0),-[4]整車!$B$22)</f>
        <v>0</v>
      </c>
      <c r="G26" s="506">
        <f t="shared" si="1"/>
        <v>0</v>
      </c>
      <c r="H26" s="86">
        <f t="shared" si="5"/>
        <v>0</v>
      </c>
      <c r="I26" s="87">
        <f t="shared" si="6"/>
        <v>0</v>
      </c>
      <c r="J26" s="503">
        <f t="shared" si="4"/>
        <v>0</v>
      </c>
    </row>
    <row r="27" spans="1:10">
      <c r="A27" s="289" t="s">
        <v>205</v>
      </c>
      <c r="B27" s="209">
        <f>折疊車!E27</f>
        <v>0</v>
      </c>
      <c r="C27" s="89">
        <f>_xlfn.IFNA(VLOOKUP(A27,[8]折同!$C$3:$H$326,5,0),-[4]整車!$B$22)</f>
        <v>0</v>
      </c>
      <c r="D27" s="506">
        <f t="shared" si="0"/>
        <v>0</v>
      </c>
      <c r="E27" s="526">
        <f>折疊車!G27</f>
        <v>0</v>
      </c>
      <c r="F27" s="210">
        <f>_xlfn.IFNA(VLOOKUP(A27,[8]折同!$C$3:$H$355,3,0),-[4]整車!$B$22)</f>
        <v>0</v>
      </c>
      <c r="G27" s="506">
        <f t="shared" si="1"/>
        <v>0</v>
      </c>
      <c r="H27" s="86">
        <f t="shared" si="5"/>
        <v>0</v>
      </c>
      <c r="I27" s="87">
        <f t="shared" si="6"/>
        <v>0</v>
      </c>
      <c r="J27" s="503">
        <f t="shared" si="4"/>
        <v>0</v>
      </c>
    </row>
    <row r="28" spans="1:10">
      <c r="A28" s="289" t="s">
        <v>206</v>
      </c>
      <c r="B28" s="209">
        <f>折疊車!E28</f>
        <v>0</v>
      </c>
      <c r="C28" s="89">
        <f>_xlfn.IFNA(VLOOKUP(A28,[8]折同!$C$3:$H$326,5,0),-[4]整車!$B$22)</f>
        <v>0</v>
      </c>
      <c r="D28" s="506">
        <f t="shared" si="0"/>
        <v>0</v>
      </c>
      <c r="E28" s="526">
        <f>折疊車!G28</f>
        <v>0</v>
      </c>
      <c r="F28" s="210">
        <f>_xlfn.IFNA(VLOOKUP(A28,[8]折同!$C$3:$H$355,3,0),-[4]整車!$B$22)</f>
        <v>0</v>
      </c>
      <c r="G28" s="506">
        <f t="shared" si="1"/>
        <v>0</v>
      </c>
      <c r="H28" s="86">
        <f t="shared" si="5"/>
        <v>0</v>
      </c>
      <c r="I28" s="87">
        <f t="shared" si="6"/>
        <v>0</v>
      </c>
      <c r="J28" s="503">
        <f t="shared" si="4"/>
        <v>0</v>
      </c>
    </row>
    <row r="29" spans="1:10">
      <c r="A29" s="446" t="s">
        <v>207</v>
      </c>
      <c r="B29" s="209">
        <f>折疊車!E29</f>
        <v>0</v>
      </c>
      <c r="C29" s="89">
        <f>_xlfn.IFNA(VLOOKUP(A29,[8]折同!$C$3:$H$326,5,0),-[4]整車!$B$22)</f>
        <v>0</v>
      </c>
      <c r="D29" s="506">
        <f t="shared" si="0"/>
        <v>0</v>
      </c>
      <c r="E29" s="526">
        <f>折疊車!G29</f>
        <v>0</v>
      </c>
      <c r="F29" s="210">
        <f>_xlfn.IFNA(VLOOKUP(A29,[8]折同!$C$3:$H$355,3,0),-[4]整車!$B$22)</f>
        <v>0</v>
      </c>
      <c r="G29" s="506">
        <f t="shared" si="1"/>
        <v>0</v>
      </c>
      <c r="H29" s="86">
        <f t="shared" si="5"/>
        <v>0</v>
      </c>
      <c r="I29" s="87">
        <f t="shared" si="6"/>
        <v>0</v>
      </c>
      <c r="J29" s="503">
        <f t="shared" si="4"/>
        <v>0</v>
      </c>
    </row>
    <row r="30" spans="1:10">
      <c r="A30" s="446" t="s">
        <v>208</v>
      </c>
      <c r="B30" s="209">
        <f>折疊車!E30</f>
        <v>0</v>
      </c>
      <c r="C30" s="89">
        <f>_xlfn.IFNA(VLOOKUP(A30,[8]折同!$C$3:$H$326,5,0),-[4]整車!$B$22)</f>
        <v>0</v>
      </c>
      <c r="D30" s="506">
        <f t="shared" si="0"/>
        <v>0</v>
      </c>
      <c r="E30" s="526">
        <f>折疊車!G30</f>
        <v>0</v>
      </c>
      <c r="F30" s="210">
        <f>_xlfn.IFNA(VLOOKUP(A30,[8]折同!$C$3:$H$355,3,0),-[4]整車!$B$22)</f>
        <v>0</v>
      </c>
      <c r="G30" s="506">
        <f t="shared" si="1"/>
        <v>0</v>
      </c>
      <c r="H30" s="86">
        <f t="shared" si="5"/>
        <v>0</v>
      </c>
      <c r="I30" s="87">
        <f t="shared" si="6"/>
        <v>0</v>
      </c>
      <c r="J30" s="503">
        <f t="shared" si="4"/>
        <v>0</v>
      </c>
    </row>
    <row r="31" spans="1:10">
      <c r="A31" s="446" t="s">
        <v>16</v>
      </c>
      <c r="B31" s="209">
        <f>折疊車!E31</f>
        <v>0</v>
      </c>
      <c r="C31" s="89">
        <f>_xlfn.IFNA(VLOOKUP(A31,[8]折同!$C$3:$H$326,5,0),-[4]整車!$B$22)</f>
        <v>0</v>
      </c>
      <c r="D31" s="506">
        <f t="shared" si="0"/>
        <v>0</v>
      </c>
      <c r="E31" s="526">
        <f>折疊車!G31</f>
        <v>0</v>
      </c>
      <c r="F31" s="210">
        <f>_xlfn.IFNA(VLOOKUP(A31,[8]折同!$C$3:$H$355,3,0),-[4]整車!$B$22)</f>
        <v>0</v>
      </c>
      <c r="G31" s="506">
        <f t="shared" si="1"/>
        <v>0</v>
      </c>
      <c r="H31" s="86">
        <f t="shared" si="5"/>
        <v>0</v>
      </c>
      <c r="I31" s="87">
        <f t="shared" si="6"/>
        <v>0</v>
      </c>
      <c r="J31" s="503">
        <f t="shared" si="4"/>
        <v>0</v>
      </c>
    </row>
    <row r="32" spans="1:10">
      <c r="A32" s="446" t="s">
        <v>17</v>
      </c>
      <c r="B32" s="209">
        <f>折疊車!E32</f>
        <v>0</v>
      </c>
      <c r="C32" s="89">
        <f>_xlfn.IFNA(VLOOKUP(A32,[8]折同!$C$3:$H$326,5,0),-[4]整車!$B$22)</f>
        <v>0</v>
      </c>
      <c r="D32" s="506">
        <f t="shared" si="0"/>
        <v>0</v>
      </c>
      <c r="E32" s="526">
        <f>折疊車!G32</f>
        <v>0</v>
      </c>
      <c r="F32" s="210">
        <f>_xlfn.IFNA(VLOOKUP(A32,[8]折同!$C$3:$H$355,3,0),-[4]整車!$B$22)</f>
        <v>0</v>
      </c>
      <c r="G32" s="506">
        <f t="shared" si="1"/>
        <v>0</v>
      </c>
      <c r="H32" s="86">
        <f t="shared" si="5"/>
        <v>0</v>
      </c>
      <c r="I32" s="87">
        <f t="shared" si="6"/>
        <v>0</v>
      </c>
      <c r="J32" s="503">
        <f t="shared" si="4"/>
        <v>0</v>
      </c>
    </row>
    <row r="33" spans="1:10">
      <c r="A33" s="446" t="s">
        <v>209</v>
      </c>
      <c r="B33" s="209">
        <f>折疊車!E33</f>
        <v>0</v>
      </c>
      <c r="C33" s="89">
        <f>_xlfn.IFNA(VLOOKUP(A33,[8]折同!$C$3:$H$326,5,0),-[4]整車!$B$22)</f>
        <v>0</v>
      </c>
      <c r="D33" s="506">
        <f t="shared" si="0"/>
        <v>0</v>
      </c>
      <c r="E33" s="526">
        <f>折疊車!G33</f>
        <v>0</v>
      </c>
      <c r="F33" s="210">
        <f>_xlfn.IFNA(VLOOKUP(A33,[8]折同!$C$3:$H$355,3,0),-[4]整車!$B$22)</f>
        <v>0</v>
      </c>
      <c r="G33" s="506">
        <f t="shared" si="1"/>
        <v>0</v>
      </c>
      <c r="H33" s="86">
        <f t="shared" si="5"/>
        <v>0</v>
      </c>
      <c r="I33" s="87">
        <f t="shared" si="6"/>
        <v>0</v>
      </c>
      <c r="J33" s="503">
        <f t="shared" si="4"/>
        <v>0</v>
      </c>
    </row>
    <row r="34" spans="1:10">
      <c r="A34" s="446" t="s">
        <v>210</v>
      </c>
      <c r="B34" s="209">
        <f>折疊車!E34</f>
        <v>0</v>
      </c>
      <c r="C34" s="89">
        <f>_xlfn.IFNA(VLOOKUP(A34,[8]折同!$C$3:$H$326,5,0),-[4]整車!$B$22)</f>
        <v>0</v>
      </c>
      <c r="D34" s="506">
        <f t="shared" si="0"/>
        <v>0</v>
      </c>
      <c r="E34" s="526">
        <f>折疊車!G34</f>
        <v>0</v>
      </c>
      <c r="F34" s="210">
        <f>_xlfn.IFNA(VLOOKUP(A34,[8]折同!$C$3:$H$355,3,0),-[4]整車!$B$22)</f>
        <v>0</v>
      </c>
      <c r="G34" s="506">
        <f t="shared" si="1"/>
        <v>0</v>
      </c>
      <c r="H34" s="86">
        <f t="shared" si="5"/>
        <v>0</v>
      </c>
      <c r="I34" s="87">
        <f t="shared" si="6"/>
        <v>0</v>
      </c>
      <c r="J34" s="503">
        <f t="shared" si="4"/>
        <v>0</v>
      </c>
    </row>
    <row r="35" spans="1:10">
      <c r="A35" s="446" t="s">
        <v>211</v>
      </c>
      <c r="B35" s="209">
        <f>折疊車!E35</f>
        <v>0</v>
      </c>
      <c r="C35" s="89">
        <f>_xlfn.IFNA(VLOOKUP(A35,[8]折同!$C$3:$H$326,5,0),-[4]整車!$B$22)</f>
        <v>0</v>
      </c>
      <c r="D35" s="506">
        <f t="shared" si="0"/>
        <v>0</v>
      </c>
      <c r="E35" s="526">
        <f>折疊車!G35</f>
        <v>0</v>
      </c>
      <c r="F35" s="210">
        <f>_xlfn.IFNA(VLOOKUP(A35,[8]折同!$C$3:$H$355,3,0),-[4]整車!$B$22)</f>
        <v>0</v>
      </c>
      <c r="G35" s="506">
        <f t="shared" si="1"/>
        <v>0</v>
      </c>
      <c r="H35" s="86">
        <f t="shared" si="5"/>
        <v>0</v>
      </c>
      <c r="I35" s="87">
        <f t="shared" si="6"/>
        <v>0</v>
      </c>
      <c r="J35" s="503">
        <f t="shared" si="4"/>
        <v>0</v>
      </c>
    </row>
    <row r="36" spans="1:10">
      <c r="A36" s="446" t="s">
        <v>379</v>
      </c>
      <c r="B36" s="209">
        <f>折疊車!E36</f>
        <v>0</v>
      </c>
      <c r="C36" s="89">
        <f>_xlfn.IFNA(VLOOKUP(A36,[8]折同!$C$3:$H$326,5,0),-[4]整車!$B$22)</f>
        <v>0</v>
      </c>
      <c r="D36" s="506">
        <f t="shared" si="0"/>
        <v>0</v>
      </c>
      <c r="E36" s="526">
        <f>折疊車!G36</f>
        <v>0</v>
      </c>
      <c r="F36" s="210">
        <f>_xlfn.IFNA(VLOOKUP(A36,[8]折同!$C$3:$H$355,3,0),-[4]整車!$B$22)</f>
        <v>0</v>
      </c>
      <c r="G36" s="506">
        <f t="shared" si="1"/>
        <v>0</v>
      </c>
      <c r="H36" s="86">
        <f t="shared" si="5"/>
        <v>0</v>
      </c>
      <c r="I36" s="87">
        <f t="shared" si="6"/>
        <v>0</v>
      </c>
      <c r="J36" s="503">
        <f t="shared" si="4"/>
        <v>0</v>
      </c>
    </row>
    <row r="37" spans="1:10">
      <c r="A37" s="446" t="s">
        <v>213</v>
      </c>
      <c r="B37" s="209">
        <f>折疊車!E37</f>
        <v>0</v>
      </c>
      <c r="C37" s="89">
        <f>_xlfn.IFNA(VLOOKUP(A37,[8]折同!$C$3:$H$326,5,0),-[4]整車!$B$22)</f>
        <v>0</v>
      </c>
      <c r="D37" s="506">
        <f t="shared" si="0"/>
        <v>0</v>
      </c>
      <c r="E37" s="526">
        <f>折疊車!G37</f>
        <v>0</v>
      </c>
      <c r="F37" s="210">
        <f>_xlfn.IFNA(VLOOKUP(A37,[8]折同!$C$3:$H$355,3,0),-[4]整車!$B$22)</f>
        <v>0</v>
      </c>
      <c r="G37" s="506">
        <f t="shared" si="1"/>
        <v>0</v>
      </c>
      <c r="H37" s="86">
        <f t="shared" si="5"/>
        <v>0</v>
      </c>
      <c r="I37" s="87">
        <f t="shared" si="6"/>
        <v>0</v>
      </c>
      <c r="J37" s="503">
        <f t="shared" si="4"/>
        <v>0</v>
      </c>
    </row>
    <row r="38" spans="1:10">
      <c r="A38" s="446" t="s">
        <v>214</v>
      </c>
      <c r="B38" s="209">
        <f>折疊車!E38</f>
        <v>0</v>
      </c>
      <c r="C38" s="89">
        <f>_xlfn.IFNA(VLOOKUP(A38,[8]折同!$C$3:$H$326,5,0),-[4]整車!$B$22)</f>
        <v>0</v>
      </c>
      <c r="D38" s="506">
        <f t="shared" si="0"/>
        <v>0</v>
      </c>
      <c r="E38" s="526">
        <f>折疊車!G38</f>
        <v>0</v>
      </c>
      <c r="F38" s="210">
        <f>_xlfn.IFNA(VLOOKUP(A38,[8]折同!$C$3:$H$355,3,0),-[4]整車!$B$22)</f>
        <v>0</v>
      </c>
      <c r="G38" s="506">
        <f t="shared" si="1"/>
        <v>0</v>
      </c>
      <c r="H38" s="86">
        <f t="shared" si="5"/>
        <v>0</v>
      </c>
      <c r="I38" s="87">
        <f t="shared" si="6"/>
        <v>0</v>
      </c>
      <c r="J38" s="503">
        <f t="shared" si="4"/>
        <v>0</v>
      </c>
    </row>
    <row r="39" spans="1:10">
      <c r="A39" s="446" t="s">
        <v>18</v>
      </c>
      <c r="B39" s="209">
        <f>折疊車!E39</f>
        <v>0</v>
      </c>
      <c r="C39" s="89">
        <f>_xlfn.IFNA(VLOOKUP(A39,[8]折同!$C$3:$H$326,5,0),-[4]整車!$B$22)</f>
        <v>0</v>
      </c>
      <c r="D39" s="506">
        <f t="shared" si="0"/>
        <v>0</v>
      </c>
      <c r="E39" s="526">
        <f>折疊車!G39</f>
        <v>0</v>
      </c>
      <c r="F39" s="210">
        <f>_xlfn.IFNA(VLOOKUP(A39,[8]折同!$C$3:$H$355,3,0),-[4]整車!$B$22)</f>
        <v>0</v>
      </c>
      <c r="G39" s="506">
        <f t="shared" si="1"/>
        <v>0</v>
      </c>
      <c r="H39" s="86">
        <f t="shared" si="5"/>
        <v>0</v>
      </c>
      <c r="I39" s="87">
        <f t="shared" si="6"/>
        <v>0</v>
      </c>
      <c r="J39" s="503">
        <f t="shared" si="4"/>
        <v>0</v>
      </c>
    </row>
    <row r="40" spans="1:10">
      <c r="A40" s="30"/>
      <c r="B40" s="27"/>
      <c r="C40" s="89"/>
      <c r="D40" s="506"/>
      <c r="E40" s="526"/>
      <c r="F40" s="89"/>
      <c r="G40" s="506"/>
      <c r="H40" s="86"/>
      <c r="I40" s="87"/>
      <c r="J40" s="503"/>
    </row>
    <row r="41" spans="1:10" ht="16.149999999999999" customHeight="1">
      <c r="A41" s="36" t="s">
        <v>19</v>
      </c>
      <c r="B41" s="33">
        <f>SUM(B42:B45)</f>
        <v>0</v>
      </c>
      <c r="C41" s="90">
        <f>SUM(C42:C45)</f>
        <v>0</v>
      </c>
      <c r="D41" s="506">
        <f t="shared" si="0"/>
        <v>0</v>
      </c>
      <c r="E41" s="527">
        <f>SUM(E42:E45)</f>
        <v>0</v>
      </c>
      <c r="F41" s="90">
        <f>SUM(F42:F45)</f>
        <v>0</v>
      </c>
      <c r="G41" s="506">
        <f t="shared" si="1"/>
        <v>0</v>
      </c>
      <c r="H41" s="86">
        <f t="shared" si="5"/>
        <v>0</v>
      </c>
      <c r="I41" s="87">
        <f t="shared" si="6"/>
        <v>0</v>
      </c>
      <c r="J41" s="503">
        <f t="shared" si="4"/>
        <v>0</v>
      </c>
    </row>
    <row r="42" spans="1:10">
      <c r="A42" s="26" t="s">
        <v>215</v>
      </c>
      <c r="B42" s="27">
        <f>折疊車!E42</f>
        <v>0</v>
      </c>
      <c r="C42" s="89">
        <f>_xlfn.IFNA(VLOOKUP(A42,[8]折同!$C$3:$H$326,5,0),-[4]整車!$B$22)</f>
        <v>0</v>
      </c>
      <c r="D42" s="506">
        <f t="shared" si="0"/>
        <v>0</v>
      </c>
      <c r="E42" s="526">
        <f>折疊車!G42</f>
        <v>0</v>
      </c>
      <c r="F42" s="210">
        <f>_xlfn.IFNA(VLOOKUP(A42,[8]折同!$C$3:$H$325,3,0),-[4]整車!$B$22)</f>
        <v>0</v>
      </c>
      <c r="G42" s="506">
        <f t="shared" si="1"/>
        <v>0</v>
      </c>
      <c r="H42" s="86">
        <f t="shared" si="5"/>
        <v>0</v>
      </c>
      <c r="I42" s="87">
        <f t="shared" si="6"/>
        <v>0</v>
      </c>
      <c r="J42" s="503">
        <f t="shared" si="4"/>
        <v>0</v>
      </c>
    </row>
    <row r="43" spans="1:10">
      <c r="A43" s="26" t="s">
        <v>216</v>
      </c>
      <c r="B43" s="27">
        <f>折疊車!E43</f>
        <v>0</v>
      </c>
      <c r="C43" s="89">
        <f>_xlfn.IFNA(VLOOKUP(A43,[8]折同!$C$3:$H$326,5,0),-[4]整車!$B$22)</f>
        <v>0</v>
      </c>
      <c r="D43" s="506">
        <f t="shared" si="0"/>
        <v>0</v>
      </c>
      <c r="E43" s="526">
        <f>折疊車!G43</f>
        <v>0</v>
      </c>
      <c r="F43" s="210">
        <f>_xlfn.IFNA(VLOOKUP(A43,[8]折同!$C$3:$H$325,3,0),-[4]整車!$B$22)</f>
        <v>0</v>
      </c>
      <c r="G43" s="506">
        <f t="shared" si="1"/>
        <v>0</v>
      </c>
      <c r="H43" s="86">
        <f t="shared" si="5"/>
        <v>0</v>
      </c>
      <c r="I43" s="87">
        <f t="shared" si="6"/>
        <v>0</v>
      </c>
      <c r="J43" s="503">
        <f t="shared" si="4"/>
        <v>0</v>
      </c>
    </row>
    <row r="44" spans="1:10">
      <c r="A44" s="26" t="s">
        <v>217</v>
      </c>
      <c r="B44" s="27">
        <f>折疊車!E44</f>
        <v>0</v>
      </c>
      <c r="C44" s="89">
        <f>_xlfn.IFNA(VLOOKUP(A44,[8]折同!$C$3:$H$326,5,0),-[4]整車!$B$22)</f>
        <v>0</v>
      </c>
      <c r="D44" s="506">
        <f t="shared" si="0"/>
        <v>0</v>
      </c>
      <c r="E44" s="526">
        <f>折疊車!G44</f>
        <v>0</v>
      </c>
      <c r="F44" s="210">
        <f>_xlfn.IFNA(VLOOKUP(A44,[8]折同!$C$3:$H$325,3,0),-[4]整車!$B$22)</f>
        <v>0</v>
      </c>
      <c r="G44" s="506">
        <f t="shared" si="1"/>
        <v>0</v>
      </c>
      <c r="H44" s="86">
        <f t="shared" si="5"/>
        <v>0</v>
      </c>
      <c r="I44" s="87">
        <f t="shared" si="6"/>
        <v>0</v>
      </c>
      <c r="J44" s="503">
        <f t="shared" si="4"/>
        <v>0</v>
      </c>
    </row>
    <row r="45" spans="1:10">
      <c r="A45" s="30" t="s">
        <v>20</v>
      </c>
      <c r="B45" s="27">
        <f>折疊車!E45</f>
        <v>0</v>
      </c>
      <c r="C45" s="89">
        <f>_xlfn.IFNA(VLOOKUP(A45,[8]折同!$C$3:$H$326,5,0),-[4]整車!$B$22)</f>
        <v>0</v>
      </c>
      <c r="D45" s="506">
        <f t="shared" si="0"/>
        <v>0</v>
      </c>
      <c r="E45" s="526">
        <f>折疊車!G45</f>
        <v>0</v>
      </c>
      <c r="F45" s="210">
        <f>_xlfn.IFNA(VLOOKUP(A45,[8]折同!$C$3:$H$325,3,0),-[4]整車!$B$22)</f>
        <v>0</v>
      </c>
      <c r="G45" s="506">
        <f t="shared" si="1"/>
        <v>0</v>
      </c>
      <c r="H45" s="86">
        <f t="shared" si="5"/>
        <v>0</v>
      </c>
      <c r="I45" s="87">
        <f t="shared" si="6"/>
        <v>0</v>
      </c>
      <c r="J45" s="503">
        <f t="shared" si="4"/>
        <v>0</v>
      </c>
    </row>
    <row r="46" spans="1:10">
      <c r="A46" s="30"/>
      <c r="B46" s="27"/>
      <c r="C46" s="89"/>
      <c r="D46" s="506"/>
      <c r="E46" s="526"/>
      <c r="F46" s="89"/>
      <c r="G46" s="506"/>
      <c r="H46" s="86"/>
      <c r="I46" s="87"/>
      <c r="J46" s="503"/>
    </row>
    <row r="47" spans="1:10">
      <c r="A47" s="36" t="s">
        <v>21</v>
      </c>
      <c r="B47" s="33">
        <f>SUM(B48:B66)</f>
        <v>400</v>
      </c>
      <c r="C47" s="90">
        <f>SUM(C48:C66)</f>
        <v>13</v>
      </c>
      <c r="D47" s="506">
        <f t="shared" si="0"/>
        <v>29.76923076923077</v>
      </c>
      <c r="E47" s="527">
        <f>SUM(E48:E66)</f>
        <v>154715</v>
      </c>
      <c r="F47" s="90">
        <f>SUM(F48:F66)</f>
        <v>17464</v>
      </c>
      <c r="G47" s="506">
        <f t="shared" si="1"/>
        <v>7.8590815391662847</v>
      </c>
      <c r="H47" s="86">
        <f t="shared" si="5"/>
        <v>386.78750000000002</v>
      </c>
      <c r="I47" s="87">
        <f t="shared" si="6"/>
        <v>1343.3846153846155</v>
      </c>
      <c r="J47" s="503">
        <f t="shared" si="4"/>
        <v>-0.71207984997709572</v>
      </c>
    </row>
    <row r="48" spans="1:10">
      <c r="A48" s="477" t="s">
        <v>158</v>
      </c>
      <c r="B48" s="27">
        <f>折疊車!E48</f>
        <v>0</v>
      </c>
      <c r="C48" s="89">
        <v>0</v>
      </c>
      <c r="D48" s="506">
        <f t="shared" si="0"/>
        <v>0</v>
      </c>
      <c r="E48" s="526">
        <f>折疊車!G48</f>
        <v>0</v>
      </c>
      <c r="F48" s="210">
        <v>0</v>
      </c>
      <c r="G48" s="506">
        <f t="shared" si="1"/>
        <v>0</v>
      </c>
      <c r="H48" s="86">
        <f t="shared" si="5"/>
        <v>0</v>
      </c>
      <c r="I48" s="87">
        <f t="shared" si="6"/>
        <v>0</v>
      </c>
      <c r="J48" s="503">
        <f t="shared" si="4"/>
        <v>0</v>
      </c>
    </row>
    <row r="49" spans="1:10">
      <c r="A49" s="445" t="s">
        <v>218</v>
      </c>
      <c r="B49" s="27">
        <f>折疊車!E49</f>
        <v>0</v>
      </c>
      <c r="C49" s="89">
        <v>0</v>
      </c>
      <c r="D49" s="506">
        <f t="shared" si="0"/>
        <v>0</v>
      </c>
      <c r="E49" s="526">
        <f>折疊車!G49</f>
        <v>0</v>
      </c>
      <c r="F49" s="210">
        <v>0</v>
      </c>
      <c r="G49" s="506">
        <f t="shared" si="1"/>
        <v>0</v>
      </c>
      <c r="H49" s="86">
        <f t="shared" si="5"/>
        <v>0</v>
      </c>
      <c r="I49" s="87">
        <f t="shared" si="6"/>
        <v>0</v>
      </c>
      <c r="J49" s="503">
        <f t="shared" si="4"/>
        <v>0</v>
      </c>
    </row>
    <row r="50" spans="1:10">
      <c r="A50" s="286" t="s">
        <v>219</v>
      </c>
      <c r="B50" s="27">
        <f>折疊車!E50</f>
        <v>0</v>
      </c>
      <c r="C50" s="89">
        <f>_xlfn.IFNA(VLOOKUP(A50,[8]折同!$C$3:$H$352,5,0),-[4]整車!$B$22)</f>
        <v>0</v>
      </c>
      <c r="D50" s="506">
        <f t="shared" si="0"/>
        <v>0</v>
      </c>
      <c r="E50" s="526">
        <f>折疊車!G50</f>
        <v>0</v>
      </c>
      <c r="F50" s="210">
        <f>_xlfn.IFNA(VLOOKUP(A50,[8]折同!$C$3:$H$532,3,0),-[4]整車!$B$22)</f>
        <v>0</v>
      </c>
      <c r="G50" s="506">
        <f t="shared" si="1"/>
        <v>0</v>
      </c>
      <c r="H50" s="86">
        <f t="shared" si="5"/>
        <v>0</v>
      </c>
      <c r="I50" s="87">
        <f t="shared" si="6"/>
        <v>0</v>
      </c>
      <c r="J50" s="503">
        <f t="shared" si="4"/>
        <v>0</v>
      </c>
    </row>
    <row r="51" spans="1:10">
      <c r="A51" s="445" t="s">
        <v>220</v>
      </c>
      <c r="B51" s="27">
        <f>折疊車!E51</f>
        <v>0</v>
      </c>
      <c r="C51" s="89">
        <f>_xlfn.IFNA(VLOOKUP(A51,[8]折同!$C$3:$H$352,5,0),-[4]整車!$B$22)</f>
        <v>0</v>
      </c>
      <c r="D51" s="506">
        <f t="shared" si="0"/>
        <v>0</v>
      </c>
      <c r="E51" s="526">
        <f>折疊車!G51</f>
        <v>0</v>
      </c>
      <c r="F51" s="210">
        <f>_xlfn.IFNA(VLOOKUP(A51,[8]折同!$C$3:$H$532,3,0),-[4]整車!$B$22)</f>
        <v>0</v>
      </c>
      <c r="G51" s="506">
        <f t="shared" si="1"/>
        <v>0</v>
      </c>
      <c r="H51" s="86">
        <f t="shared" si="5"/>
        <v>0</v>
      </c>
      <c r="I51" s="87">
        <f t="shared" si="6"/>
        <v>0</v>
      </c>
      <c r="J51" s="503">
        <f t="shared" si="4"/>
        <v>0</v>
      </c>
    </row>
    <row r="52" spans="1:10">
      <c r="A52" s="446" t="s">
        <v>22</v>
      </c>
      <c r="B52" s="27">
        <f>折疊車!E52</f>
        <v>0</v>
      </c>
      <c r="C52" s="89">
        <f>_xlfn.IFNA(VLOOKUP(A52,[8]折同!$C$3:$H$352,5,0),-[4]整車!$B$22)</f>
        <v>0</v>
      </c>
      <c r="D52" s="506">
        <f t="shared" si="0"/>
        <v>0</v>
      </c>
      <c r="E52" s="526">
        <f>折疊車!G52</f>
        <v>0</v>
      </c>
      <c r="F52" s="210">
        <f>_xlfn.IFNA(VLOOKUP(A52,[8]折同!$C$3:$H$532,3,0),-[4]整車!$B$22)</f>
        <v>0</v>
      </c>
      <c r="G52" s="506">
        <f t="shared" si="1"/>
        <v>0</v>
      </c>
      <c r="H52" s="86">
        <f t="shared" si="5"/>
        <v>0</v>
      </c>
      <c r="I52" s="87">
        <f t="shared" si="6"/>
        <v>0</v>
      </c>
      <c r="J52" s="503">
        <f t="shared" si="4"/>
        <v>0</v>
      </c>
    </row>
    <row r="53" spans="1:10">
      <c r="A53" s="445" t="s">
        <v>221</v>
      </c>
      <c r="B53" s="27">
        <f>折疊車!E53</f>
        <v>0</v>
      </c>
      <c r="C53" s="89">
        <f>_xlfn.IFNA(VLOOKUP(A53,[8]折同!$C$3:$H$352,5,0),-[4]整車!$B$22)</f>
        <v>0</v>
      </c>
      <c r="D53" s="506">
        <f t="shared" si="0"/>
        <v>0</v>
      </c>
      <c r="E53" s="526">
        <f>折疊車!G53</f>
        <v>0</v>
      </c>
      <c r="F53" s="210">
        <f>_xlfn.IFNA(VLOOKUP(A53,[8]折同!$C$3:$H$532,3,0),-[4]整車!$B$22)</f>
        <v>0</v>
      </c>
      <c r="G53" s="506">
        <f t="shared" si="1"/>
        <v>0</v>
      </c>
      <c r="H53" s="86">
        <f t="shared" si="5"/>
        <v>0</v>
      </c>
      <c r="I53" s="87">
        <f t="shared" si="6"/>
        <v>0</v>
      </c>
      <c r="J53" s="503">
        <f t="shared" si="4"/>
        <v>0</v>
      </c>
    </row>
    <row r="54" spans="1:10">
      <c r="A54" s="446" t="s">
        <v>222</v>
      </c>
      <c r="B54" s="27">
        <f>折疊車!E54</f>
        <v>0</v>
      </c>
      <c r="C54" s="89">
        <f>_xlfn.IFNA(VLOOKUP(A54,[8]折同!$C$3:$H$352,5,0),-[4]整車!$B$22)</f>
        <v>0</v>
      </c>
      <c r="D54" s="506">
        <f t="shared" si="0"/>
        <v>0</v>
      </c>
      <c r="E54" s="526">
        <f>折疊車!G54</f>
        <v>0</v>
      </c>
      <c r="F54" s="210">
        <f>_xlfn.IFNA(VLOOKUP(A54,[8]折同!$C$3:$H$532,3,0),-[4]整車!$B$22)</f>
        <v>0</v>
      </c>
      <c r="G54" s="506">
        <f t="shared" si="1"/>
        <v>0</v>
      </c>
      <c r="H54" s="86">
        <f t="shared" si="5"/>
        <v>0</v>
      </c>
      <c r="I54" s="87">
        <f t="shared" si="6"/>
        <v>0</v>
      </c>
      <c r="J54" s="503">
        <f t="shared" si="4"/>
        <v>0</v>
      </c>
    </row>
    <row r="55" spans="1:10">
      <c r="A55" s="446" t="s">
        <v>23</v>
      </c>
      <c r="B55" s="27">
        <f>折疊車!E55</f>
        <v>0</v>
      </c>
      <c r="C55" s="89">
        <f>_xlfn.IFNA(VLOOKUP(A55,[8]折同!$C$3:$H$352,5,0),-[4]整車!$B$22)</f>
        <v>0</v>
      </c>
      <c r="D55" s="506">
        <f t="shared" si="0"/>
        <v>0</v>
      </c>
      <c r="E55" s="526">
        <f>折疊車!G55</f>
        <v>0</v>
      </c>
      <c r="F55" s="210">
        <f>_xlfn.IFNA(VLOOKUP(A55,[8]折同!$C$3:$H$532,3,0),-[4]整車!$B$22)</f>
        <v>0</v>
      </c>
      <c r="G55" s="506">
        <f t="shared" si="1"/>
        <v>0</v>
      </c>
      <c r="H55" s="86">
        <f t="shared" si="5"/>
        <v>0</v>
      </c>
      <c r="I55" s="87">
        <f t="shared" si="6"/>
        <v>0</v>
      </c>
      <c r="J55" s="503">
        <f t="shared" si="4"/>
        <v>0</v>
      </c>
    </row>
    <row r="56" spans="1:10">
      <c r="A56" s="446" t="s">
        <v>223</v>
      </c>
      <c r="B56" s="27">
        <f>折疊車!E56</f>
        <v>0</v>
      </c>
      <c r="C56" s="89">
        <v>0</v>
      </c>
      <c r="D56" s="506">
        <f t="shared" si="0"/>
        <v>0</v>
      </c>
      <c r="E56" s="526">
        <f>折疊車!G56</f>
        <v>0</v>
      </c>
      <c r="F56" s="210">
        <v>0</v>
      </c>
      <c r="G56" s="506">
        <f t="shared" si="1"/>
        <v>0</v>
      </c>
      <c r="H56" s="86">
        <f t="shared" si="5"/>
        <v>0</v>
      </c>
      <c r="I56" s="87">
        <f t="shared" si="6"/>
        <v>0</v>
      </c>
      <c r="J56" s="503">
        <f t="shared" si="4"/>
        <v>0</v>
      </c>
    </row>
    <row r="57" spans="1:10">
      <c r="A57" s="448" t="s">
        <v>224</v>
      </c>
      <c r="B57" s="27">
        <f>折疊車!E57</f>
        <v>0</v>
      </c>
      <c r="C57" s="89">
        <v>0</v>
      </c>
      <c r="D57" s="506">
        <f t="shared" si="0"/>
        <v>0</v>
      </c>
      <c r="E57" s="526">
        <f>折疊車!G57</f>
        <v>0</v>
      </c>
      <c r="F57" s="210">
        <v>0</v>
      </c>
      <c r="G57" s="506">
        <f t="shared" si="1"/>
        <v>0</v>
      </c>
      <c r="H57" s="86">
        <f t="shared" si="5"/>
        <v>0</v>
      </c>
      <c r="I57" s="87">
        <f t="shared" si="6"/>
        <v>0</v>
      </c>
      <c r="J57" s="503">
        <f t="shared" si="4"/>
        <v>0</v>
      </c>
    </row>
    <row r="58" spans="1:10">
      <c r="A58" s="289" t="s">
        <v>380</v>
      </c>
      <c r="B58" s="27">
        <f>折疊車!E58</f>
        <v>0</v>
      </c>
      <c r="C58" s="89">
        <v>13</v>
      </c>
      <c r="D58" s="506">
        <f t="shared" si="0"/>
        <v>-1</v>
      </c>
      <c r="E58" s="526">
        <f>折疊車!G58</f>
        <v>0</v>
      </c>
      <c r="F58" s="210">
        <v>17464</v>
      </c>
      <c r="G58" s="506">
        <f t="shared" si="1"/>
        <v>-1</v>
      </c>
      <c r="H58" s="86">
        <f t="shared" si="5"/>
        <v>0</v>
      </c>
      <c r="I58" s="87">
        <f t="shared" si="6"/>
        <v>1343.3846153846155</v>
      </c>
      <c r="J58" s="503">
        <f t="shared" si="4"/>
        <v>-1</v>
      </c>
    </row>
    <row r="59" spans="1:10">
      <c r="A59" s="446" t="s">
        <v>24</v>
      </c>
      <c r="B59" s="27">
        <f>折疊車!E59</f>
        <v>400</v>
      </c>
      <c r="C59" s="89">
        <v>0</v>
      </c>
      <c r="D59" s="506">
        <f t="shared" si="0"/>
        <v>0</v>
      </c>
      <c r="E59" s="526">
        <f>折疊車!G59</f>
        <v>154715</v>
      </c>
      <c r="F59" s="210">
        <v>0</v>
      </c>
      <c r="G59" s="506">
        <f t="shared" si="1"/>
        <v>0</v>
      </c>
      <c r="H59" s="86">
        <f t="shared" si="5"/>
        <v>386.78750000000002</v>
      </c>
      <c r="I59" s="87">
        <f t="shared" si="6"/>
        <v>0</v>
      </c>
      <c r="J59" s="503">
        <f t="shared" si="4"/>
        <v>0</v>
      </c>
    </row>
    <row r="60" spans="1:10">
      <c r="A60" s="446" t="s">
        <v>25</v>
      </c>
      <c r="B60" s="27">
        <f>折疊車!E60</f>
        <v>0</v>
      </c>
      <c r="C60" s="89">
        <f>_xlfn.IFNA(VLOOKUP(A60,[8]折同!$C$3:$H$352,5,0),-[4]整車!$B$22)</f>
        <v>0</v>
      </c>
      <c r="D60" s="506">
        <f t="shared" si="0"/>
        <v>0</v>
      </c>
      <c r="E60" s="526">
        <f>折疊車!G60</f>
        <v>0</v>
      </c>
      <c r="F60" s="210">
        <f>_xlfn.IFNA(VLOOKUP(A60,[8]折同!$C$3:$H$532,3,0),-[4]整車!$B$22)</f>
        <v>0</v>
      </c>
      <c r="G60" s="506">
        <f t="shared" si="1"/>
        <v>0</v>
      </c>
      <c r="H60" s="86">
        <f t="shared" si="5"/>
        <v>0</v>
      </c>
      <c r="I60" s="87">
        <f t="shared" si="6"/>
        <v>0</v>
      </c>
      <c r="J60" s="503">
        <f t="shared" si="4"/>
        <v>0</v>
      </c>
    </row>
    <row r="61" spans="1:10">
      <c r="A61" s="446" t="s">
        <v>26</v>
      </c>
      <c r="B61" s="27">
        <f>折疊車!E61</f>
        <v>0</v>
      </c>
      <c r="C61" s="89">
        <f>_xlfn.IFNA(VLOOKUP(A61,[8]折同!$C$3:$H$352,5,0),-[4]整車!$B$22)</f>
        <v>0</v>
      </c>
      <c r="D61" s="506">
        <f t="shared" si="0"/>
        <v>0</v>
      </c>
      <c r="E61" s="526">
        <f>折疊車!G61</f>
        <v>0</v>
      </c>
      <c r="F61" s="210">
        <f>_xlfn.IFNA(VLOOKUP(A61,[8]折同!$C$3:$H$532,3,0),-[4]整車!$B$22)</f>
        <v>0</v>
      </c>
      <c r="G61" s="506">
        <f t="shared" si="1"/>
        <v>0</v>
      </c>
      <c r="H61" s="86">
        <f t="shared" si="5"/>
        <v>0</v>
      </c>
      <c r="I61" s="87">
        <f t="shared" si="6"/>
        <v>0</v>
      </c>
      <c r="J61" s="503">
        <f t="shared" si="4"/>
        <v>0</v>
      </c>
    </row>
    <row r="62" spans="1:10">
      <c r="A62" s="289" t="s">
        <v>225</v>
      </c>
      <c r="B62" s="27">
        <f>折疊車!E62</f>
        <v>0</v>
      </c>
      <c r="C62" s="89">
        <f>_xlfn.IFNA(VLOOKUP(A62,[8]折同!$C$3:$H$352,5,0),-[4]整車!$B$22)</f>
        <v>0</v>
      </c>
      <c r="D62" s="506">
        <f t="shared" si="0"/>
        <v>0</v>
      </c>
      <c r="E62" s="526">
        <f>折疊車!G62</f>
        <v>0</v>
      </c>
      <c r="F62" s="210">
        <f>_xlfn.IFNA(VLOOKUP(A62,[8]折同!$C$3:$H$532,3,0),-[4]整車!$B$22)</f>
        <v>0</v>
      </c>
      <c r="G62" s="506">
        <f t="shared" si="1"/>
        <v>0</v>
      </c>
      <c r="H62" s="86">
        <f t="shared" si="5"/>
        <v>0</v>
      </c>
      <c r="I62" s="87">
        <f t="shared" si="6"/>
        <v>0</v>
      </c>
      <c r="J62" s="503">
        <f t="shared" si="4"/>
        <v>0</v>
      </c>
    </row>
    <row r="63" spans="1:10">
      <c r="A63" s="446" t="s">
        <v>27</v>
      </c>
      <c r="B63" s="27">
        <f>折疊車!E63</f>
        <v>0</v>
      </c>
      <c r="C63" s="89">
        <f>_xlfn.IFNA(VLOOKUP(A63,[8]折同!$C$3:$H$352,5,0),-[4]整車!$B$22)</f>
        <v>0</v>
      </c>
      <c r="D63" s="506">
        <f t="shared" si="0"/>
        <v>0</v>
      </c>
      <c r="E63" s="526">
        <f>折疊車!G63</f>
        <v>0</v>
      </c>
      <c r="F63" s="210">
        <f>_xlfn.IFNA(VLOOKUP(A63,[8]折同!$C$3:$H$532,3,0),-[4]整車!$B$22)</f>
        <v>0</v>
      </c>
      <c r="G63" s="506">
        <f t="shared" si="1"/>
        <v>0</v>
      </c>
      <c r="H63" s="86">
        <f t="shared" si="5"/>
        <v>0</v>
      </c>
      <c r="I63" s="87">
        <f t="shared" si="6"/>
        <v>0</v>
      </c>
      <c r="J63" s="503">
        <f t="shared" si="4"/>
        <v>0</v>
      </c>
    </row>
    <row r="64" spans="1:10">
      <c r="A64" s="289" t="s">
        <v>226</v>
      </c>
      <c r="B64" s="27">
        <f>折疊車!E64</f>
        <v>0</v>
      </c>
      <c r="C64" s="89">
        <f>_xlfn.IFNA(VLOOKUP(A64,[8]折同!$C$3:$H$352,5,0),-[4]整車!$B$22)</f>
        <v>0</v>
      </c>
      <c r="D64" s="506">
        <f t="shared" si="0"/>
        <v>0</v>
      </c>
      <c r="E64" s="526">
        <f>折疊車!G64</f>
        <v>0</v>
      </c>
      <c r="F64" s="210">
        <f>_xlfn.IFNA(VLOOKUP(A64,[8]折同!$C$3:$H$532,3,0),-[4]整車!$B$22)</f>
        <v>0</v>
      </c>
      <c r="G64" s="506">
        <f t="shared" si="1"/>
        <v>0</v>
      </c>
      <c r="H64" s="86">
        <f t="shared" si="5"/>
        <v>0</v>
      </c>
      <c r="I64" s="87">
        <f t="shared" si="6"/>
        <v>0</v>
      </c>
      <c r="J64" s="503">
        <f t="shared" si="4"/>
        <v>0</v>
      </c>
    </row>
    <row r="65" spans="1:10">
      <c r="A65" s="446" t="s">
        <v>28</v>
      </c>
      <c r="B65" s="27">
        <f>折疊車!E65</f>
        <v>0</v>
      </c>
      <c r="C65" s="89"/>
      <c r="D65" s="506">
        <f t="shared" si="0"/>
        <v>0</v>
      </c>
      <c r="E65" s="526">
        <f>折疊車!G65</f>
        <v>0</v>
      </c>
      <c r="F65" s="210"/>
      <c r="G65" s="506">
        <f t="shared" si="1"/>
        <v>0</v>
      </c>
      <c r="H65" s="86">
        <f t="shared" si="5"/>
        <v>0</v>
      </c>
      <c r="I65" s="87">
        <f t="shared" si="6"/>
        <v>0</v>
      </c>
      <c r="J65" s="503">
        <f t="shared" si="4"/>
        <v>0</v>
      </c>
    </row>
    <row r="66" spans="1:10">
      <c r="A66" s="289" t="s">
        <v>227</v>
      </c>
      <c r="B66" s="27">
        <f>折疊車!E66</f>
        <v>0</v>
      </c>
      <c r="C66" s="89">
        <v>0</v>
      </c>
      <c r="D66" s="506">
        <f t="shared" si="0"/>
        <v>0</v>
      </c>
      <c r="E66" s="526">
        <f>折疊車!G66</f>
        <v>0</v>
      </c>
      <c r="F66" s="210">
        <v>0</v>
      </c>
      <c r="G66" s="506">
        <f t="shared" si="1"/>
        <v>0</v>
      </c>
      <c r="H66" s="86">
        <f t="shared" si="5"/>
        <v>0</v>
      </c>
      <c r="I66" s="87">
        <f t="shared" si="6"/>
        <v>0</v>
      </c>
      <c r="J66" s="503">
        <f t="shared" si="4"/>
        <v>0</v>
      </c>
    </row>
    <row r="67" spans="1:10">
      <c r="A67" s="30" t="s">
        <v>29</v>
      </c>
      <c r="B67" s="27">
        <f>B68-B47-B41-B12-B7</f>
        <v>1</v>
      </c>
      <c r="C67" s="89">
        <f>C68-C47-C41-C12-C7</f>
        <v>4</v>
      </c>
      <c r="D67" s="506">
        <f t="shared" si="0"/>
        <v>-0.75</v>
      </c>
      <c r="E67" s="526">
        <f>E68-E47-E41-E12-E7</f>
        <v>122</v>
      </c>
      <c r="F67" s="89">
        <f>F68-F47-F41-F12-F7</f>
        <v>512</v>
      </c>
      <c r="G67" s="506">
        <f t="shared" si="1"/>
        <v>-0.76171875</v>
      </c>
      <c r="H67" s="86">
        <f t="shared" si="5"/>
        <v>122</v>
      </c>
      <c r="I67" s="87">
        <f t="shared" si="6"/>
        <v>128</v>
      </c>
      <c r="J67" s="503">
        <f t="shared" si="4"/>
        <v>-4.6875E-2</v>
      </c>
    </row>
    <row r="68" spans="1:10">
      <c r="A68" s="32" t="s">
        <v>399</v>
      </c>
      <c r="B68" s="33">
        <f>折疊車!E68</f>
        <v>498</v>
      </c>
      <c r="C68" s="89">
        <v>117</v>
      </c>
      <c r="D68" s="506">
        <f t="shared" si="0"/>
        <v>3.2564102564102564</v>
      </c>
      <c r="E68" s="526">
        <f>折疊車!G68</f>
        <v>195270</v>
      </c>
      <c r="F68" s="210">
        <v>58206</v>
      </c>
      <c r="G68" s="506">
        <f t="shared" si="1"/>
        <v>2.3548087825997319</v>
      </c>
      <c r="H68" s="86">
        <f t="shared" ref="H68" si="7">E68/B68</f>
        <v>392.10843373493975</v>
      </c>
      <c r="I68" s="87">
        <f>F68/C68</f>
        <v>497.4871794871795</v>
      </c>
      <c r="J68" s="503">
        <f t="shared" si="4"/>
        <v>-0.21182203300367747</v>
      </c>
    </row>
    <row r="69" spans="1:10" ht="9.75" customHeight="1">
      <c r="A69" s="38"/>
      <c r="B69" s="39"/>
      <c r="C69" s="148"/>
      <c r="D69" s="211"/>
      <c r="E69" s="528"/>
      <c r="F69" s="148"/>
      <c r="G69" s="211"/>
    </row>
    <row r="70" spans="1:10" ht="12.75" customHeight="1">
      <c r="A70" s="54" t="s">
        <v>462</v>
      </c>
      <c r="B70" s="13"/>
      <c r="E70" s="529"/>
      <c r="G70" s="59" t="s">
        <v>116</v>
      </c>
    </row>
  </sheetData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1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1" customWidth="1"/>
    <col min="4" max="4" width="10.75" style="302" customWidth="1"/>
    <col min="5" max="5" width="13.625" style="5" customWidth="1"/>
    <col min="6" max="6" width="14.25" style="301" customWidth="1"/>
    <col min="7" max="7" width="11" style="302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501</v>
      </c>
      <c r="B1" s="127"/>
      <c r="C1" s="299"/>
      <c r="D1" s="300"/>
      <c r="E1" s="127"/>
      <c r="F1" s="299"/>
      <c r="G1" s="300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0" customFormat="1" ht="18" customHeight="1">
      <c r="A3" s="130" t="s">
        <v>416</v>
      </c>
      <c r="B3" s="131"/>
      <c r="C3" s="132"/>
      <c r="D3" s="133"/>
      <c r="E3" s="131"/>
      <c r="F3" s="134"/>
      <c r="G3" s="135"/>
      <c r="I3"/>
      <c r="J3"/>
      <c r="K3"/>
      <c r="L3"/>
      <c r="M3"/>
      <c r="N3"/>
      <c r="O3"/>
      <c r="P3"/>
    </row>
    <row r="4" spans="1:16" ht="18" customHeight="1">
      <c r="A4" s="136" t="s">
        <v>466</v>
      </c>
      <c r="B4" s="67"/>
      <c r="C4" s="303"/>
      <c r="D4" s="304"/>
      <c r="E4" s="67"/>
      <c r="F4" s="305"/>
      <c r="G4" s="140"/>
      <c r="I4"/>
      <c r="J4"/>
      <c r="K4"/>
      <c r="L4"/>
      <c r="M4"/>
      <c r="N4"/>
      <c r="O4"/>
      <c r="P4"/>
    </row>
    <row r="5" spans="1:16" ht="18" customHeight="1">
      <c r="A5" s="76" t="s">
        <v>50</v>
      </c>
      <c r="B5" s="141" t="s">
        <v>51</v>
      </c>
      <c r="C5" s="142"/>
      <c r="D5" s="143"/>
      <c r="E5" s="144" t="s">
        <v>52</v>
      </c>
      <c r="F5" s="142"/>
      <c r="G5" s="143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456</v>
      </c>
      <c r="C6" s="145" t="s">
        <v>457</v>
      </c>
      <c r="D6" s="306" t="s">
        <v>58</v>
      </c>
      <c r="E6" s="30" t="s">
        <v>456</v>
      </c>
      <c r="F6" s="145" t="s">
        <v>457</v>
      </c>
      <c r="G6" s="306" t="s">
        <v>58</v>
      </c>
      <c r="I6" s="479"/>
      <c r="J6" s="479"/>
      <c r="K6" s="479"/>
      <c r="L6" s="479"/>
    </row>
    <row r="7" spans="1:16" ht="18" customHeight="1">
      <c r="A7" s="31">
        <v>1</v>
      </c>
      <c r="B7" s="378">
        <v>22972</v>
      </c>
      <c r="C7" s="90">
        <v>31988</v>
      </c>
      <c r="D7" s="503">
        <f t="shared" ref="D7:D19" si="0">(B7-C7)/C7</f>
        <v>-0.28185569588595721</v>
      </c>
      <c r="E7" s="33">
        <v>50191119</v>
      </c>
      <c r="F7" s="90">
        <v>61322914</v>
      </c>
      <c r="G7" s="503">
        <f t="shared" ref="G7:G19" si="1">(E7-F7)/F7</f>
        <v>-0.18152749557856954</v>
      </c>
      <c r="I7" s="479"/>
      <c r="J7" s="479"/>
    </row>
    <row r="8" spans="1:16" ht="18" customHeight="1">
      <c r="A8" s="31">
        <v>2</v>
      </c>
      <c r="B8" s="241">
        <v>30485</v>
      </c>
      <c r="C8" s="90">
        <v>35076</v>
      </c>
      <c r="D8" s="503">
        <f t="shared" si="0"/>
        <v>-0.1308872163302543</v>
      </c>
      <c r="E8" s="378">
        <v>62527249</v>
      </c>
      <c r="F8" s="90">
        <v>62026650</v>
      </c>
      <c r="G8" s="503">
        <f t="shared" si="1"/>
        <v>8.0707083165058886E-3</v>
      </c>
      <c r="I8" s="479"/>
      <c r="J8" s="479"/>
      <c r="K8" s="479"/>
      <c r="L8" s="479"/>
    </row>
    <row r="9" spans="1:16" ht="18" customHeight="1">
      <c r="A9" s="31">
        <v>3</v>
      </c>
      <c r="B9" s="378"/>
      <c r="C9" s="90"/>
      <c r="D9" s="503"/>
      <c r="E9" s="371"/>
      <c r="F9" s="90"/>
      <c r="G9" s="503"/>
      <c r="J9" s="479"/>
      <c r="K9" s="479"/>
    </row>
    <row r="10" spans="1:16" ht="18" customHeight="1">
      <c r="A10" s="31">
        <v>4</v>
      </c>
      <c r="B10" s="379"/>
      <c r="C10" s="90"/>
      <c r="D10" s="503"/>
      <c r="E10" s="379"/>
      <c r="F10" s="90"/>
      <c r="G10" s="503"/>
    </row>
    <row r="11" spans="1:16" ht="18" customHeight="1">
      <c r="A11" s="31">
        <v>5</v>
      </c>
      <c r="B11" s="378"/>
      <c r="C11" s="90"/>
      <c r="D11" s="503"/>
      <c r="E11" s="378"/>
      <c r="F11" s="90"/>
      <c r="G11" s="503"/>
    </row>
    <row r="12" spans="1:16" ht="18" customHeight="1">
      <c r="A12" s="31">
        <v>6</v>
      </c>
      <c r="B12" s="378"/>
      <c r="C12" s="90"/>
      <c r="D12" s="503"/>
      <c r="E12" s="378"/>
      <c r="F12" s="90"/>
      <c r="G12" s="503"/>
      <c r="J12" s="479"/>
      <c r="K12" s="479"/>
    </row>
    <row r="13" spans="1:16" ht="18" customHeight="1">
      <c r="A13" s="31">
        <v>7</v>
      </c>
      <c r="B13" s="380"/>
      <c r="C13" s="90"/>
      <c r="D13" s="503"/>
      <c r="E13" s="380"/>
      <c r="F13" s="90"/>
      <c r="G13" s="503"/>
    </row>
    <row r="14" spans="1:16" ht="18" customHeight="1">
      <c r="A14" s="31">
        <v>8</v>
      </c>
      <c r="B14" s="378"/>
      <c r="C14" s="90"/>
      <c r="D14" s="503"/>
      <c r="E14" s="378"/>
      <c r="F14" s="90"/>
      <c r="G14" s="503"/>
      <c r="J14" s="479"/>
      <c r="K14" s="479"/>
    </row>
    <row r="15" spans="1:16" ht="18" customHeight="1">
      <c r="A15" s="31">
        <v>9</v>
      </c>
      <c r="B15" s="27"/>
      <c r="C15" s="90"/>
      <c r="D15" s="503"/>
      <c r="E15" s="27"/>
      <c r="F15" s="90"/>
      <c r="G15" s="503"/>
    </row>
    <row r="16" spans="1:16" ht="18" customHeight="1">
      <c r="A16" s="31">
        <v>10</v>
      </c>
      <c r="B16" s="27"/>
      <c r="C16" s="90"/>
      <c r="D16" s="503"/>
      <c r="E16" s="27"/>
      <c r="F16" s="90"/>
      <c r="G16" s="503"/>
    </row>
    <row r="17" spans="1:18" ht="18" customHeight="1">
      <c r="A17" s="31">
        <v>11</v>
      </c>
      <c r="B17" s="27"/>
      <c r="C17" s="90"/>
      <c r="D17" s="503"/>
      <c r="E17" s="27"/>
      <c r="F17" s="90"/>
      <c r="G17" s="503"/>
    </row>
    <row r="18" spans="1:18" ht="18" customHeight="1">
      <c r="A18" s="31">
        <v>12</v>
      </c>
      <c r="B18" s="27"/>
      <c r="C18" s="90"/>
      <c r="D18" s="503"/>
      <c r="E18" s="27"/>
      <c r="F18" s="90"/>
      <c r="G18" s="503"/>
      <c r="I18" s="480"/>
      <c r="J18" s="480"/>
      <c r="K18" s="480"/>
      <c r="L18" s="480"/>
      <c r="M18"/>
      <c r="N18"/>
      <c r="O18"/>
      <c r="P18"/>
      <c r="Q18"/>
      <c r="R18"/>
    </row>
    <row r="19" spans="1:18" s="113" customFormat="1" ht="18" customHeight="1">
      <c r="A19" s="32" t="s">
        <v>49</v>
      </c>
      <c r="B19" s="33">
        <f>SUM(B7:B18)</f>
        <v>53457</v>
      </c>
      <c r="C19" s="90">
        <f>SUM(C7:C18)</f>
        <v>67064</v>
      </c>
      <c r="D19" s="503">
        <f t="shared" si="0"/>
        <v>-0.20289574138136704</v>
      </c>
      <c r="E19" s="33">
        <f>SUM(E7:E18)</f>
        <v>112718368</v>
      </c>
      <c r="F19" s="90">
        <f>SUM(F7:F18)</f>
        <v>123349564</v>
      </c>
      <c r="G19" s="503">
        <f t="shared" si="1"/>
        <v>-8.6187544205669014E-2</v>
      </c>
      <c r="H19" s="5"/>
      <c r="I19" s="480"/>
      <c r="J19" s="480"/>
      <c r="K19" s="480"/>
      <c r="L19" s="480"/>
      <c r="M19"/>
      <c r="N19"/>
      <c r="O19"/>
      <c r="P19"/>
      <c r="Q19"/>
      <c r="R19"/>
    </row>
    <row r="20" spans="1:18" s="113" customFormat="1" ht="14.25" customHeight="1">
      <c r="A20" s="38"/>
      <c r="B20" s="39"/>
      <c r="C20" s="481"/>
      <c r="D20" s="307"/>
      <c r="E20" s="39"/>
      <c r="F20" s="481"/>
      <c r="G20" s="307"/>
      <c r="H20" s="5"/>
      <c r="I20" s="480"/>
      <c r="J20" s="480"/>
      <c r="K20"/>
      <c r="L20"/>
      <c r="M20"/>
      <c r="N20"/>
      <c r="O20"/>
      <c r="P20"/>
      <c r="Q20"/>
      <c r="R20"/>
    </row>
    <row r="21" spans="1:18" s="113" customFormat="1" ht="14.25" customHeight="1">
      <c r="A21" s="38"/>
      <c r="B21" s="39"/>
      <c r="C21" s="481"/>
      <c r="D21" s="307"/>
      <c r="E21" s="39"/>
      <c r="F21" s="481"/>
      <c r="G21" s="307"/>
      <c r="H21" s="5"/>
      <c r="I21" s="480"/>
      <c r="J21" s="480"/>
      <c r="K21" s="480"/>
      <c r="L21" s="480"/>
      <c r="M21"/>
      <c r="N21"/>
      <c r="O21"/>
      <c r="P21"/>
      <c r="Q21"/>
      <c r="R21"/>
    </row>
    <row r="22" spans="1:18" ht="18" customHeight="1">
      <c r="A22" s="1" t="s">
        <v>502</v>
      </c>
      <c r="B22" s="127"/>
      <c r="C22" s="299"/>
      <c r="D22" s="300"/>
      <c r="E22" s="127"/>
      <c r="F22" s="299"/>
      <c r="G22" s="300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7"/>
      <c r="C23" s="299"/>
      <c r="D23" s="300"/>
      <c r="E23" s="127"/>
      <c r="F23" s="299"/>
      <c r="G23" s="300"/>
      <c r="I23"/>
      <c r="J23"/>
      <c r="K23"/>
      <c r="L23"/>
      <c r="M23"/>
      <c r="N23"/>
      <c r="O23"/>
      <c r="P23"/>
      <c r="Q23"/>
      <c r="R23"/>
    </row>
    <row r="24" spans="1:18" s="120" customFormat="1" ht="18" customHeight="1">
      <c r="A24" s="150" t="s">
        <v>412</v>
      </c>
      <c r="B24" s="151"/>
      <c r="C24" s="152"/>
      <c r="D24" s="153"/>
      <c r="E24" s="151"/>
      <c r="F24" s="154"/>
      <c r="G24" s="155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6" t="s">
        <v>458</v>
      </c>
      <c r="B25" s="156"/>
      <c r="C25" s="308"/>
      <c r="D25" s="309"/>
      <c r="E25" s="156"/>
      <c r="F25" s="310"/>
      <c r="G25" s="160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50</v>
      </c>
      <c r="B26" s="161" t="s">
        <v>51</v>
      </c>
      <c r="C26" s="162"/>
      <c r="D26" s="163"/>
      <c r="E26" s="164" t="s">
        <v>52</v>
      </c>
      <c r="F26" s="162"/>
      <c r="G26" s="163"/>
    </row>
    <row r="27" spans="1:18" ht="18" customHeight="1">
      <c r="A27" s="93"/>
      <c r="B27" s="30" t="s">
        <v>456</v>
      </c>
      <c r="C27" s="145" t="s">
        <v>457</v>
      </c>
      <c r="D27" s="306" t="s">
        <v>409</v>
      </c>
      <c r="E27" s="30" t="s">
        <v>456</v>
      </c>
      <c r="F27" s="145" t="s">
        <v>457</v>
      </c>
      <c r="G27" s="306" t="s">
        <v>410</v>
      </c>
    </row>
    <row r="28" spans="1:18" ht="18" customHeight="1">
      <c r="A28" s="31">
        <v>1</v>
      </c>
      <c r="B28" s="378">
        <v>1</v>
      </c>
      <c r="C28" s="498">
        <v>11</v>
      </c>
      <c r="D28" s="503">
        <f>(B28-C28)/C28</f>
        <v>-0.90909090909090906</v>
      </c>
      <c r="E28" s="378">
        <v>122</v>
      </c>
      <c r="F28" s="498">
        <v>15617</v>
      </c>
      <c r="G28" s="503">
        <f>(E28-F28)/F28</f>
        <v>-0.99218800025613119</v>
      </c>
    </row>
    <row r="29" spans="1:18" ht="18" customHeight="1">
      <c r="A29" s="31">
        <v>2</v>
      </c>
      <c r="B29" s="378">
        <v>497</v>
      </c>
      <c r="C29" s="498">
        <v>106</v>
      </c>
      <c r="D29" s="503">
        <f>(B29-C29)/C29</f>
        <v>3.6886792452830188</v>
      </c>
      <c r="E29" s="378">
        <v>195148</v>
      </c>
      <c r="F29" s="498">
        <v>42589</v>
      </c>
      <c r="G29" s="503">
        <f>(E29-F29)/F29</f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78"/>
      <c r="C30" s="498"/>
      <c r="D30" s="503"/>
      <c r="E30" s="378"/>
      <c r="F30" s="498"/>
      <c r="G30" s="503"/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78"/>
      <c r="C31" s="499"/>
      <c r="D31" s="503"/>
      <c r="E31" s="379"/>
      <c r="F31" s="499"/>
      <c r="G31" s="503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78"/>
      <c r="C32" s="498"/>
      <c r="D32" s="503"/>
      <c r="E32" s="378"/>
      <c r="F32" s="498"/>
      <c r="G32" s="503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78"/>
      <c r="C33" s="498"/>
      <c r="D33" s="503"/>
      <c r="E33" s="378"/>
      <c r="F33" s="498"/>
      <c r="G33" s="503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78"/>
      <c r="C34" s="498"/>
      <c r="D34" s="503"/>
      <c r="E34" s="378"/>
      <c r="F34" s="498"/>
      <c r="G34" s="503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78"/>
      <c r="C35" s="498"/>
      <c r="D35" s="503"/>
      <c r="E35" s="378"/>
      <c r="F35" s="498"/>
      <c r="G35" s="503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98"/>
      <c r="D36" s="503"/>
      <c r="E36" s="27"/>
      <c r="F36" s="498"/>
      <c r="G36" s="503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98"/>
      <c r="D37" s="503"/>
      <c r="E37" s="27"/>
      <c r="F37" s="498"/>
      <c r="G37" s="503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9"/>
      <c r="D38" s="503"/>
      <c r="E38" s="27"/>
      <c r="F38" s="89"/>
      <c r="G38" s="503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9"/>
      <c r="D39" s="503"/>
      <c r="E39" s="27"/>
      <c r="F39" s="89"/>
      <c r="G39" s="503"/>
      <c r="I39" s="480"/>
      <c r="J39" s="480"/>
      <c r="K39"/>
      <c r="L39"/>
      <c r="M39"/>
      <c r="N39"/>
      <c r="O39"/>
      <c r="P39"/>
    </row>
    <row r="40" spans="1:16" s="113" customFormat="1" ht="18" customHeight="1">
      <c r="A40" s="32" t="s">
        <v>49</v>
      </c>
      <c r="B40" s="33">
        <f>SUM(B28:B39)</f>
        <v>498</v>
      </c>
      <c r="C40" s="90">
        <f>SUM(C28:C39)</f>
        <v>117</v>
      </c>
      <c r="D40" s="503">
        <f t="shared" ref="D40" si="2">(B40-C40)/C40</f>
        <v>3.2564102564102564</v>
      </c>
      <c r="E40" s="33">
        <f>SUM(E28:E39)</f>
        <v>195270</v>
      </c>
      <c r="F40" s="90">
        <f>SUM(F28:F39)</f>
        <v>58206</v>
      </c>
      <c r="G40" s="503">
        <f t="shared" ref="G40" si="3">(E40-F40)/F40</f>
        <v>2.3548087825997319</v>
      </c>
      <c r="H40" s="5"/>
      <c r="I40"/>
      <c r="J40"/>
      <c r="K40"/>
      <c r="L40"/>
      <c r="M40"/>
      <c r="N40"/>
      <c r="O40"/>
      <c r="P40"/>
    </row>
    <row r="41" spans="1:16" s="113" customFormat="1">
      <c r="A41" s="38"/>
      <c r="B41" s="39"/>
      <c r="C41" s="481"/>
      <c r="D41" s="307"/>
      <c r="E41" s="39"/>
      <c r="F41" s="481"/>
      <c r="G41" s="307"/>
      <c r="H41" s="5"/>
      <c r="I41" s="480"/>
      <c r="J41" s="480"/>
      <c r="K41" s="480"/>
      <c r="L41" s="480"/>
      <c r="M41"/>
      <c r="N41"/>
      <c r="O41"/>
      <c r="P41"/>
    </row>
    <row r="42" spans="1:16" s="13" customFormat="1">
      <c r="A42" s="545" t="s">
        <v>503</v>
      </c>
      <c r="C42" s="166"/>
      <c r="D42" s="167"/>
      <c r="F42" s="166"/>
      <c r="G42" s="167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5" customWidth="1"/>
    <col min="4" max="4" width="16.625" style="315" customWidth="1"/>
    <col min="5" max="5" width="2.375" style="315" customWidth="1"/>
    <col min="6" max="6" width="17.125" style="315" customWidth="1"/>
    <col min="7" max="7" width="19" style="315" customWidth="1"/>
    <col min="8" max="8" width="2.125" style="315" customWidth="1"/>
    <col min="9" max="9" width="15.625" style="315" customWidth="1"/>
    <col min="10" max="10" width="17.875" style="315" customWidth="1"/>
    <col min="11" max="11" width="2.5" style="315" customWidth="1"/>
    <col min="12" max="12" width="17.125" style="315" customWidth="1"/>
    <col min="13" max="13" width="18.5" style="315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2" customFormat="1" ht="19.5">
      <c r="A1" s="1" t="s">
        <v>504</v>
      </c>
      <c r="B1" s="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s="312" customFormat="1">
      <c r="C2" s="313"/>
      <c r="D2" s="313"/>
      <c r="E2" s="313"/>
      <c r="F2" s="313"/>
      <c r="G2" s="313"/>
      <c r="H2" s="313"/>
      <c r="I2" s="313"/>
      <c r="J2" s="313"/>
      <c r="K2" s="313"/>
      <c r="L2" s="5"/>
      <c r="M2" s="313" t="s">
        <v>59</v>
      </c>
    </row>
    <row r="3" spans="1:13" s="312" customFormat="1">
      <c r="A3" s="314"/>
      <c r="B3" s="314"/>
      <c r="C3" s="313"/>
      <c r="D3" s="313"/>
      <c r="E3" s="313"/>
      <c r="F3" s="313"/>
      <c r="G3" s="313"/>
      <c r="H3" s="313"/>
      <c r="I3" s="313"/>
      <c r="J3" s="313"/>
      <c r="K3" s="313"/>
      <c r="L3" s="5"/>
      <c r="M3" s="313" t="s">
        <v>60</v>
      </c>
    </row>
    <row r="4" spans="1:13">
      <c r="M4" s="5"/>
    </row>
    <row r="5" spans="1:13" s="312" customFormat="1">
      <c r="A5" s="316" t="s">
        <v>61</v>
      </c>
      <c r="B5" s="317"/>
      <c r="C5" s="559" t="s">
        <v>505</v>
      </c>
      <c r="D5" s="560" t="s">
        <v>506</v>
      </c>
      <c r="E5" s="317"/>
      <c r="F5" s="318" t="s">
        <v>507</v>
      </c>
      <c r="G5" s="319" t="s">
        <v>508</v>
      </c>
      <c r="H5" s="317"/>
      <c r="I5" s="559" t="s">
        <v>509</v>
      </c>
      <c r="J5" s="560" t="s">
        <v>510</v>
      </c>
      <c r="K5" s="317"/>
      <c r="L5" s="318" t="s">
        <v>511</v>
      </c>
      <c r="M5" s="319" t="s">
        <v>512</v>
      </c>
    </row>
    <row r="6" spans="1:13">
      <c r="A6" s="320">
        <v>85121010001</v>
      </c>
      <c r="B6" s="472"/>
      <c r="C6" s="471"/>
      <c r="D6" s="321"/>
      <c r="E6" s="471"/>
      <c r="F6" s="471"/>
      <c r="G6" s="321"/>
      <c r="H6" s="471"/>
      <c r="I6" s="471"/>
      <c r="J6" s="321"/>
      <c r="K6" s="471"/>
      <c r="L6" s="471"/>
      <c r="M6" s="321"/>
    </row>
    <row r="7" spans="1:13">
      <c r="A7" s="322" t="s">
        <v>62</v>
      </c>
      <c r="B7" s="312"/>
      <c r="C7" s="460">
        <v>7440</v>
      </c>
      <c r="D7" s="460">
        <v>934270</v>
      </c>
      <c r="F7" s="460">
        <v>20310</v>
      </c>
      <c r="G7" s="460">
        <v>2200399</v>
      </c>
      <c r="I7" s="460">
        <v>3421</v>
      </c>
      <c r="J7" s="460">
        <v>152904</v>
      </c>
      <c r="L7" s="460">
        <v>7639</v>
      </c>
      <c r="M7" s="460">
        <v>399466</v>
      </c>
    </row>
    <row r="8" spans="1:13">
      <c r="A8" s="322" t="s">
        <v>63</v>
      </c>
      <c r="B8" s="13" t="s">
        <v>64</v>
      </c>
      <c r="C8" s="460">
        <v>71573</v>
      </c>
      <c r="D8" s="459" t="s">
        <v>392</v>
      </c>
      <c r="E8" s="13" t="s">
        <v>64</v>
      </c>
      <c r="F8" s="460">
        <v>166724</v>
      </c>
      <c r="G8" s="459" t="s">
        <v>391</v>
      </c>
      <c r="H8" s="13" t="s">
        <v>64</v>
      </c>
      <c r="I8" s="460">
        <v>36306</v>
      </c>
      <c r="J8" s="459" t="s">
        <v>392</v>
      </c>
      <c r="K8" s="315" t="s">
        <v>64</v>
      </c>
      <c r="L8" s="460">
        <v>109688</v>
      </c>
      <c r="M8" s="459" t="s">
        <v>391</v>
      </c>
    </row>
    <row r="9" spans="1:13">
      <c r="A9" s="324">
        <v>85121020009</v>
      </c>
      <c r="B9" s="470"/>
      <c r="C9" s="468"/>
      <c r="D9" s="465"/>
      <c r="E9" s="469"/>
      <c r="F9" s="468"/>
      <c r="G9" s="465"/>
      <c r="H9" s="469"/>
      <c r="I9" s="468"/>
      <c r="J9" s="468"/>
      <c r="K9" s="469"/>
      <c r="L9" s="468"/>
      <c r="M9" s="468"/>
    </row>
    <row r="10" spans="1:13">
      <c r="A10" s="322" t="s">
        <v>65</v>
      </c>
      <c r="B10" s="312"/>
      <c r="C10" s="460">
        <v>2237</v>
      </c>
      <c r="D10" s="460">
        <v>356150</v>
      </c>
      <c r="F10" s="460">
        <v>5747</v>
      </c>
      <c r="G10" s="460">
        <v>854266</v>
      </c>
      <c r="I10" s="460">
        <v>1358</v>
      </c>
      <c r="J10" s="460">
        <v>122599</v>
      </c>
      <c r="L10" s="460">
        <v>3026</v>
      </c>
      <c r="M10" s="460">
        <v>261207</v>
      </c>
    </row>
    <row r="11" spans="1:13">
      <c r="A11" s="322" t="s">
        <v>66</v>
      </c>
      <c r="B11" s="13" t="s">
        <v>64</v>
      </c>
      <c r="C11" s="460">
        <v>26884</v>
      </c>
      <c r="D11" s="459" t="s">
        <v>392</v>
      </c>
      <c r="E11" s="13" t="s">
        <v>64</v>
      </c>
      <c r="F11" s="460">
        <v>66917</v>
      </c>
      <c r="G11" s="459" t="s">
        <v>391</v>
      </c>
      <c r="H11" s="13" t="s">
        <v>64</v>
      </c>
      <c r="I11" s="460">
        <v>20252</v>
      </c>
      <c r="J11" s="459" t="s">
        <v>391</v>
      </c>
      <c r="K11" s="315" t="s">
        <v>64</v>
      </c>
      <c r="L11" s="460">
        <v>49940</v>
      </c>
      <c r="M11" s="459" t="s">
        <v>391</v>
      </c>
    </row>
    <row r="12" spans="1:13">
      <c r="A12" s="325">
        <v>87149120007</v>
      </c>
      <c r="B12" s="464"/>
      <c r="C12" s="461"/>
      <c r="D12" s="465"/>
      <c r="E12" s="463"/>
      <c r="F12" s="461"/>
      <c r="G12" s="465"/>
      <c r="H12" s="463"/>
      <c r="I12" s="465"/>
      <c r="J12" s="461"/>
      <c r="K12" s="463"/>
      <c r="L12" s="468"/>
      <c r="M12" s="468"/>
    </row>
    <row r="13" spans="1:13">
      <c r="A13" s="322" t="s">
        <v>68</v>
      </c>
      <c r="B13" s="312"/>
      <c r="C13" s="460">
        <f>VLOOKUP(A12,[12]進出口值表查詢結果!$A$3:$E$19,4,0)</f>
        <v>518634</v>
      </c>
      <c r="D13" s="460">
        <f>VLOOKUP(A12,[12]進出口值表查詢結果!$A$3:$E$19,3,0)</f>
        <v>34471349</v>
      </c>
      <c r="F13" s="460">
        <f>VLOOKUP(A12,[13]進出口值表查詢結果!$A$4:$E$20,4,0)</f>
        <v>1224572</v>
      </c>
      <c r="G13" s="460">
        <f>VLOOKUP(A12,[13]進出口值表查詢結果!$A$4:$E$20,3,0)</f>
        <v>73595324</v>
      </c>
      <c r="I13" s="460">
        <f>VLOOKUP(A12,[14]進出口值表查詢結果!$A$3:$E$19,4,0)</f>
        <v>211353</v>
      </c>
      <c r="J13" s="460">
        <f>VLOOKUP(A12,[14]進出口值表查詢結果!$A$3:$E$19,3,0)</f>
        <v>14930348</v>
      </c>
      <c r="L13" s="460">
        <f>VLOOKUP(A12,[15]進出口值表查詢結果!$A$3:$E$19,4,0)</f>
        <v>570005</v>
      </c>
      <c r="M13" s="460">
        <f>VLOOKUP(A12,[15]進出口值表查詢結果!$A$3:$E$19,3,0)</f>
        <v>39826387</v>
      </c>
    </row>
    <row r="14" spans="1:13">
      <c r="A14" s="322" t="s">
        <v>69</v>
      </c>
      <c r="B14" s="13" t="s">
        <v>64</v>
      </c>
      <c r="C14" s="460"/>
      <c r="D14" s="459"/>
      <c r="E14" s="13" t="s">
        <v>64</v>
      </c>
      <c r="F14" s="460"/>
      <c r="G14" s="459"/>
      <c r="I14" s="460"/>
      <c r="J14" s="459"/>
      <c r="L14" s="460"/>
      <c r="M14" s="459"/>
    </row>
    <row r="15" spans="1:13">
      <c r="A15" s="325">
        <v>87149200108</v>
      </c>
      <c r="B15" s="464"/>
      <c r="C15" s="465"/>
      <c r="D15" s="461"/>
      <c r="E15" s="463"/>
      <c r="F15" s="465"/>
      <c r="G15" s="461"/>
      <c r="H15" s="463"/>
      <c r="I15" s="465"/>
      <c r="J15" s="461"/>
      <c r="K15" s="463"/>
      <c r="L15" s="465"/>
      <c r="M15" s="461"/>
    </row>
    <row r="16" spans="1:13">
      <c r="A16" s="322" t="s">
        <v>70</v>
      </c>
      <c r="B16" s="312"/>
      <c r="C16" s="460">
        <f>VLOOKUP(A15,[12]進出口值表查詢結果!$A$3:$E$19,4,0)</f>
        <v>81496</v>
      </c>
      <c r="D16" s="460">
        <f>VLOOKUP(A15,[12]進出口值表查詢結果!$A$3:$E$19,3,0)</f>
        <v>2552635</v>
      </c>
      <c r="F16" s="460">
        <f>VLOOKUP(A15,[13]進出口值表查詢結果!$A$4:$E$20,4,0)</f>
        <v>180618</v>
      </c>
      <c r="G16" s="460">
        <f>VLOOKUP(A15,[13]進出口值表查詢結果!$A$4:$E$20,3,0)</f>
        <v>5870671</v>
      </c>
      <c r="I16" s="460">
        <f>VLOOKUP(A15,[14]進出口值表查詢結果!$A$3:$E$19,4,0)</f>
        <v>41308</v>
      </c>
      <c r="J16" s="460">
        <f>VLOOKUP(A15,[14]進出口值表查詢結果!$A$3:$E$19,3,0)</f>
        <v>4081359</v>
      </c>
      <c r="L16" s="460">
        <f>VLOOKUP(A15,[15]進出口值表查詢結果!$A$3:$E$19,4,0)</f>
        <v>87889</v>
      </c>
      <c r="M16" s="460">
        <f>VLOOKUP(A15,[15]進出口值表查詢結果!$A$3:$E$19,3,0)</f>
        <v>9328912</v>
      </c>
    </row>
    <row r="17" spans="1:13">
      <c r="A17" s="322"/>
      <c r="B17" s="13" t="s">
        <v>64</v>
      </c>
      <c r="C17" s="460">
        <f>VLOOKUP(A15,[12]進出口值表查詢結果!$A$3:$E$19,5,0)</f>
        <v>143939</v>
      </c>
      <c r="D17" s="459" t="s">
        <v>151</v>
      </c>
      <c r="E17" s="13" t="s">
        <v>64</v>
      </c>
      <c r="F17" s="460">
        <f>VLOOKUP(A15,[13]進出口值表查詢結果!$A$4:$E$20,5,0)</f>
        <v>325529</v>
      </c>
      <c r="G17" s="459" t="s">
        <v>67</v>
      </c>
      <c r="H17" s="13" t="s">
        <v>64</v>
      </c>
      <c r="I17" s="460">
        <f>VLOOKUP(A15,[14]進出口值表查詢結果!$A$3:$E$19,5,0)</f>
        <v>75628</v>
      </c>
      <c r="J17" s="459" t="s">
        <v>67</v>
      </c>
      <c r="K17" s="315" t="s">
        <v>64</v>
      </c>
      <c r="L17" s="460">
        <f>VLOOKUP(A15,[15]進出口值表查詢結果!$A$3:$E$19,5,0)</f>
        <v>169050</v>
      </c>
      <c r="M17" s="459" t="s">
        <v>67</v>
      </c>
    </row>
    <row r="18" spans="1:13">
      <c r="A18" s="325">
        <v>87149200206</v>
      </c>
      <c r="B18" s="464"/>
      <c r="C18" s="465"/>
      <c r="D18" s="461"/>
      <c r="E18" s="463"/>
      <c r="F18" s="465"/>
      <c r="G18" s="461"/>
      <c r="H18" s="463"/>
      <c r="I18" s="462"/>
      <c r="J18" s="461"/>
      <c r="K18" s="463"/>
      <c r="L18" s="462"/>
      <c r="M18" s="461"/>
    </row>
    <row r="19" spans="1:13">
      <c r="A19" s="322" t="s">
        <v>55</v>
      </c>
      <c r="B19" s="312"/>
      <c r="C19" s="460">
        <f>VLOOKUP(A18,[12]進出口值表查詢結果!$A$3:$E$19,4,0)</f>
        <v>25666</v>
      </c>
      <c r="D19" s="460">
        <f>VLOOKUP(A18,[12]進出口值表查詢結果!$A$3:$E$19,3,0)</f>
        <v>531036</v>
      </c>
      <c r="F19" s="460">
        <f>VLOOKUP(A18,[13]進出口值表查詢結果!$A$4:$E$20,4,0)</f>
        <v>136376</v>
      </c>
      <c r="G19" s="460">
        <f>VLOOKUP(A18,[13]進出口值表查詢結果!$A$4:$E$20,3,0)</f>
        <v>1804249</v>
      </c>
      <c r="I19" s="460">
        <f>VLOOKUP(A18,[14]進出口值表查詢結果!$A$3:$E$19,4,0)</f>
        <v>8208</v>
      </c>
      <c r="J19" s="460">
        <f>VLOOKUP(A18,[14]進出口值表查詢結果!$A$3:$E$19,3,0)</f>
        <v>786968</v>
      </c>
      <c r="L19" s="460">
        <f>VLOOKUP(A18,[15]進出口值表查詢結果!$A$3:$E$19,4,0)</f>
        <v>18884</v>
      </c>
      <c r="M19" s="460">
        <f>VLOOKUP(A18,[15]進出口值表查詢結果!$A$3:$E$19,3,0)</f>
        <v>2122082</v>
      </c>
    </row>
    <row r="20" spans="1:13">
      <c r="A20" s="322"/>
      <c r="B20" s="13" t="s">
        <v>64</v>
      </c>
      <c r="C20" s="460">
        <f>VLOOKUP(A18,[12]進出口值表查詢結果!$A$3:$E$19,5,0)</f>
        <v>3691528</v>
      </c>
      <c r="D20" s="459" t="s">
        <v>151</v>
      </c>
      <c r="E20" s="13" t="s">
        <v>64</v>
      </c>
      <c r="F20" s="460">
        <f>VLOOKUP(A18,[13]進出口值表查詢結果!$A$4:$E$20,5,0)</f>
        <v>19782087</v>
      </c>
      <c r="G20" s="459" t="s">
        <v>67</v>
      </c>
      <c r="H20" s="13" t="s">
        <v>64</v>
      </c>
      <c r="I20" s="460">
        <f>VLOOKUP(A18,[14]進出口值表查詢結果!$A$3:$E$19,5,0)</f>
        <v>1555864</v>
      </c>
      <c r="J20" s="459" t="s">
        <v>67</v>
      </c>
      <c r="K20" s="315" t="s">
        <v>64</v>
      </c>
      <c r="L20" s="460">
        <f>VLOOKUP(A18,[15]進出口值表查詢結果!$A$3:$E$19,5,0)</f>
        <v>4116714</v>
      </c>
      <c r="M20" s="459" t="s">
        <v>67</v>
      </c>
    </row>
    <row r="21" spans="1:13">
      <c r="A21" s="325">
        <v>87149200304</v>
      </c>
      <c r="B21" s="464"/>
      <c r="C21" s="465"/>
      <c r="D21" s="461"/>
      <c r="E21" s="463"/>
      <c r="F21" s="465"/>
      <c r="G21" s="461"/>
      <c r="H21" s="463"/>
      <c r="I21" s="462"/>
      <c r="J21" s="461"/>
      <c r="K21" s="463"/>
      <c r="L21" s="462"/>
      <c r="M21" s="461"/>
    </row>
    <row r="22" spans="1:13">
      <c r="A22" s="322" t="s">
        <v>56</v>
      </c>
      <c r="B22" s="312"/>
      <c r="C22" s="460">
        <f>VLOOKUP(A21,[12]進出口值表查詢結果!$A$3:$E$19,4,0)</f>
        <v>40547</v>
      </c>
      <c r="D22" s="460">
        <f>VLOOKUP(A21,[12]進出口值表查詢結果!$A$3:$E$19,3,0)</f>
        <v>6645810</v>
      </c>
      <c r="E22" s="315">
        <f>[16]二全年出口類別合計驗算!U18</f>
        <v>0</v>
      </c>
      <c r="F22" s="460">
        <f>VLOOKUP(A21,[13]進出口值表查詢結果!$A$4:$E$20,4,0)</f>
        <v>101990</v>
      </c>
      <c r="G22" s="460">
        <f>VLOOKUP(A21,[13]進出口值表查詢結果!$A$4:$E$20,3,0)</f>
        <v>15209845</v>
      </c>
      <c r="I22" s="460">
        <f>VLOOKUP(A21,[14]進出口值表查詢結果!$A$3:$E$19,4,0)</f>
        <v>6767</v>
      </c>
      <c r="J22" s="460">
        <f>VLOOKUP(A21,[14]進出口值表查詢結果!$A$3:$E$19,3,0)</f>
        <v>1048057</v>
      </c>
      <c r="L22" s="460">
        <f>VLOOKUP(A21,[15]進出口值表查詢結果!$A$3:$E$19,4,0)</f>
        <v>11533</v>
      </c>
      <c r="M22" s="460">
        <f>VLOOKUP(A21,[15]進出口值表查詢結果!$A$3:$E$19,3,0)</f>
        <v>1534406</v>
      </c>
    </row>
    <row r="23" spans="1:13">
      <c r="A23" s="325">
        <v>87149310007</v>
      </c>
      <c r="B23" s="464"/>
      <c r="C23" s="465"/>
      <c r="D23" s="461"/>
      <c r="E23" s="463"/>
      <c r="F23" s="465"/>
      <c r="G23" s="461"/>
      <c r="H23" s="463"/>
      <c r="I23" s="462"/>
      <c r="J23" s="461"/>
      <c r="K23" s="463"/>
      <c r="L23" s="462"/>
      <c r="M23" s="461"/>
    </row>
    <row r="24" spans="1:13">
      <c r="A24" s="322" t="s">
        <v>71</v>
      </c>
      <c r="B24" s="312"/>
      <c r="C24" s="460">
        <f>VLOOKUP(A23,[12]進出口值表查詢結果!$A$3:$E$19,4,0)</f>
        <v>42294</v>
      </c>
      <c r="D24" s="460">
        <f>VLOOKUP(A23,[12]進出口值表查詢結果!$A$3:$E$19,3,0)</f>
        <v>4221177</v>
      </c>
      <c r="F24" s="460">
        <f>VLOOKUP(A23,[13]進出口值表查詢結果!$A$4:$E$20,4,0)</f>
        <v>81683</v>
      </c>
      <c r="G24" s="460">
        <f>VLOOKUP(A23,[13]進出口值表查詢結果!$A$4:$E$20,3,0)</f>
        <v>7740548</v>
      </c>
      <c r="I24" s="460">
        <f>VLOOKUP(A23,[14]進出口值表查詢結果!$A$3:$E$19,4,0)</f>
        <v>38900</v>
      </c>
      <c r="J24" s="460">
        <f>VLOOKUP(A23,[14]進出口值表查詢結果!$A$3:$E$19,3,0)</f>
        <v>1772399</v>
      </c>
      <c r="L24" s="460">
        <f>VLOOKUP(A23,[15]進出口值表查詢結果!$A$3:$E$19,4,0)</f>
        <v>87303</v>
      </c>
      <c r="M24" s="460">
        <f>VLOOKUP(A23,[15]進出口值表查詢結果!$A$3:$E$19,3,0)</f>
        <v>3999869</v>
      </c>
    </row>
    <row r="25" spans="1:13">
      <c r="A25" s="322" t="s">
        <v>72</v>
      </c>
      <c r="B25" s="312"/>
      <c r="C25" s="460"/>
      <c r="D25" s="459"/>
      <c r="F25" s="460"/>
      <c r="G25" s="459"/>
      <c r="I25" s="460"/>
      <c r="J25" s="459"/>
      <c r="L25" s="460"/>
      <c r="M25" s="459"/>
    </row>
    <row r="26" spans="1:13">
      <c r="A26" s="322" t="s">
        <v>73</v>
      </c>
      <c r="B26" s="312"/>
      <c r="C26" s="460"/>
      <c r="D26" s="459"/>
      <c r="F26" s="460"/>
      <c r="G26" s="459"/>
      <c r="I26" s="460"/>
      <c r="J26" s="459"/>
      <c r="L26" s="460"/>
      <c r="M26" s="459"/>
    </row>
    <row r="27" spans="1:13">
      <c r="A27" s="325">
        <v>87149320103</v>
      </c>
      <c r="B27" s="464"/>
      <c r="C27" s="465"/>
      <c r="D27" s="461"/>
      <c r="E27" s="463"/>
      <c r="F27" s="465"/>
      <c r="G27" s="461"/>
      <c r="H27" s="463"/>
      <c r="I27" s="462"/>
      <c r="J27" s="461"/>
      <c r="K27" s="463"/>
      <c r="L27" s="462"/>
      <c r="M27" s="461"/>
    </row>
    <row r="28" spans="1:13">
      <c r="A28" s="322" t="s">
        <v>405</v>
      </c>
      <c r="B28" s="312"/>
      <c r="C28" s="460">
        <f>VLOOKUP(A27,[12]進出口值表查詢結果!$A$3:$E$19,4,0)</f>
        <v>1048</v>
      </c>
      <c r="D28" s="460">
        <f>VLOOKUP(A27,[12]進出口值表查詢結果!$A$3:$E$19,3,0)</f>
        <v>49373</v>
      </c>
      <c r="F28" s="460">
        <f>VLOOKUP(A27,[13]進出口值表查詢結果!$A$4:$E$20,4,0)</f>
        <v>4477</v>
      </c>
      <c r="G28" s="460">
        <f>VLOOKUP(A27,[13]進出口值表查詢結果!$A$4:$E$20,3,0)</f>
        <v>135599</v>
      </c>
      <c r="I28" s="460">
        <f>VLOOKUP(A27,[14]進出口值表查詢結果!$A$3:$E$19,4,0)</f>
        <v>55</v>
      </c>
      <c r="J28" s="460">
        <f>VLOOKUP(A27,[14]進出口值表查詢結果!$A$3:$E$19,3,0)</f>
        <v>4044</v>
      </c>
      <c r="L28" s="460">
        <f>VLOOKUP(A27,[15]進出口值表查詢結果!$A$3:$E$19,4,0)</f>
        <v>206</v>
      </c>
      <c r="M28" s="460">
        <f>VLOOKUP(A27,[15]進出口值表查詢結果!$A$3:$E$19,3,0)</f>
        <v>7692</v>
      </c>
    </row>
    <row r="29" spans="1:13">
      <c r="A29" s="325">
        <v>87149410006</v>
      </c>
      <c r="B29" s="464"/>
      <c r="C29" s="465"/>
      <c r="D29" s="461"/>
      <c r="E29" s="463"/>
      <c r="F29" s="465"/>
      <c r="G29" s="461"/>
      <c r="H29" s="463"/>
      <c r="I29" s="462"/>
      <c r="J29" s="461"/>
      <c r="K29" s="463"/>
      <c r="L29" s="462"/>
      <c r="M29" s="461"/>
    </row>
    <row r="30" spans="1:13">
      <c r="A30" s="322" t="s">
        <v>74</v>
      </c>
      <c r="B30" s="312"/>
      <c r="C30" s="460">
        <f>VLOOKUP(A29,[12]進出口值表查詢結果!$A$3:$E$19,4,0)</f>
        <v>1756</v>
      </c>
      <c r="D30" s="460">
        <f>VLOOKUP(A29,[12]進出口值表查詢結果!$A$3:$E$19,3,0)</f>
        <v>73512</v>
      </c>
      <c r="F30" s="460">
        <f>VLOOKUP(A29,[13]進出口值表查詢結果!$A$4:$E$20,4,0)</f>
        <v>14553</v>
      </c>
      <c r="G30" s="460">
        <f>VLOOKUP(A29,[13]進出口值表查詢結果!$A$4:$E$20,3,0)</f>
        <v>227269</v>
      </c>
      <c r="I30" s="460">
        <f>VLOOKUP(A29,[14]進出口值表查詢結果!$A$3:$E$19,4,0)</f>
        <v>2053</v>
      </c>
      <c r="J30" s="460">
        <f>VLOOKUP(A29,[14]進出口值表查詢結果!$A$3:$E$19,3,0)</f>
        <v>312239</v>
      </c>
      <c r="L30" s="460">
        <f>VLOOKUP(A29,[15]進出口值表查詢結果!$A$3:$E$19,4,0)</f>
        <v>3197</v>
      </c>
      <c r="M30" s="460">
        <f>VLOOKUP(A29,[15]進出口值表查詢結果!$A$3:$E$19,3,0)</f>
        <v>324352</v>
      </c>
    </row>
    <row r="31" spans="1:13">
      <c r="A31" s="322" t="s">
        <v>75</v>
      </c>
      <c r="B31" s="312"/>
      <c r="C31" s="460"/>
      <c r="D31" s="459"/>
      <c r="F31" s="460"/>
      <c r="G31" s="459"/>
      <c r="I31" s="460"/>
      <c r="J31" s="459"/>
      <c r="L31" s="460"/>
      <c r="M31" s="459"/>
    </row>
    <row r="32" spans="1:13">
      <c r="A32" s="325">
        <v>87149490009</v>
      </c>
      <c r="B32" s="464"/>
      <c r="C32" s="465"/>
      <c r="D32" s="461"/>
      <c r="E32" s="463"/>
      <c r="F32" s="465"/>
      <c r="G32" s="461"/>
      <c r="H32" s="463"/>
      <c r="I32" s="462"/>
      <c r="J32" s="461"/>
      <c r="K32" s="463"/>
      <c r="L32" s="462"/>
      <c r="M32" s="461"/>
    </row>
    <row r="33" spans="1:13">
      <c r="A33" s="322" t="s">
        <v>76</v>
      </c>
      <c r="B33" s="312"/>
      <c r="C33" s="460">
        <f>VLOOKUP(A32,[12]進出口值表查詢結果!$A$3:$E$19,4,0)</f>
        <v>263651</v>
      </c>
      <c r="D33" s="460">
        <f>VLOOKUP(A32,[12]進出口值表查詢結果!$A$3:$E$19,3,0)</f>
        <v>9811437</v>
      </c>
      <c r="F33" s="460">
        <f>VLOOKUP(A32,[13]進出口值表查詢結果!$A$4:$E$20,4,0)</f>
        <v>685991</v>
      </c>
      <c r="G33" s="460">
        <f>VLOOKUP(A32,[13]進出口值表查詢結果!$A$4:$E$20,3,0)</f>
        <v>27478819</v>
      </c>
      <c r="I33" s="460">
        <f>VLOOKUP(A32,[14]進出口值表查詢結果!$A$3:$E$19,4,0)</f>
        <v>91019</v>
      </c>
      <c r="J33" s="460">
        <f>VLOOKUP(A32,[14]進出口值表查詢結果!$A$3:$E$19,3,0)</f>
        <v>5167211</v>
      </c>
      <c r="L33" s="460">
        <f>VLOOKUP(A32,[15]進出口值表查詢結果!$A$3:$E$19,4,0)</f>
        <v>219834</v>
      </c>
      <c r="M33" s="460">
        <f>VLOOKUP(A32,[15]進出口值表查詢結果!$A$3:$E$19,3,0)</f>
        <v>12443558</v>
      </c>
    </row>
    <row r="34" spans="1:13">
      <c r="A34" s="322" t="s">
        <v>77</v>
      </c>
      <c r="B34" s="312"/>
      <c r="C34" s="460"/>
      <c r="D34" s="459"/>
      <c r="F34" s="460"/>
      <c r="G34" s="459"/>
      <c r="I34" s="460"/>
      <c r="J34" s="459"/>
      <c r="L34" s="460"/>
      <c r="M34" s="459"/>
    </row>
    <row r="35" spans="1:13">
      <c r="A35" s="325">
        <v>87149500007</v>
      </c>
      <c r="B35" s="464"/>
      <c r="C35" s="462"/>
      <c r="D35" s="461"/>
      <c r="E35" s="463"/>
      <c r="F35" s="462"/>
      <c r="G35" s="461"/>
      <c r="H35" s="463"/>
      <c r="I35" s="462"/>
      <c r="J35" s="461"/>
      <c r="K35" s="463"/>
      <c r="L35" s="462"/>
      <c r="M35" s="461"/>
    </row>
    <row r="36" spans="1:13">
      <c r="A36" s="322" t="s">
        <v>78</v>
      </c>
      <c r="B36" s="312"/>
      <c r="C36" s="460">
        <f>VLOOKUP(A35,[12]進出口值表查詢結果!$A$3:$E$19,4,0)</f>
        <v>91953</v>
      </c>
      <c r="D36" s="460">
        <f>VLOOKUP(A35,[12]進出口值表查詢結果!$A$3:$E$19,3,0)</f>
        <v>2189992</v>
      </c>
      <c r="F36" s="460">
        <f>VLOOKUP(A35,[13]進出口值表查詢結果!$A$4:$E$20,4,0)</f>
        <v>246800</v>
      </c>
      <c r="G36" s="460">
        <f>VLOOKUP(A35,[13]進出口值表查詢結果!$A$4:$E$20,3,0)</f>
        <v>5231064</v>
      </c>
      <c r="I36" s="460">
        <f>VLOOKUP(A35,[14]進出口值表查詢結果!$A$3:$E$19,4,0)</f>
        <v>40079</v>
      </c>
      <c r="J36" s="460">
        <f>VLOOKUP(A35,[14]進出口值表查詢結果!$A$3:$E$19,3,0)</f>
        <v>578116</v>
      </c>
      <c r="L36" s="460">
        <f>VLOOKUP(A35,[15]進出口值表查詢結果!$A$3:$E$19,4,0)</f>
        <v>90761</v>
      </c>
      <c r="M36" s="460">
        <f>VLOOKUP(A35,[15]進出口值表查詢結果!$A$3:$E$19,3,0)</f>
        <v>1318425</v>
      </c>
    </row>
    <row r="37" spans="1:13">
      <c r="A37" s="325">
        <v>87149610004</v>
      </c>
      <c r="B37" s="464"/>
      <c r="C37" s="462"/>
      <c r="D37" s="461"/>
      <c r="E37" s="463"/>
      <c r="F37" s="462"/>
      <c r="G37" s="461"/>
      <c r="H37" s="463"/>
      <c r="I37" s="462"/>
      <c r="J37" s="461"/>
      <c r="K37" s="463"/>
      <c r="L37" s="462"/>
      <c r="M37" s="461"/>
    </row>
    <row r="38" spans="1:13">
      <c r="A38" s="322" t="s">
        <v>79</v>
      </c>
      <c r="B38" s="312"/>
      <c r="C38" s="460">
        <f>VLOOKUP(A37,[12]進出口值表查詢結果!$A$3:$E$19,4,0)</f>
        <v>87455</v>
      </c>
      <c r="D38" s="460">
        <f>VLOOKUP(A37,[12]進出口值表查詢結果!$A$3:$E$19,3,0)</f>
        <v>2246997</v>
      </c>
      <c r="F38" s="460">
        <f>VLOOKUP(A37,[13]進出口值表查詢結果!$A$4:$E$20,4,0)</f>
        <v>243354</v>
      </c>
      <c r="G38" s="460">
        <f>VLOOKUP(A37,[13]進出口值表查詢結果!$A$4:$E$20,3,0)</f>
        <v>5895916</v>
      </c>
      <c r="I38" s="460">
        <f>VLOOKUP(A37,[14]進出口值表查詢結果!$A$3:$E$19,4,0)</f>
        <v>2730</v>
      </c>
      <c r="J38" s="460">
        <f>VLOOKUP(A37,[14]進出口值表查詢結果!$A$3:$E$19,3,0)</f>
        <v>103525</v>
      </c>
      <c r="L38" s="460">
        <f>VLOOKUP(A37,[15]進出口值表查詢結果!$A$3:$E$19,4,0)</f>
        <v>14611</v>
      </c>
      <c r="M38" s="460">
        <f>VLOOKUP(A37,[15]進出口值表查詢結果!$A$3:$E$19,3,0)</f>
        <v>375783</v>
      </c>
    </row>
    <row r="39" spans="1:13">
      <c r="A39" s="325">
        <v>87149620002</v>
      </c>
      <c r="B39" s="464"/>
      <c r="C39" s="465"/>
      <c r="D39" s="461"/>
      <c r="E39" s="463"/>
      <c r="F39" s="465"/>
      <c r="G39" s="461"/>
      <c r="H39" s="463"/>
      <c r="I39" s="462"/>
      <c r="J39" s="461"/>
      <c r="K39" s="463"/>
      <c r="L39" s="462"/>
      <c r="M39" s="461"/>
    </row>
    <row r="40" spans="1:13">
      <c r="A40" s="322" t="s">
        <v>80</v>
      </c>
      <c r="B40" s="312"/>
      <c r="C40" s="460">
        <f>VLOOKUP(A39,[12]進出口值表查詢結果!$A$3:$E$19,4,0)</f>
        <v>97461</v>
      </c>
      <c r="D40" s="460">
        <f>VLOOKUP(A39,[12]進出口值表查詢結果!$A$3:$E$19,3,0)</f>
        <v>4954926</v>
      </c>
      <c r="F40" s="460">
        <f>VLOOKUP(A39,[13]進出口值表查詢結果!$A$4:$E$20,4,0)</f>
        <v>266066</v>
      </c>
      <c r="G40" s="460">
        <f>VLOOKUP(A39,[13]進出口值表查詢結果!$A$4:$E$20,3,0)</f>
        <v>12270371</v>
      </c>
      <c r="I40" s="460">
        <f>VLOOKUP(A39,[14]進出口值表查詢結果!$A$3:$E$19,4,0)</f>
        <v>61393</v>
      </c>
      <c r="J40" s="460">
        <f>VLOOKUP(A39,[14]進出口值表查詢結果!$A$3:$E$19,3,0)</f>
        <v>1904234</v>
      </c>
      <c r="L40" s="460">
        <f>VLOOKUP(A39,[15]進出口值表查詢結果!$A$3:$E$19,4,0)</f>
        <v>186781</v>
      </c>
      <c r="M40" s="460">
        <f>VLOOKUP(A39,[15]進出口值表查詢結果!$A$3:$E$19,3,0)</f>
        <v>4775602</v>
      </c>
    </row>
    <row r="41" spans="1:13">
      <c r="A41" s="322" t="s">
        <v>75</v>
      </c>
      <c r="B41" s="312"/>
      <c r="C41" s="460"/>
      <c r="D41" s="460"/>
      <c r="F41" s="460"/>
      <c r="G41" s="460"/>
      <c r="I41" s="460"/>
      <c r="J41" s="460"/>
      <c r="L41" s="460"/>
      <c r="M41" s="460"/>
    </row>
    <row r="42" spans="1:13">
      <c r="A42" s="325">
        <v>73151100209</v>
      </c>
      <c r="B42" s="464"/>
      <c r="C42" s="461"/>
      <c r="D42" s="465"/>
      <c r="E42" s="463"/>
      <c r="F42" s="461"/>
      <c r="G42" s="465"/>
      <c r="H42" s="463"/>
      <c r="I42" s="462"/>
      <c r="J42" s="461"/>
      <c r="K42" s="463"/>
      <c r="L42" s="462"/>
      <c r="M42" s="461"/>
    </row>
    <row r="43" spans="1:13">
      <c r="A43" s="322" t="s">
        <v>81</v>
      </c>
      <c r="B43" s="312"/>
      <c r="C43" s="460">
        <v>81268</v>
      </c>
      <c r="D43" s="460">
        <v>1850265</v>
      </c>
      <c r="F43" s="460">
        <v>194217</v>
      </c>
      <c r="G43" s="460">
        <v>4049136</v>
      </c>
      <c r="I43" s="460">
        <v>110374</v>
      </c>
      <c r="J43" s="460">
        <v>1313578</v>
      </c>
      <c r="L43" s="460">
        <v>178480</v>
      </c>
      <c r="M43" s="460">
        <v>2023931</v>
      </c>
    </row>
    <row r="44" spans="1:13">
      <c r="A44" s="322" t="s">
        <v>82</v>
      </c>
      <c r="B44" s="312"/>
      <c r="C44" s="460"/>
      <c r="D44" s="459"/>
      <c r="F44" s="460"/>
      <c r="G44" s="459"/>
      <c r="I44" s="460"/>
      <c r="J44" s="459"/>
      <c r="L44" s="460"/>
      <c r="M44" s="459"/>
    </row>
    <row r="45" spans="1:13">
      <c r="A45" s="325">
        <v>87149990111</v>
      </c>
      <c r="B45" s="464"/>
      <c r="C45" s="465"/>
      <c r="D45" s="461"/>
      <c r="E45" s="463"/>
      <c r="F45" s="465"/>
      <c r="G45" s="461"/>
      <c r="H45" s="463"/>
      <c r="I45" s="462"/>
      <c r="J45" s="461"/>
      <c r="K45" s="463"/>
      <c r="L45" s="462"/>
      <c r="M45" s="461"/>
    </row>
    <row r="46" spans="1:13">
      <c r="A46" s="326" t="s">
        <v>83</v>
      </c>
      <c r="B46" s="314"/>
      <c r="C46" s="460">
        <f>VLOOKUP(A45,[12]進出口值表查詢結果!$A$3:$E$19,4,0)</f>
        <v>71548</v>
      </c>
      <c r="D46" s="460">
        <f>VLOOKUP(A45,[12]進出口值表查詢結果!$A$3:$E$19,3,0)</f>
        <v>4651022</v>
      </c>
      <c r="F46" s="460">
        <f>VLOOKUP(A45,[13]進出口值表查詢結果!$A$4:$E$20,4,0)</f>
        <v>140346</v>
      </c>
      <c r="G46" s="460">
        <f>VLOOKUP(A45,[13]進出口值表查詢結果!$A$4:$E$20,3,0)</f>
        <v>11329128</v>
      </c>
      <c r="I46" s="460">
        <f>VLOOKUP(A45,[14]進出口值表查詢結果!$A$3:$E$19,4,0)</f>
        <v>20830</v>
      </c>
      <c r="J46" s="460">
        <f>VLOOKUP(A45,[14]進出口值表查詢結果!$A$3:$E$19,3,0)</f>
        <v>2255944</v>
      </c>
      <c r="L46" s="460">
        <f>VLOOKUP(A45,[15]進出口值表查詢結果!$A$3:$E$19,4,0)</f>
        <v>38588</v>
      </c>
      <c r="M46" s="460">
        <f>VLOOKUP(A45,[15]進出口值表查詢結果!$A$3:$E$19,3,0)</f>
        <v>3629156</v>
      </c>
    </row>
    <row r="47" spans="1:13">
      <c r="A47" s="322" t="s">
        <v>84</v>
      </c>
      <c r="B47" s="312"/>
      <c r="C47" s="460"/>
      <c r="D47" s="459"/>
      <c r="F47" s="460"/>
      <c r="G47" s="459"/>
      <c r="I47" s="460"/>
      <c r="J47" s="459"/>
      <c r="L47" s="460"/>
      <c r="M47" s="459"/>
    </row>
    <row r="48" spans="1:13">
      <c r="A48" s="325">
        <v>87149320906</v>
      </c>
      <c r="B48" s="464"/>
      <c r="C48" s="465"/>
      <c r="D48" s="461"/>
      <c r="E48" s="463"/>
      <c r="F48" s="465"/>
      <c r="G48" s="461"/>
      <c r="H48" s="463"/>
      <c r="I48" s="462"/>
      <c r="J48" s="461"/>
      <c r="K48" s="463"/>
      <c r="L48" s="462"/>
      <c r="M48" s="461"/>
    </row>
    <row r="49" spans="1:13">
      <c r="A49" s="322" t="s">
        <v>406</v>
      </c>
      <c r="B49" s="312"/>
      <c r="C49" s="460">
        <f>VLOOKUP(A48,[12]進出口值表查詢結果!$A$3:$E$19,4,0)</f>
        <v>109499</v>
      </c>
      <c r="D49" s="460">
        <f>VLOOKUP(A48,[12]進出口值表查詢結果!$A$3:$E$19,3,0)</f>
        <v>3602238</v>
      </c>
      <c r="F49" s="460">
        <f>VLOOKUP(A48,[13]進出口值表查詢結果!$A$4:$E$20,4,0)</f>
        <v>254513</v>
      </c>
      <c r="G49" s="460">
        <f>VLOOKUP(A48,[13]進出口值表查詢結果!$A$4:$E$20,3,0)</f>
        <v>8012021</v>
      </c>
      <c r="I49" s="460">
        <f>VLOOKUP(A48,[14]進出口值表查詢結果!$A$3:$E$19,4,0)</f>
        <v>26739</v>
      </c>
      <c r="J49" s="460">
        <f>VLOOKUP(A48,[14]進出口值表查詢結果!$A$3:$E$19,3,0)</f>
        <v>1173102</v>
      </c>
      <c r="L49" s="460">
        <f>VLOOKUP(A48,[15]進出口值表查詢結果!$A$3:$E$19,4,0)</f>
        <v>48317</v>
      </c>
      <c r="M49" s="460">
        <f>VLOOKUP(A48,[15]進出口值表查詢結果!$A$3:$E$19,3,0)</f>
        <v>1990760</v>
      </c>
    </row>
    <row r="50" spans="1:13">
      <c r="A50" s="325">
        <v>87149990139</v>
      </c>
      <c r="B50" s="464"/>
      <c r="C50" s="465"/>
      <c r="D50" s="461"/>
      <c r="E50" s="463"/>
      <c r="F50" s="465"/>
      <c r="G50" s="461"/>
      <c r="H50" s="463"/>
      <c r="I50" s="462"/>
      <c r="J50" s="461"/>
      <c r="K50" s="463"/>
      <c r="L50" s="462"/>
      <c r="M50" s="461"/>
    </row>
    <row r="51" spans="1:13">
      <c r="A51" s="322" t="s">
        <v>85</v>
      </c>
      <c r="B51" s="312"/>
      <c r="C51" s="460">
        <f>VLOOKUP(A50,[12]進出口值表查詢結果!$A$3:$E$19,4,0)</f>
        <v>4172</v>
      </c>
      <c r="D51" s="460">
        <f>VLOOKUP(A50,[12]進出口值表查詢結果!$A$3:$E$19,3,0)</f>
        <v>151845</v>
      </c>
      <c r="F51" s="460">
        <f>VLOOKUP(A50,[13]進出口值表查詢結果!$A$4:$E$20,4,0)</f>
        <v>15442</v>
      </c>
      <c r="G51" s="460">
        <f>VLOOKUP(A50,[13]進出口值表查詢結果!$A$4:$E$20,3,0)</f>
        <v>312867</v>
      </c>
      <c r="I51" s="460">
        <f>VLOOKUP(A50,[14]進出口值表查詢結果!$A$3:$E$19,4,0)</f>
        <v>486</v>
      </c>
      <c r="J51" s="460">
        <f>VLOOKUP(A50,[14]進出口值表查詢結果!$A$3:$E$19,3,0)</f>
        <v>35673</v>
      </c>
      <c r="L51" s="460">
        <f>VLOOKUP(A50,[15]進出口值表查詢結果!$A$3:$E$19,4,0)</f>
        <v>2839</v>
      </c>
      <c r="M51" s="460">
        <f>VLOOKUP(A50,[15]進出口值表查詢結果!$A$3:$E$19,3,0)</f>
        <v>76112</v>
      </c>
    </row>
    <row r="52" spans="1:13">
      <c r="A52" s="325">
        <v>87149990148</v>
      </c>
      <c r="B52" s="464"/>
      <c r="C52" s="465"/>
      <c r="D52" s="461"/>
      <c r="E52" s="463"/>
      <c r="F52" s="465"/>
      <c r="G52" s="461"/>
      <c r="H52" s="463"/>
      <c r="I52" s="462"/>
      <c r="J52" s="461"/>
      <c r="K52" s="463"/>
      <c r="L52" s="462"/>
      <c r="M52" s="461"/>
    </row>
    <row r="53" spans="1:13">
      <c r="A53" s="327" t="s">
        <v>86</v>
      </c>
      <c r="B53" s="467"/>
      <c r="C53" s="460">
        <f>VLOOKUP(A52,[12]進出口值表查詢結果!$A$3:$E$19,4,0)</f>
        <v>39513</v>
      </c>
      <c r="D53" s="460">
        <f>VLOOKUP(A52,[12]進出口值表查詢結果!$A$3:$E$19,3,0)</f>
        <v>1478156</v>
      </c>
      <c r="F53" s="460">
        <f>VLOOKUP(A52,[13]進出口值表查詢結果!$A$4:$E$20,4,0)</f>
        <v>96101</v>
      </c>
      <c r="G53" s="460">
        <f>VLOOKUP(A52,[13]進出口值表查詢結果!$A$4:$E$20,3,0)</f>
        <v>3347422</v>
      </c>
      <c r="I53" s="460">
        <f>VLOOKUP(A52,[14]進出口值表查詢結果!$A$3:$E$19,4,0)</f>
        <v>5367</v>
      </c>
      <c r="J53" s="460">
        <f>VLOOKUP(A52,[14]進出口值表查詢結果!$A$3:$E$19,3,0)</f>
        <v>271761</v>
      </c>
      <c r="L53" s="460">
        <f>VLOOKUP(A52,[15]進出口值表查詢結果!$A$3:$E$19,4,0)</f>
        <v>22622</v>
      </c>
      <c r="M53" s="460">
        <f>VLOOKUP(A52,[15]進出口值表查詢結果!$A$3:$E$19,3,0)</f>
        <v>820274</v>
      </c>
    </row>
    <row r="54" spans="1:13">
      <c r="A54" s="322" t="s">
        <v>87</v>
      </c>
      <c r="B54" s="312"/>
      <c r="C54" s="460"/>
      <c r="D54" s="459"/>
      <c r="F54" s="460"/>
      <c r="G54" s="459"/>
      <c r="I54" s="460"/>
      <c r="J54" s="466"/>
      <c r="L54" s="460"/>
      <c r="M54" s="459"/>
    </row>
    <row r="55" spans="1:13">
      <c r="A55" s="325">
        <v>87149990157</v>
      </c>
      <c r="B55" s="464"/>
      <c r="C55" s="465"/>
      <c r="D55" s="461"/>
      <c r="E55" s="463"/>
      <c r="F55" s="465"/>
      <c r="G55" s="461"/>
      <c r="H55" s="463"/>
      <c r="I55" s="462"/>
      <c r="J55" s="461"/>
      <c r="K55" s="463"/>
      <c r="L55" s="462"/>
      <c r="M55" s="461"/>
    </row>
    <row r="56" spans="1:13">
      <c r="A56" s="322" t="s">
        <v>88</v>
      </c>
      <c r="B56" s="312"/>
      <c r="C56" s="460">
        <f>VLOOKUP(A55,[12]進出口值表查詢結果!$A$3:$E$19,4,0)</f>
        <v>67590</v>
      </c>
      <c r="D56" s="460">
        <f>VLOOKUP(A55,[12]進出口值表查詢結果!$A$3:$E$19,3,0)</f>
        <v>3207416</v>
      </c>
      <c r="F56" s="460">
        <f>VLOOKUP(A55,[13]進出口值表查詢結果!$A$4:$E$20,4,0)</f>
        <v>176588</v>
      </c>
      <c r="G56" s="460">
        <f>VLOOKUP(A55,[13]進出口值表查詢結果!$A$4:$E$20,3,0)</f>
        <v>7944572</v>
      </c>
      <c r="I56" s="460">
        <f>VLOOKUP(A55,[14]進出口值表查詢結果!$A$3:$E$19,4,0)</f>
        <v>16406</v>
      </c>
      <c r="J56" s="460">
        <f>VLOOKUP(A55,[14]進出口值表查詢結果!$A$3:$E$19,3,0)</f>
        <v>514542</v>
      </c>
      <c r="L56" s="460">
        <f>VLOOKUP(A55,[15]進出口值表查詢結果!$A$3:$E$19,4,0)</f>
        <v>44645</v>
      </c>
      <c r="M56" s="460">
        <f>VLOOKUP(A55,[15]進出口值表查詢結果!$A$3:$E$19,3,0)</f>
        <v>1611769</v>
      </c>
    </row>
    <row r="57" spans="1:13">
      <c r="A57" s="322" t="s">
        <v>89</v>
      </c>
      <c r="B57" s="312"/>
      <c r="C57" s="460"/>
      <c r="D57" s="459"/>
      <c r="F57" s="460"/>
      <c r="G57" s="459"/>
      <c r="I57" s="460"/>
      <c r="J57" s="460"/>
      <c r="L57" s="460"/>
      <c r="M57" s="459"/>
    </row>
    <row r="58" spans="1:13">
      <c r="A58" s="325">
        <v>87149990166</v>
      </c>
      <c r="B58" s="464"/>
      <c r="C58" s="465"/>
      <c r="D58" s="461"/>
      <c r="E58" s="463"/>
      <c r="F58" s="465"/>
      <c r="G58" s="461"/>
      <c r="H58" s="463"/>
      <c r="I58" s="462"/>
      <c r="J58" s="462"/>
      <c r="K58" s="463"/>
      <c r="L58" s="462"/>
      <c r="M58" s="461"/>
    </row>
    <row r="59" spans="1:13">
      <c r="A59" s="322" t="s">
        <v>86</v>
      </c>
      <c r="B59" s="312"/>
      <c r="C59" s="460">
        <f>VLOOKUP(A58,[12]進出口值表查詢結果!$A$3:$E$19,4,0)</f>
        <v>70150</v>
      </c>
      <c r="D59" s="460">
        <f>VLOOKUP(A58,[12]進出口值表查詢結果!$A$3:$E$19,3,0)</f>
        <v>3119813</v>
      </c>
      <c r="F59" s="460">
        <f>VLOOKUP(A58,[13]進出口值表查詢結果!$A$4:$E$20,4,0)</f>
        <v>183797</v>
      </c>
      <c r="G59" s="460">
        <f>VLOOKUP(A58,[13]進出口值表查詢結果!$A$4:$E$20,3,0)</f>
        <v>6209659</v>
      </c>
      <c r="I59" s="460">
        <f>VLOOKUP(A58,[14]進出口值表查詢結果!$A$3:$E$19,4,0)</f>
        <v>21086</v>
      </c>
      <c r="J59" s="460">
        <f>VLOOKUP(A58,[14]進出口值表查詢結果!$A$3:$E$19,3,0)</f>
        <v>1325013</v>
      </c>
      <c r="L59" s="460">
        <f>VLOOKUP(A58,[15]進出口值表查詢結果!$A$3:$E$19,4,0)</f>
        <v>47576</v>
      </c>
      <c r="M59" s="460">
        <f>VLOOKUP(A58,[15]進出口值表查詢結果!$A$3:$E$19,3,0)</f>
        <v>3003777</v>
      </c>
    </row>
    <row r="60" spans="1:13">
      <c r="A60" s="325">
        <v>40115000008</v>
      </c>
      <c r="B60" s="464"/>
      <c r="C60" s="462"/>
      <c r="D60" s="462"/>
      <c r="E60" s="463"/>
      <c r="F60" s="462"/>
      <c r="G60" s="462"/>
      <c r="H60" s="463"/>
      <c r="I60" s="462"/>
      <c r="J60" s="462"/>
      <c r="K60" s="463"/>
      <c r="L60" s="462"/>
      <c r="M60" s="461"/>
    </row>
    <row r="61" spans="1:13">
      <c r="A61" s="322" t="s">
        <v>90</v>
      </c>
      <c r="B61" s="312"/>
      <c r="C61" s="460">
        <v>317073</v>
      </c>
      <c r="D61" s="460">
        <v>4544365</v>
      </c>
      <c r="F61" s="460">
        <v>548474</v>
      </c>
      <c r="G61" s="460">
        <v>8157739</v>
      </c>
      <c r="I61" s="460">
        <v>126183</v>
      </c>
      <c r="J61" s="460">
        <v>1590674</v>
      </c>
      <c r="L61" s="460">
        <v>253008</v>
      </c>
      <c r="M61" s="460">
        <v>2604774</v>
      </c>
    </row>
    <row r="62" spans="1:13">
      <c r="A62" s="322" t="s">
        <v>91</v>
      </c>
      <c r="B62" s="312" t="s">
        <v>64</v>
      </c>
      <c r="C62" s="460">
        <v>445078</v>
      </c>
      <c r="D62" s="459" t="s">
        <v>67</v>
      </c>
      <c r="E62" s="13" t="s">
        <v>64</v>
      </c>
      <c r="F62" s="460">
        <v>771282</v>
      </c>
      <c r="G62" s="459" t="s">
        <v>67</v>
      </c>
      <c r="H62" s="13" t="s">
        <v>64</v>
      </c>
      <c r="I62" s="460">
        <v>198290</v>
      </c>
      <c r="J62" s="549" t="s">
        <v>67</v>
      </c>
      <c r="K62" s="315" t="s">
        <v>64</v>
      </c>
      <c r="L62" s="460">
        <v>371085</v>
      </c>
      <c r="M62" s="549" t="s">
        <v>67</v>
      </c>
    </row>
    <row r="63" spans="1:13">
      <c r="A63" s="325">
        <v>40132000003</v>
      </c>
      <c r="B63" s="464"/>
      <c r="C63" s="462"/>
      <c r="D63" s="462"/>
      <c r="E63" s="463"/>
      <c r="F63" s="462"/>
      <c r="G63" s="462"/>
      <c r="H63" s="463"/>
      <c r="I63" s="462"/>
      <c r="J63" s="462"/>
      <c r="K63" s="463"/>
      <c r="L63" s="462"/>
      <c r="M63" s="461"/>
    </row>
    <row r="64" spans="1:13">
      <c r="A64" s="322" t="s">
        <v>92</v>
      </c>
      <c r="B64" s="312"/>
      <c r="C64" s="460">
        <v>33482</v>
      </c>
      <c r="D64" s="460">
        <v>374191</v>
      </c>
      <c r="F64" s="460">
        <v>104058</v>
      </c>
      <c r="G64" s="460">
        <v>1014506</v>
      </c>
      <c r="I64" s="460">
        <v>28413</v>
      </c>
      <c r="J64" s="460">
        <v>234685</v>
      </c>
      <c r="L64" s="460">
        <v>48463</v>
      </c>
      <c r="M64" s="460">
        <v>368779</v>
      </c>
    </row>
    <row r="65" spans="1:13">
      <c r="A65" s="322" t="s">
        <v>93</v>
      </c>
      <c r="B65" s="312" t="s">
        <v>64</v>
      </c>
      <c r="C65" s="460">
        <v>197126</v>
      </c>
      <c r="D65" s="459" t="s">
        <v>67</v>
      </c>
      <c r="E65" s="13" t="s">
        <v>64</v>
      </c>
      <c r="F65" s="460">
        <v>574367</v>
      </c>
      <c r="G65" s="459" t="s">
        <v>67</v>
      </c>
      <c r="H65" s="13" t="s">
        <v>64</v>
      </c>
      <c r="I65" s="460">
        <v>178515</v>
      </c>
      <c r="J65" s="549" t="s">
        <v>67</v>
      </c>
      <c r="K65" s="315" t="s">
        <v>64</v>
      </c>
      <c r="L65" s="460">
        <v>296903</v>
      </c>
      <c r="M65" s="549" t="s">
        <v>67</v>
      </c>
    </row>
    <row r="66" spans="1:13">
      <c r="A66" s="322"/>
      <c r="B66" s="312"/>
      <c r="D66" s="323"/>
      <c r="G66" s="323"/>
      <c r="J66" s="550"/>
      <c r="M66" s="550"/>
    </row>
    <row r="67" spans="1:13">
      <c r="A67" s="316" t="s">
        <v>94</v>
      </c>
      <c r="B67" s="328"/>
      <c r="C67" s="329">
        <f>SUM(C6:C66)-C65-C62-C20-C17-C11-C8-C14</f>
        <v>2055933</v>
      </c>
      <c r="D67" s="330">
        <f>SUM(D6:D66)</f>
        <v>92017975</v>
      </c>
      <c r="E67" s="329"/>
      <c r="F67" s="329">
        <f>SUM(F6:F66)-F65-F62-F20-F17-F11-F8-F14</f>
        <v>4926073</v>
      </c>
      <c r="G67" s="330">
        <f>SUM(G6:G66)</f>
        <v>208891390</v>
      </c>
      <c r="H67" s="329"/>
      <c r="I67" s="329">
        <f>SUM(I6:I66)-I65-I62-I20-I17-I11-I8</f>
        <v>864528</v>
      </c>
      <c r="J67" s="551">
        <f>SUM(J6:J66)</f>
        <v>39678975</v>
      </c>
      <c r="K67" s="329"/>
      <c r="L67" s="329">
        <f>SUM(L6:L66)-L65-L62-L20-L17-L11-L8</f>
        <v>1986207</v>
      </c>
      <c r="M67" s="551">
        <f>SUM(M6:M66)</f>
        <v>92847073</v>
      </c>
    </row>
    <row r="68" spans="1:13" ht="4.5" customHeight="1">
      <c r="G68" s="5"/>
    </row>
    <row r="69" spans="1:13">
      <c r="A69" s="54" t="s">
        <v>467</v>
      </c>
      <c r="B69" s="54"/>
      <c r="F69" s="571"/>
      <c r="G69" s="571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5" customWidth="1"/>
    <col min="3" max="3" width="15.875" customWidth="1"/>
    <col min="4" max="4" width="15.75" style="358" customWidth="1"/>
    <col min="5" max="5" width="16.75" style="315" customWidth="1"/>
    <col min="6" max="6" width="17.625" customWidth="1"/>
    <col min="7" max="7" width="14.875" style="358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2" customFormat="1" ht="21">
      <c r="A1" s="331" t="s">
        <v>513</v>
      </c>
      <c r="B1" s="332"/>
      <c r="C1" s="333"/>
      <c r="D1" s="334"/>
      <c r="E1" s="332"/>
      <c r="F1" s="333"/>
      <c r="G1" s="334"/>
    </row>
    <row r="2" spans="1:7" s="312" customFormat="1">
      <c r="B2" s="313"/>
      <c r="C2" s="335"/>
      <c r="D2" s="336"/>
      <c r="E2" s="313"/>
      <c r="F2" s="335"/>
      <c r="G2" s="336"/>
    </row>
    <row r="3" spans="1:7" s="312" customFormat="1">
      <c r="A3" s="314"/>
      <c r="B3" s="313"/>
      <c r="C3" s="335"/>
      <c r="D3" s="336"/>
      <c r="E3" s="313"/>
      <c r="F3" s="335"/>
      <c r="G3" s="336"/>
    </row>
    <row r="4" spans="1:7">
      <c r="A4" s="42" t="s">
        <v>95</v>
      </c>
      <c r="B4" s="516" t="s">
        <v>459</v>
      </c>
      <c r="C4" s="566" t="s">
        <v>516</v>
      </c>
      <c r="D4" s="337" t="s">
        <v>35</v>
      </c>
      <c r="E4" s="72" t="s">
        <v>459</v>
      </c>
      <c r="F4" s="566" t="s">
        <v>516</v>
      </c>
      <c r="G4" s="201" t="s">
        <v>35</v>
      </c>
    </row>
    <row r="5" spans="1:7" s="312" customFormat="1" ht="18" customHeight="1">
      <c r="A5" s="46"/>
      <c r="B5" s="76" t="s">
        <v>96</v>
      </c>
      <c r="C5" s="562" t="s">
        <v>96</v>
      </c>
      <c r="D5" s="202" t="s">
        <v>1</v>
      </c>
      <c r="E5" s="76" t="s">
        <v>32</v>
      </c>
      <c r="F5" s="562" t="s">
        <v>32</v>
      </c>
      <c r="G5" s="202" t="s">
        <v>1</v>
      </c>
    </row>
    <row r="6" spans="1:7">
      <c r="A6" s="338">
        <v>85121010001</v>
      </c>
      <c r="B6" s="339"/>
      <c r="C6" s="340"/>
      <c r="D6" s="341"/>
      <c r="E6" s="339"/>
      <c r="F6" s="340"/>
      <c r="G6" s="342"/>
    </row>
    <row r="7" spans="1:7">
      <c r="A7" s="322" t="s">
        <v>62</v>
      </c>
      <c r="B7" s="343">
        <f>零件!F7</f>
        <v>20310</v>
      </c>
      <c r="C7" s="344">
        <v>16805</v>
      </c>
      <c r="D7" s="504">
        <f>(B7-C7)/C7</f>
        <v>0.20856887831002677</v>
      </c>
      <c r="E7" s="343">
        <f>零件!G7</f>
        <v>2200399</v>
      </c>
      <c r="F7" s="344">
        <v>1825427</v>
      </c>
      <c r="G7" s="504">
        <f>(E7-F7)/F7</f>
        <v>0.20541604786167839</v>
      </c>
    </row>
    <row r="8" spans="1:7">
      <c r="A8" s="322" t="s">
        <v>63</v>
      </c>
      <c r="B8" s="343"/>
      <c r="C8" s="345"/>
      <c r="D8" s="346"/>
      <c r="E8" s="347"/>
      <c r="F8" s="344"/>
      <c r="G8" s="347"/>
    </row>
    <row r="9" spans="1:7">
      <c r="A9" s="324">
        <v>85121020009</v>
      </c>
      <c r="B9" s="348"/>
      <c r="C9" s="567"/>
      <c r="D9" s="349"/>
      <c r="E9" s="348"/>
      <c r="F9" s="568"/>
      <c r="G9" s="348"/>
    </row>
    <row r="10" spans="1:7">
      <c r="A10" s="322" t="s">
        <v>65</v>
      </c>
      <c r="B10" s="343">
        <f>零件!F10</f>
        <v>5747</v>
      </c>
      <c r="C10" s="344">
        <v>6625</v>
      </c>
      <c r="D10" s="505">
        <f>(B10-C10)/C10</f>
        <v>-0.13252830188679246</v>
      </c>
      <c r="E10" s="343">
        <f>零件!G10</f>
        <v>854266</v>
      </c>
      <c r="F10" s="344">
        <v>1108725</v>
      </c>
      <c r="G10" s="505">
        <f>(E10-F10)/F10</f>
        <v>-0.22950596405781415</v>
      </c>
    </row>
    <row r="11" spans="1:7">
      <c r="A11" s="322" t="s">
        <v>66</v>
      </c>
      <c r="B11" s="343"/>
      <c r="C11" s="345"/>
      <c r="D11" s="350"/>
      <c r="E11" s="347"/>
      <c r="F11" s="344"/>
      <c r="G11" s="347"/>
    </row>
    <row r="12" spans="1:7">
      <c r="A12" s="325">
        <v>87149120007</v>
      </c>
      <c r="B12" s="348"/>
      <c r="C12" s="351"/>
      <c r="D12" s="352"/>
      <c r="E12" s="353"/>
      <c r="F12" s="354"/>
      <c r="G12" s="353"/>
    </row>
    <row r="13" spans="1:7">
      <c r="A13" s="322" t="s">
        <v>68</v>
      </c>
      <c r="B13" s="343">
        <f>零件!F13</f>
        <v>1224572</v>
      </c>
      <c r="C13" s="344">
        <f>VLOOKUP(A12,[17]進出口值表查詢結果!$A$3:$D$19,4,0)</f>
        <v>1203577</v>
      </c>
      <c r="D13" s="504">
        <f>(B13-C13)/C13</f>
        <v>1.7443836165031402E-2</v>
      </c>
      <c r="E13" s="343">
        <f>零件!G13</f>
        <v>73595324</v>
      </c>
      <c r="F13" s="344">
        <f>VLOOKUP(A12,[17]進出口值表查詢結果!$A$3:$D$19,3,0)</f>
        <v>78156228</v>
      </c>
      <c r="G13" s="505">
        <f>(E13-F13)/F13</f>
        <v>-5.8356245135064606E-2</v>
      </c>
    </row>
    <row r="14" spans="1:7">
      <c r="A14" s="322" t="s">
        <v>69</v>
      </c>
      <c r="B14" s="350"/>
      <c r="C14" s="345"/>
      <c r="D14" s="343"/>
      <c r="E14" s="347"/>
      <c r="F14" s="344"/>
      <c r="G14" s="347"/>
    </row>
    <row r="15" spans="1:7">
      <c r="A15" s="325">
        <v>87149200108</v>
      </c>
      <c r="B15" s="348"/>
      <c r="C15" s="351"/>
      <c r="D15" s="352"/>
      <c r="E15" s="353"/>
      <c r="F15" s="354"/>
      <c r="G15" s="353"/>
    </row>
    <row r="16" spans="1:7">
      <c r="A16" s="322" t="s">
        <v>70</v>
      </c>
      <c r="B16" s="343">
        <f>零件!F16</f>
        <v>180618</v>
      </c>
      <c r="C16" s="344">
        <f>VLOOKUP(A15,[17]進出口值表查詢結果!$A$3:$D$19,4,0)</f>
        <v>200225</v>
      </c>
      <c r="D16" s="505">
        <f>(B16-C16)/C16</f>
        <v>-9.7924834561118737E-2</v>
      </c>
      <c r="E16" s="343">
        <f>零件!G16</f>
        <v>5870671</v>
      </c>
      <c r="F16" s="344">
        <f>VLOOKUP(A15,[17]進出口值表查詢結果!$A$3:$D$19,3,0)</f>
        <v>5683522</v>
      </c>
      <c r="G16" s="504">
        <f>(E16-F16)/F16</f>
        <v>3.2928349709915788E-2</v>
      </c>
    </row>
    <row r="17" spans="1:7">
      <c r="A17" s="322"/>
      <c r="B17" s="343"/>
      <c r="C17" s="345"/>
      <c r="D17" s="343"/>
      <c r="E17" s="347"/>
      <c r="F17" s="344"/>
      <c r="G17" s="347"/>
    </row>
    <row r="18" spans="1:7">
      <c r="A18" s="325">
        <v>87149200206</v>
      </c>
      <c r="B18" s="348"/>
      <c r="C18" s="351"/>
      <c r="D18" s="352"/>
      <c r="E18" s="353"/>
      <c r="F18" s="354"/>
      <c r="G18" s="353"/>
    </row>
    <row r="19" spans="1:7">
      <c r="A19" s="322" t="s">
        <v>55</v>
      </c>
      <c r="B19" s="343">
        <f>零件!F19</f>
        <v>136376</v>
      </c>
      <c r="C19" s="344">
        <f>VLOOKUP(A18,[17]進出口值表查詢結果!$A$3:$D$19,4,0)</f>
        <v>135757</v>
      </c>
      <c r="D19" s="505">
        <f>(B19-C19)/C19</f>
        <v>4.5596175519494395E-3</v>
      </c>
      <c r="E19" s="343">
        <f>零件!G19</f>
        <v>1804249</v>
      </c>
      <c r="F19" s="344">
        <f>VLOOKUP(A18,[17]進出口值表查詢結果!$A$3:$D$19,3,0)</f>
        <v>1732197</v>
      </c>
      <c r="G19" s="505">
        <f>(E19-F19)/F19</f>
        <v>4.1595730739632963E-2</v>
      </c>
    </row>
    <row r="20" spans="1:7">
      <c r="A20" s="322"/>
      <c r="B20" s="343"/>
      <c r="C20" s="345"/>
      <c r="D20" s="343"/>
      <c r="E20" s="347"/>
      <c r="F20" s="344"/>
      <c r="G20" s="347"/>
    </row>
    <row r="21" spans="1:7">
      <c r="A21" s="325">
        <v>87149200304</v>
      </c>
      <c r="B21" s="348"/>
      <c r="C21" s="351"/>
      <c r="D21" s="352"/>
      <c r="E21" s="353"/>
      <c r="F21" s="354"/>
      <c r="G21" s="353"/>
    </row>
    <row r="22" spans="1:7">
      <c r="A22" s="322" t="s">
        <v>56</v>
      </c>
      <c r="B22" s="343">
        <f>零件!F22</f>
        <v>101990</v>
      </c>
      <c r="C22" s="344">
        <f>VLOOKUP(A21,[17]進出口值表查詢結果!$A$3:$D$19,4,0)</f>
        <v>82328</v>
      </c>
      <c r="D22" s="504">
        <f>(B22-C22)/C22</f>
        <v>0.23882518705665146</v>
      </c>
      <c r="E22" s="343">
        <f>零件!G22</f>
        <v>15209845</v>
      </c>
      <c r="F22" s="344">
        <f>VLOOKUP(A21,[17]進出口值表查詢結果!$A$3:$D$19,3,0)</f>
        <v>9433688</v>
      </c>
      <c r="G22" s="505">
        <f>(E22-F22)/F22</f>
        <v>0.61229044250774456</v>
      </c>
    </row>
    <row r="23" spans="1:7">
      <c r="A23" s="325">
        <v>87149310007</v>
      </c>
      <c r="B23" s="348"/>
      <c r="C23" s="351"/>
      <c r="D23" s="352"/>
      <c r="E23" s="353"/>
      <c r="F23" s="354"/>
      <c r="G23" s="353"/>
    </row>
    <row r="24" spans="1:7">
      <c r="A24" s="322" t="s">
        <v>71</v>
      </c>
      <c r="B24" s="343">
        <f>零件!F24</f>
        <v>81683</v>
      </c>
      <c r="C24" s="344">
        <f>VLOOKUP(A23,[17]進出口值表查詢結果!$A$3:$D$19,4,0)</f>
        <v>113265</v>
      </c>
      <c r="D24" s="505">
        <f>(B24-C24)/C24</f>
        <v>-0.27883282567430362</v>
      </c>
      <c r="E24" s="343">
        <f>零件!G24</f>
        <v>7740548</v>
      </c>
      <c r="F24" s="344">
        <f>VLOOKUP(A23,[17]進出口值表查詢結果!$A$3:$D$19,3,0)</f>
        <v>6052969</v>
      </c>
      <c r="G24" s="505">
        <f>(E24-F24)/F24</f>
        <v>0.27880185740254082</v>
      </c>
    </row>
    <row r="25" spans="1:7">
      <c r="A25" s="322" t="s">
        <v>97</v>
      </c>
      <c r="B25" s="343"/>
      <c r="C25" s="345"/>
      <c r="D25" s="343"/>
      <c r="E25" s="347"/>
      <c r="F25" s="344"/>
      <c r="G25" s="347"/>
    </row>
    <row r="26" spans="1:7">
      <c r="A26" s="325">
        <v>87149320103</v>
      </c>
      <c r="B26" s="348"/>
      <c r="C26" s="351"/>
      <c r="D26" s="352"/>
      <c r="E26" s="353"/>
      <c r="F26" s="354"/>
      <c r="G26" s="353"/>
    </row>
    <row r="27" spans="1:7">
      <c r="A27" s="322" t="s">
        <v>405</v>
      </c>
      <c r="B27" s="343">
        <f>零件!F28</f>
        <v>4477</v>
      </c>
      <c r="C27" s="344">
        <f>VLOOKUP(A26,[17]進出口值表查詢結果!$A$3:$D$19,4,0)</f>
        <v>2183</v>
      </c>
      <c r="D27" s="505">
        <f>(B27-C27)/C27</f>
        <v>1.0508474576271187</v>
      </c>
      <c r="E27" s="343">
        <f>零件!G28</f>
        <v>135599</v>
      </c>
      <c r="F27" s="344">
        <f>VLOOKUP(A26,[17]進出口值表查詢結果!$A$3:$D$19,3,0)</f>
        <v>85774</v>
      </c>
      <c r="G27" s="505">
        <f>(E27-F27)/F27</f>
        <v>0.58088698206915845</v>
      </c>
    </row>
    <row r="28" spans="1:7">
      <c r="A28" s="325">
        <v>87149410006</v>
      </c>
      <c r="B28" s="348"/>
      <c r="C28" s="351"/>
      <c r="D28" s="352"/>
      <c r="E28" s="353"/>
      <c r="F28" s="354"/>
      <c r="G28" s="353"/>
    </row>
    <row r="29" spans="1:7">
      <c r="A29" s="322" t="s">
        <v>74</v>
      </c>
      <c r="B29" s="343">
        <f>零件!F30</f>
        <v>14553</v>
      </c>
      <c r="C29" s="344">
        <f>VLOOKUP(A28,[17]進出口值表查詢結果!$A$3:$D$19,4,0)</f>
        <v>16225</v>
      </c>
      <c r="D29" s="505">
        <f>(B29-C29)/C29</f>
        <v>-0.10305084745762712</v>
      </c>
      <c r="E29" s="343">
        <f>零件!G30</f>
        <v>227269</v>
      </c>
      <c r="F29" s="344">
        <f>VLOOKUP(A28,[17]進出口值表查詢結果!$A$3:$D$19,3,0)</f>
        <v>378622</v>
      </c>
      <c r="G29" s="504">
        <f>(E29-F29)/F29</f>
        <v>-0.39974697719625379</v>
      </c>
    </row>
    <row r="30" spans="1:7">
      <c r="A30" s="322" t="s">
        <v>75</v>
      </c>
      <c r="B30" s="343"/>
      <c r="C30" s="345"/>
      <c r="D30" s="343"/>
      <c r="E30" s="347"/>
      <c r="F30" s="344"/>
      <c r="G30" s="347"/>
    </row>
    <row r="31" spans="1:7">
      <c r="A31" s="325">
        <v>87149490009</v>
      </c>
      <c r="B31" s="348"/>
      <c r="C31" s="351"/>
      <c r="D31" s="352"/>
      <c r="E31" s="353"/>
      <c r="F31" s="354"/>
      <c r="G31" s="353"/>
    </row>
    <row r="32" spans="1:7">
      <c r="A32" s="322" t="s">
        <v>76</v>
      </c>
      <c r="B32" s="343">
        <f>零件!F33</f>
        <v>685991</v>
      </c>
      <c r="C32" s="344">
        <f>VLOOKUP(A31,[17]進出口值表查詢結果!$A$3:$D$19,4,0)</f>
        <v>552137</v>
      </c>
      <c r="D32" s="504">
        <f>(B32-C32)/C32</f>
        <v>0.24242896237709119</v>
      </c>
      <c r="E32" s="343">
        <f>零件!G33</f>
        <v>27478819</v>
      </c>
      <c r="F32" s="344">
        <f>VLOOKUP(A31,[17]進出口值表查詢結果!$A$3:$D$19,3,0)</f>
        <v>24373839</v>
      </c>
      <c r="G32" s="505">
        <f>(E32-F32)/F32</f>
        <v>0.12738986254894027</v>
      </c>
    </row>
    <row r="33" spans="1:7">
      <c r="A33" s="322" t="s">
        <v>77</v>
      </c>
      <c r="B33" s="343"/>
      <c r="C33" s="345"/>
      <c r="D33" s="343"/>
      <c r="E33" s="347"/>
      <c r="F33" s="344"/>
      <c r="G33" s="347"/>
    </row>
    <row r="34" spans="1:7">
      <c r="A34" s="325">
        <v>87149500007</v>
      </c>
      <c r="B34" s="352"/>
      <c r="C34" s="351"/>
      <c r="D34" s="352"/>
      <c r="E34" s="353"/>
      <c r="F34" s="354"/>
      <c r="G34" s="353"/>
    </row>
    <row r="35" spans="1:7">
      <c r="A35" s="322" t="s">
        <v>78</v>
      </c>
      <c r="B35" s="343">
        <f>零件!F36</f>
        <v>246800</v>
      </c>
      <c r="C35" s="344">
        <f>VLOOKUP(A34,[17]進出口值表查詢結果!$A$3:$D$19,4,0)</f>
        <v>175997</v>
      </c>
      <c r="D35" s="505">
        <f>(B35-C35)/C35</f>
        <v>0.40229663005619415</v>
      </c>
      <c r="E35" s="343">
        <f>零件!G36</f>
        <v>5231064</v>
      </c>
      <c r="F35" s="344">
        <f>VLOOKUP(A34,[17]進出口值表查詢結果!$A$3:$D$19,3,0)</f>
        <v>4135351</v>
      </c>
      <c r="G35" s="505">
        <f>(E35-F35)/F35</f>
        <v>0.26496251466925058</v>
      </c>
    </row>
    <row r="36" spans="1:7">
      <c r="A36" s="325">
        <v>87149610004</v>
      </c>
      <c r="B36" s="352"/>
      <c r="C36" s="351"/>
      <c r="D36" s="352"/>
      <c r="E36" s="353"/>
      <c r="F36" s="354"/>
      <c r="G36" s="353"/>
    </row>
    <row r="37" spans="1:7">
      <c r="A37" s="322" t="s">
        <v>79</v>
      </c>
      <c r="B37" s="343">
        <f>零件!F38</f>
        <v>243354</v>
      </c>
      <c r="C37" s="344">
        <f>VLOOKUP(A36,[17]進出口值表查詢結果!$A$3:$D$19,4,0)</f>
        <v>208831</v>
      </c>
      <c r="D37" s="505">
        <f>(B37-C37)/C37</f>
        <v>0.16531549434710363</v>
      </c>
      <c r="E37" s="343">
        <f>零件!G38</f>
        <v>5895916</v>
      </c>
      <c r="F37" s="344">
        <f>VLOOKUP(A36,[17]進出口值表查詢結果!$A$3:$D$19,3,0)</f>
        <v>5495603</v>
      </c>
      <c r="G37" s="505">
        <f>(E37-F37)/F37</f>
        <v>7.2842416018769909E-2</v>
      </c>
    </row>
    <row r="38" spans="1:7">
      <c r="A38" s="325">
        <v>87149620002</v>
      </c>
      <c r="B38" s="348"/>
      <c r="C38" s="351"/>
      <c r="D38" s="352"/>
      <c r="E38" s="353"/>
      <c r="F38" s="354"/>
      <c r="G38" s="353"/>
    </row>
    <row r="39" spans="1:7">
      <c r="A39" s="322" t="s">
        <v>80</v>
      </c>
      <c r="B39" s="343">
        <f>零件!F40</f>
        <v>266066</v>
      </c>
      <c r="C39" s="344">
        <f>VLOOKUP(A38,[17]進出口值表查詢結果!$A$3:$D$19,4,0)</f>
        <v>258839</v>
      </c>
      <c r="D39" s="504">
        <f>(B39-C39)/C39</f>
        <v>2.7920831095777685E-2</v>
      </c>
      <c r="E39" s="343">
        <f>零件!G40</f>
        <v>12270371</v>
      </c>
      <c r="F39" s="344">
        <f>VLOOKUP(A38,[17]進出口值表查詢結果!$A$3:$D$19,3,0)</f>
        <v>12099792</v>
      </c>
      <c r="G39" s="504">
        <f>(E39-F39)/F39</f>
        <v>1.4097680356819357E-2</v>
      </c>
    </row>
    <row r="40" spans="1:7">
      <c r="A40" s="322" t="s">
        <v>75</v>
      </c>
      <c r="B40" s="343"/>
      <c r="C40" s="344"/>
      <c r="D40" s="343"/>
      <c r="E40" s="347"/>
      <c r="F40" s="344"/>
      <c r="G40" s="347"/>
    </row>
    <row r="41" spans="1:7">
      <c r="A41" s="325">
        <v>73151100209</v>
      </c>
      <c r="B41" s="348"/>
      <c r="C41" s="348"/>
      <c r="D41" s="352"/>
      <c r="E41" s="353"/>
      <c r="F41" s="353"/>
      <c r="G41" s="353"/>
    </row>
    <row r="42" spans="1:7">
      <c r="A42" s="322" t="s">
        <v>81</v>
      </c>
      <c r="B42" s="343">
        <f>零件!F43</f>
        <v>194217</v>
      </c>
      <c r="C42" s="344">
        <v>115194</v>
      </c>
      <c r="D42" s="505">
        <f>(B42-C42)/C42</f>
        <v>0.68599927079535394</v>
      </c>
      <c r="E42" s="343">
        <f>零件!G43</f>
        <v>4049136</v>
      </c>
      <c r="F42" s="344">
        <v>2572215</v>
      </c>
      <c r="G42" s="505">
        <f>(E42-F42)/F42</f>
        <v>0.57418256249963551</v>
      </c>
    </row>
    <row r="43" spans="1:7">
      <c r="A43" s="322" t="s">
        <v>82</v>
      </c>
      <c r="B43" s="343"/>
      <c r="C43" s="345"/>
      <c r="D43" s="343"/>
      <c r="E43" s="347"/>
      <c r="F43" s="344"/>
      <c r="G43" s="347"/>
    </row>
    <row r="44" spans="1:7">
      <c r="A44" s="325">
        <v>87149990111</v>
      </c>
      <c r="B44" s="348"/>
      <c r="C44" s="351"/>
      <c r="D44" s="352"/>
      <c r="E44" s="353"/>
      <c r="F44" s="354"/>
      <c r="G44" s="353"/>
    </row>
    <row r="45" spans="1:7">
      <c r="A45" s="326" t="s">
        <v>83</v>
      </c>
      <c r="B45" s="343">
        <f>零件!F46</f>
        <v>140346</v>
      </c>
      <c r="C45" s="344">
        <f>VLOOKUP(A44,[17]進出口值表查詢結果!$A$3:$D$19,4,0)</f>
        <v>86985</v>
      </c>
      <c r="D45" s="504">
        <f>(B45-C45)/C45</f>
        <v>0.61345059493016041</v>
      </c>
      <c r="E45" s="343">
        <f>零件!G46</f>
        <v>11329128</v>
      </c>
      <c r="F45" s="344">
        <f>VLOOKUP(A44,[17]進出口值表查詢結果!$A$3:$D$19,3,0)</f>
        <v>10353611</v>
      </c>
      <c r="G45" s="504">
        <f>(E45-F45)/F45</f>
        <v>9.421997793813193E-2</v>
      </c>
    </row>
    <row r="46" spans="1:7">
      <c r="A46" s="322" t="s">
        <v>84</v>
      </c>
      <c r="B46" s="343"/>
      <c r="C46" s="345"/>
      <c r="D46" s="343"/>
      <c r="E46" s="347"/>
      <c r="F46" s="344"/>
      <c r="G46" s="347"/>
    </row>
    <row r="47" spans="1:7">
      <c r="A47" s="325">
        <v>87149320906</v>
      </c>
      <c r="B47" s="348"/>
      <c r="C47" s="351"/>
      <c r="D47" s="352"/>
      <c r="E47" s="353"/>
      <c r="F47" s="354"/>
      <c r="G47" s="353"/>
    </row>
    <row r="48" spans="1:7">
      <c r="A48" s="322" t="s">
        <v>408</v>
      </c>
      <c r="B48" s="343">
        <f>零件!F49</f>
        <v>254513</v>
      </c>
      <c r="C48" s="344">
        <f>VLOOKUP(A47,[17]進出口值表查詢結果!$A$3:$D$19,4,0)</f>
        <v>206865</v>
      </c>
      <c r="D48" s="505">
        <f>(B48-C48)/C48</f>
        <v>0.23033379257003359</v>
      </c>
      <c r="E48" s="343">
        <f>零件!G49</f>
        <v>8012021</v>
      </c>
      <c r="F48" s="344">
        <f>VLOOKUP(A47,[17]進出口值表查詢結果!$A$3:$D$19,3,0)</f>
        <v>9253265</v>
      </c>
      <c r="G48" s="505">
        <f>(E48-F48)/F48</f>
        <v>-0.13414119232508742</v>
      </c>
    </row>
    <row r="49" spans="1:7">
      <c r="A49" s="325">
        <v>87149990139</v>
      </c>
      <c r="B49" s="348"/>
      <c r="C49" s="351"/>
      <c r="D49" s="352"/>
      <c r="E49" s="353"/>
      <c r="F49" s="354"/>
      <c r="G49" s="353"/>
    </row>
    <row r="50" spans="1:7">
      <c r="A50" s="322" t="s">
        <v>85</v>
      </c>
      <c r="B50" s="343">
        <f>零件!F51</f>
        <v>15442</v>
      </c>
      <c r="C50" s="344">
        <f>VLOOKUP(A49,[17]進出口值表查詢結果!$A$3:$D$19,4,0)</f>
        <v>22740</v>
      </c>
      <c r="D50" s="505">
        <f>(B50-C50)/C50</f>
        <v>-0.32093227792436235</v>
      </c>
      <c r="E50" s="343">
        <f>零件!G51</f>
        <v>312867</v>
      </c>
      <c r="F50" s="344">
        <f>VLOOKUP(A49,[17]進出口值表查詢結果!$A$3:$D$19,3,0)</f>
        <v>625922</v>
      </c>
      <c r="G50" s="505">
        <f>(E50-F50)/F50</f>
        <v>-0.50015017845674059</v>
      </c>
    </row>
    <row r="51" spans="1:7">
      <c r="A51" s="325">
        <v>87149990148</v>
      </c>
      <c r="B51" s="348"/>
      <c r="C51" s="351"/>
      <c r="D51" s="352"/>
      <c r="E51" s="353"/>
      <c r="F51" s="354"/>
      <c r="G51" s="353"/>
    </row>
    <row r="52" spans="1:7">
      <c r="A52" s="327" t="s">
        <v>86</v>
      </c>
      <c r="B52" s="343">
        <f>零件!F53</f>
        <v>96101</v>
      </c>
      <c r="C52" s="344">
        <f>VLOOKUP(A51,[17]進出口值表查詢結果!$A$3:$D$19,4,0)</f>
        <v>81023</v>
      </c>
      <c r="D52" s="505">
        <f>(B52-C52)/C52</f>
        <v>0.18609530627105883</v>
      </c>
      <c r="E52" s="343">
        <f>零件!G53</f>
        <v>3347422</v>
      </c>
      <c r="F52" s="344">
        <f>VLOOKUP(A51,[17]進出口值表查詢結果!$A$3:$D$19,3,0)</f>
        <v>3324191</v>
      </c>
      <c r="G52" s="505">
        <f>(E52-F52)/F52</f>
        <v>6.988467269179178E-3</v>
      </c>
    </row>
    <row r="53" spans="1:7">
      <c r="A53" s="322" t="s">
        <v>87</v>
      </c>
      <c r="B53" s="343"/>
      <c r="C53" s="345"/>
      <c r="D53" s="343"/>
      <c r="E53" s="347"/>
      <c r="F53" s="344"/>
      <c r="G53" s="347"/>
    </row>
    <row r="54" spans="1:7">
      <c r="A54" s="325">
        <v>87149990157</v>
      </c>
      <c r="B54" s="348"/>
      <c r="C54" s="351"/>
      <c r="D54" s="352"/>
      <c r="E54" s="353"/>
      <c r="F54" s="354"/>
      <c r="G54" s="353"/>
    </row>
    <row r="55" spans="1:7">
      <c r="A55" s="322" t="s">
        <v>88</v>
      </c>
      <c r="B55" s="343">
        <f>零件!F56</f>
        <v>176588</v>
      </c>
      <c r="C55" s="344">
        <f>VLOOKUP(A54,[17]進出口值表查詢結果!$A$3:$D$19,4,0)</f>
        <v>140235</v>
      </c>
      <c r="D55" s="505">
        <f>(B55-C55)/C55</f>
        <v>0.25922915106785038</v>
      </c>
      <c r="E55" s="343">
        <f>零件!G56</f>
        <v>7944572</v>
      </c>
      <c r="F55" s="344">
        <f>VLOOKUP(A54,[17]進出口值表查詢結果!$A$3:$D$19,3,0)</f>
        <v>5882357</v>
      </c>
      <c r="G55" s="505">
        <f>(E55-F55)/F55</f>
        <v>0.35057630810234741</v>
      </c>
    </row>
    <row r="56" spans="1:7">
      <c r="A56" s="322" t="s">
        <v>89</v>
      </c>
      <c r="B56" s="343"/>
      <c r="C56" s="345"/>
      <c r="D56" s="343"/>
      <c r="E56" s="347"/>
      <c r="F56" s="344"/>
      <c r="G56" s="347"/>
    </row>
    <row r="57" spans="1:7">
      <c r="A57" s="325">
        <v>87149990166</v>
      </c>
      <c r="B57" s="348"/>
      <c r="C57" s="351"/>
      <c r="D57" s="352"/>
      <c r="E57" s="353"/>
      <c r="F57" s="354"/>
      <c r="G57" s="353"/>
    </row>
    <row r="58" spans="1:7">
      <c r="A58" s="322" t="s">
        <v>86</v>
      </c>
      <c r="B58" s="343">
        <f>零件!F59</f>
        <v>183797</v>
      </c>
      <c r="C58" s="344">
        <f>VLOOKUP(A57,[17]進出口值表查詢結果!$A$3:$D$19,4,0)</f>
        <v>153389</v>
      </c>
      <c r="D58" s="505">
        <f>(B58-C58)/C58</f>
        <v>0.19824107334945792</v>
      </c>
      <c r="E58" s="343">
        <f>零件!G59</f>
        <v>6209659</v>
      </c>
      <c r="F58" s="344">
        <f>VLOOKUP(A57,[17]進出口值表查詢結果!$A$3:$D$19,3,0)</f>
        <v>6343596</v>
      </c>
      <c r="G58" s="505">
        <f>(E58-F58)/F58</f>
        <v>-2.1113734228976749E-2</v>
      </c>
    </row>
    <row r="59" spans="1:7">
      <c r="A59" s="325">
        <v>40115000008</v>
      </c>
      <c r="B59" s="352"/>
      <c r="C59" s="355"/>
      <c r="D59" s="352"/>
      <c r="E59" s="353"/>
      <c r="F59" s="355"/>
      <c r="G59" s="353"/>
    </row>
    <row r="60" spans="1:7">
      <c r="A60" s="322" t="s">
        <v>90</v>
      </c>
      <c r="B60" s="343">
        <f>零件!F61</f>
        <v>548474</v>
      </c>
      <c r="C60" s="344">
        <v>551468</v>
      </c>
      <c r="D60" s="505">
        <f>(B60-C60)/C60</f>
        <v>-5.4291454807894567E-3</v>
      </c>
      <c r="E60" s="343">
        <f>零件!G61</f>
        <v>8157739</v>
      </c>
      <c r="F60" s="344">
        <v>9293040</v>
      </c>
      <c r="G60" s="505">
        <f>(E60-F60)/F60</f>
        <v>-0.12216680440415623</v>
      </c>
    </row>
    <row r="61" spans="1:7">
      <c r="A61" s="322" t="s">
        <v>91</v>
      </c>
      <c r="B61" s="343"/>
      <c r="C61" s="344"/>
      <c r="D61" s="346"/>
      <c r="E61" s="347"/>
      <c r="F61" s="344"/>
      <c r="G61" s="347"/>
    </row>
    <row r="62" spans="1:7">
      <c r="A62" s="325">
        <v>40132000003</v>
      </c>
      <c r="B62" s="352"/>
      <c r="C62" s="355"/>
      <c r="D62" s="352"/>
      <c r="E62" s="353"/>
      <c r="F62" s="355"/>
      <c r="G62" s="353"/>
    </row>
    <row r="63" spans="1:7">
      <c r="A63" s="322" t="s">
        <v>92</v>
      </c>
      <c r="B63" s="343">
        <f>零件!F64</f>
        <v>104058</v>
      </c>
      <c r="C63" s="344">
        <v>53393</v>
      </c>
      <c r="D63" s="505">
        <f>(B63-C63)/C63</f>
        <v>0.94890716011462173</v>
      </c>
      <c r="E63" s="343">
        <f>零件!G64</f>
        <v>1014506</v>
      </c>
      <c r="F63" s="344">
        <v>661127</v>
      </c>
      <c r="G63" s="505">
        <f>(E63-F63)/F63</f>
        <v>0.53451001093587158</v>
      </c>
    </row>
    <row r="64" spans="1:7">
      <c r="A64" s="322" t="s">
        <v>93</v>
      </c>
      <c r="B64" s="343"/>
      <c r="C64" s="345"/>
      <c r="D64" s="346"/>
      <c r="E64" s="347"/>
      <c r="F64" s="344"/>
      <c r="G64" s="347"/>
    </row>
    <row r="65" spans="1:7">
      <c r="A65" s="356" t="s">
        <v>94</v>
      </c>
      <c r="B65" s="357">
        <f>SUM(B6:B64)-B64-B61-B20-B17-B11-B8</f>
        <v>4926073</v>
      </c>
      <c r="C65" s="565">
        <f>SUM(C6:C64)</f>
        <v>4384086</v>
      </c>
      <c r="D65" s="503">
        <f>(B65-C65)/C65</f>
        <v>0.12362599638784458</v>
      </c>
      <c r="E65" s="444">
        <f>SUM(E7:E64)</f>
        <v>208891390</v>
      </c>
      <c r="F65" s="569">
        <f>SUM(F7:F64)</f>
        <v>198871061</v>
      </c>
      <c r="G65" s="506">
        <f>(E65-F65)/F65</f>
        <v>5.0386058934939762E-2</v>
      </c>
    </row>
    <row r="66" spans="1:7">
      <c r="C66" s="39"/>
      <c r="E66" s="5"/>
      <c r="F66" s="474"/>
    </row>
    <row r="67" spans="1:7">
      <c r="A67" s="54" t="s">
        <v>463</v>
      </c>
      <c r="C67" s="564"/>
      <c r="F67" s="56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27" operator="greaterThanOrEqual">
      <formula>0</formula>
    </cfRule>
    <cfRule type="cellIs" dxfId="14" priority="28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25" operator="greaterThanOrEqual">
      <formula>0</formula>
    </cfRule>
    <cfRule type="cellIs" dxfId="8" priority="26" operator="lessThan">
      <formula>0</formula>
    </cfRule>
  </conditionalFormatting>
  <conditionalFormatting sqref="G6:G1048576">
    <cfRule type="cellIs" dxfId="7" priority="9" operator="greaterThanOrEqual">
      <formula>0</formula>
    </cfRule>
    <cfRule type="cellIs" dxfId="6" priority="10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15" customWidth="1"/>
    <col min="3" max="3" width="16.125" customWidth="1"/>
    <col min="4" max="4" width="15.75" style="358" customWidth="1"/>
    <col min="5" max="5" width="16.75" style="315" customWidth="1"/>
    <col min="6" max="6" width="19.125" customWidth="1"/>
    <col min="7" max="7" width="14.875" style="358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2" customFormat="1" ht="21">
      <c r="A1" s="331" t="s">
        <v>514</v>
      </c>
      <c r="B1" s="332"/>
      <c r="C1" s="333"/>
      <c r="D1" s="334"/>
      <c r="E1" s="332"/>
      <c r="F1" s="333"/>
      <c r="G1" s="334"/>
    </row>
    <row r="2" spans="1:7" s="312" customFormat="1">
      <c r="B2" s="313"/>
      <c r="C2" s="335"/>
      <c r="D2" s="336"/>
      <c r="E2" s="313"/>
      <c r="F2" s="335"/>
      <c r="G2" s="336"/>
    </row>
    <row r="3" spans="1:7" s="312" customFormat="1">
      <c r="A3" s="314"/>
      <c r="B3" s="313"/>
      <c r="C3" s="335"/>
      <c r="D3" s="336"/>
      <c r="E3" s="313"/>
      <c r="F3" s="335"/>
      <c r="G3" s="336"/>
    </row>
    <row r="4" spans="1:7">
      <c r="A4" s="515" t="s">
        <v>95</v>
      </c>
      <c r="B4" s="516" t="s">
        <v>468</v>
      </c>
      <c r="C4" s="566" t="s">
        <v>516</v>
      </c>
      <c r="D4" s="518" t="s">
        <v>470</v>
      </c>
      <c r="E4" s="517" t="s">
        <v>468</v>
      </c>
      <c r="F4" s="566" t="s">
        <v>516</v>
      </c>
      <c r="G4" s="201" t="s">
        <v>470</v>
      </c>
    </row>
    <row r="5" spans="1:7" s="312" customFormat="1" ht="18" customHeight="1">
      <c r="A5" s="46"/>
      <c r="B5" s="76" t="s">
        <v>96</v>
      </c>
      <c r="C5" s="562" t="s">
        <v>96</v>
      </c>
      <c r="D5" s="202" t="s">
        <v>1</v>
      </c>
      <c r="E5" s="76" t="s">
        <v>32</v>
      </c>
      <c r="F5" s="562" t="s">
        <v>32</v>
      </c>
      <c r="G5" s="202" t="s">
        <v>1</v>
      </c>
    </row>
    <row r="6" spans="1:7">
      <c r="A6" s="338">
        <v>85121010001</v>
      </c>
      <c r="B6" s="339"/>
      <c r="C6" s="340"/>
      <c r="D6" s="341"/>
      <c r="E6" s="339"/>
      <c r="F6" s="340"/>
      <c r="G6" s="342"/>
    </row>
    <row r="7" spans="1:7">
      <c r="A7" s="322" t="s">
        <v>62</v>
      </c>
      <c r="B7" s="343">
        <f>零件!L7</f>
        <v>7639</v>
      </c>
      <c r="C7" s="344">
        <v>7609</v>
      </c>
      <c r="D7" s="504">
        <f>(B7-C7)/C7</f>
        <v>3.9426994348797477E-3</v>
      </c>
      <c r="E7" s="343">
        <f>零件!M7</f>
        <v>399466</v>
      </c>
      <c r="F7" s="344">
        <v>517130</v>
      </c>
      <c r="G7" s="504">
        <f>(E7-F7)/F7</f>
        <v>-0.22753272871424982</v>
      </c>
    </row>
    <row r="8" spans="1:7">
      <c r="A8" s="322" t="s">
        <v>63</v>
      </c>
      <c r="B8" s="343"/>
      <c r="C8" s="344"/>
      <c r="D8" s="346"/>
      <c r="E8" s="347"/>
      <c r="F8" s="344"/>
      <c r="G8" s="347"/>
    </row>
    <row r="9" spans="1:7">
      <c r="A9" s="324">
        <v>85121020009</v>
      </c>
      <c r="B9" s="348"/>
      <c r="C9" s="348"/>
      <c r="D9" s="349"/>
      <c r="E9" s="348"/>
      <c r="F9" s="348"/>
      <c r="G9" s="348"/>
    </row>
    <row r="10" spans="1:7">
      <c r="A10" s="322" t="s">
        <v>65</v>
      </c>
      <c r="B10" s="343">
        <f>零件!L10</f>
        <v>3026</v>
      </c>
      <c r="C10" s="344">
        <v>5035</v>
      </c>
      <c r="D10" s="504">
        <f>(B10-C10)/C10</f>
        <v>-0.3990069513406157</v>
      </c>
      <c r="E10" s="343">
        <f>零件!M10</f>
        <v>261207</v>
      </c>
      <c r="F10" s="344">
        <v>274396</v>
      </c>
      <c r="G10" s="505">
        <f>(E10-F10)/F10</f>
        <v>-4.8065569468942693E-2</v>
      </c>
    </row>
    <row r="11" spans="1:7">
      <c r="A11" s="322" t="s">
        <v>66</v>
      </c>
      <c r="B11" s="343"/>
      <c r="C11" s="345"/>
      <c r="D11" s="350"/>
      <c r="E11" s="347"/>
      <c r="F11" s="344"/>
      <c r="G11" s="347"/>
    </row>
    <row r="12" spans="1:7">
      <c r="A12" s="325">
        <v>87149120007</v>
      </c>
      <c r="B12" s="348"/>
      <c r="C12" s="351"/>
      <c r="D12" s="352"/>
      <c r="E12" s="353"/>
      <c r="F12" s="354"/>
      <c r="G12" s="353"/>
    </row>
    <row r="13" spans="1:7">
      <c r="A13" s="322" t="s">
        <v>68</v>
      </c>
      <c r="B13" s="343">
        <f>零件!L13</f>
        <v>570005</v>
      </c>
      <c r="C13" s="344">
        <f>VLOOKUP(A12,[18]進出口值表查詢結果!$A$3:$D$19,4,0)</f>
        <v>677418</v>
      </c>
      <c r="D13" s="504">
        <f>(B13-C13)/C13</f>
        <v>-0.15856236474377711</v>
      </c>
      <c r="E13" s="343">
        <f>零件!M13</f>
        <v>39826387</v>
      </c>
      <c r="F13" s="344">
        <f>VLOOKUP(A12,[18]進出口值表查詢結果!$A$3:$D$19,3,0)</f>
        <v>49598628</v>
      </c>
      <c r="G13" s="504">
        <f>(E13-F13)/F13</f>
        <v>-0.19702643790872601</v>
      </c>
    </row>
    <row r="14" spans="1:7">
      <c r="A14" s="322" t="s">
        <v>69</v>
      </c>
      <c r="B14" s="350"/>
      <c r="C14" s="473"/>
      <c r="D14" s="343"/>
      <c r="E14" s="347"/>
      <c r="F14" s="344"/>
      <c r="G14" s="347"/>
    </row>
    <row r="15" spans="1:7">
      <c r="A15" s="325">
        <v>87149200108</v>
      </c>
      <c r="B15" s="348"/>
      <c r="C15" s="351"/>
      <c r="D15" s="352"/>
      <c r="E15" s="353"/>
      <c r="F15" s="354"/>
      <c r="G15" s="353"/>
    </row>
    <row r="16" spans="1:7">
      <c r="A16" s="322" t="s">
        <v>70</v>
      </c>
      <c r="B16" s="343">
        <f>零件!L16</f>
        <v>87889</v>
      </c>
      <c r="C16" s="344">
        <f>VLOOKUP(A15,[18]進出口值表查詢結果!$A$3:$D$19,4,0)</f>
        <v>102045</v>
      </c>
      <c r="D16" s="504">
        <f>(B16-C16)/C16</f>
        <v>-0.13872311235239354</v>
      </c>
      <c r="E16" s="343">
        <f>零件!M16</f>
        <v>9328912</v>
      </c>
      <c r="F16" s="344">
        <f>VLOOKUP(A15,[18]進出口值表查詢結果!$A$3:$D$19,3,0)</f>
        <v>9079957</v>
      </c>
      <c r="G16" s="504">
        <f>(E16-F16)/F16</f>
        <v>2.7418081385187178E-2</v>
      </c>
    </row>
    <row r="17" spans="1:7">
      <c r="A17" s="322"/>
      <c r="B17" s="343"/>
      <c r="C17" s="345"/>
      <c r="D17" s="343"/>
      <c r="E17" s="347"/>
      <c r="F17" s="344"/>
      <c r="G17" s="347"/>
    </row>
    <row r="18" spans="1:7">
      <c r="A18" s="325">
        <v>87149200206</v>
      </c>
      <c r="B18" s="348"/>
      <c r="C18" s="351"/>
      <c r="D18" s="352"/>
      <c r="E18" s="353"/>
      <c r="F18" s="354"/>
      <c r="G18" s="353"/>
    </row>
    <row r="19" spans="1:7">
      <c r="A19" s="322" t="s">
        <v>55</v>
      </c>
      <c r="B19" s="343">
        <f>零件!L19</f>
        <v>18884</v>
      </c>
      <c r="C19" s="344">
        <f>VLOOKUP(A18,[18]進出口值表查詢結果!$A$3:$D$19,4,0)</f>
        <v>15197</v>
      </c>
      <c r="D19" s="504">
        <f>(B19-C19)/C19</f>
        <v>0.24261367375139831</v>
      </c>
      <c r="E19" s="343">
        <f>零件!M19</f>
        <v>2122082</v>
      </c>
      <c r="F19" s="344">
        <f>VLOOKUP(A18,[18]進出口值表查詢結果!$A$3:$D$19,3,0)</f>
        <v>1550048</v>
      </c>
      <c r="G19" s="505">
        <f>(E19-F19)/F19</f>
        <v>0.36904276512727346</v>
      </c>
    </row>
    <row r="20" spans="1:7">
      <c r="A20" s="322"/>
      <c r="B20" s="343"/>
      <c r="C20" s="345"/>
      <c r="D20" s="343"/>
      <c r="E20" s="347"/>
      <c r="F20" s="344"/>
      <c r="G20" s="347"/>
    </row>
    <row r="21" spans="1:7">
      <c r="A21" s="325">
        <v>87149200304</v>
      </c>
      <c r="B21" s="348"/>
      <c r="C21" s="351"/>
      <c r="D21" s="352"/>
      <c r="E21" s="353"/>
      <c r="F21" s="354"/>
      <c r="G21" s="353"/>
    </row>
    <row r="22" spans="1:7">
      <c r="A22" s="322" t="s">
        <v>56</v>
      </c>
      <c r="B22" s="343">
        <f>零件!L22</f>
        <v>11533</v>
      </c>
      <c r="C22" s="344">
        <f>VLOOKUP(A21,[18]進出口值表查詢結果!$A$3:$D$19,4,0)</f>
        <v>27807</v>
      </c>
      <c r="D22" s="505">
        <f>(B22-C22)/C22</f>
        <v>-0.58524831876865535</v>
      </c>
      <c r="E22" s="343">
        <f>零件!M22</f>
        <v>1534406</v>
      </c>
      <c r="F22" s="344">
        <f>VLOOKUP(A21,[18]進出口值表查詢結果!$A$3:$D$19,3,0)</f>
        <v>875025</v>
      </c>
      <c r="G22" s="504">
        <f>(E22-F22)/F22</f>
        <v>0.75355675552127077</v>
      </c>
    </row>
    <row r="23" spans="1:7">
      <c r="A23" s="325">
        <v>87149310007</v>
      </c>
      <c r="B23" s="348"/>
      <c r="C23" s="351"/>
      <c r="D23" s="352"/>
      <c r="E23" s="353"/>
      <c r="F23" s="354"/>
      <c r="G23" s="353"/>
    </row>
    <row r="24" spans="1:7">
      <c r="A24" s="322" t="s">
        <v>71</v>
      </c>
      <c r="B24" s="343">
        <f>零件!L24</f>
        <v>87303</v>
      </c>
      <c r="C24" s="344">
        <f>VLOOKUP(A23,[18]進出口值表查詢結果!$A$3:$D$19,4,0)</f>
        <v>135298</v>
      </c>
      <c r="D24" s="505">
        <f>(B24-C24)/C24</f>
        <v>-0.35473547280817158</v>
      </c>
      <c r="E24" s="343">
        <f>零件!M24</f>
        <v>3999869</v>
      </c>
      <c r="F24" s="344">
        <f>VLOOKUP(A23,[18]進出口值表查詢結果!$A$3:$D$19,3,0)</f>
        <v>5443381</v>
      </c>
      <c r="G24" s="505">
        <f>(E24-F24)/F24</f>
        <v>-0.26518665513216877</v>
      </c>
    </row>
    <row r="25" spans="1:7">
      <c r="A25" s="322" t="s">
        <v>97</v>
      </c>
      <c r="B25" s="343"/>
      <c r="C25" s="345"/>
      <c r="D25" s="343"/>
      <c r="E25" s="347"/>
      <c r="F25" s="344"/>
      <c r="G25" s="347"/>
    </row>
    <row r="26" spans="1:7">
      <c r="A26" s="325">
        <v>87149320103</v>
      </c>
      <c r="B26" s="348"/>
      <c r="C26" s="351"/>
      <c r="D26" s="352"/>
      <c r="E26" s="353"/>
      <c r="F26" s="354"/>
      <c r="G26" s="353"/>
    </row>
    <row r="27" spans="1:7">
      <c r="A27" s="322" t="s">
        <v>405</v>
      </c>
      <c r="B27" s="343">
        <f>零件!L28</f>
        <v>206</v>
      </c>
      <c r="C27" s="344">
        <f>VLOOKUP(A26,[18]進出口值表查詢結果!$A$3:$D$19,4,0)</f>
        <v>2402</v>
      </c>
      <c r="D27" s="505">
        <f>(B27-C27)/C27</f>
        <v>-0.91423813488759365</v>
      </c>
      <c r="E27" s="343">
        <f>零件!M28</f>
        <v>7692</v>
      </c>
      <c r="F27" s="344">
        <f>VLOOKUP(A26,[18]進出口值表查詢結果!$A$3:$D$19,3,0)</f>
        <v>98564</v>
      </c>
      <c r="G27" s="505">
        <f>(E27-F27)/F27</f>
        <v>-0.92195933606590641</v>
      </c>
    </row>
    <row r="28" spans="1:7">
      <c r="A28" s="325">
        <v>87149410006</v>
      </c>
      <c r="B28" s="348"/>
      <c r="C28" s="351"/>
      <c r="D28" s="352"/>
      <c r="E28" s="353"/>
      <c r="F28" s="354"/>
      <c r="G28" s="353"/>
    </row>
    <row r="29" spans="1:7">
      <c r="A29" s="322" t="s">
        <v>74</v>
      </c>
      <c r="B29" s="343">
        <f>零件!L30</f>
        <v>3197</v>
      </c>
      <c r="C29" s="344">
        <f>VLOOKUP(A28,[18]進出口值表查詢結果!$A$3:$D$19,4,0)</f>
        <v>4652</v>
      </c>
      <c r="D29" s="504">
        <f>(B29-C29)/C29</f>
        <v>-0.31276870163370596</v>
      </c>
      <c r="E29" s="343">
        <f>零件!M30</f>
        <v>324352</v>
      </c>
      <c r="F29" s="344">
        <f>VLOOKUP(A28,[18]進出口值表查詢結果!$A$3:$D$19,3,0)</f>
        <v>95819</v>
      </c>
      <c r="G29" s="504">
        <f>(E29-F29)/F29</f>
        <v>2.3850488942694037</v>
      </c>
    </row>
    <row r="30" spans="1:7">
      <c r="A30" s="322" t="s">
        <v>75</v>
      </c>
      <c r="B30" s="343"/>
      <c r="C30" s="345"/>
      <c r="D30" s="343"/>
      <c r="E30" s="347"/>
      <c r="F30" s="344"/>
      <c r="G30" s="347"/>
    </row>
    <row r="31" spans="1:7">
      <c r="A31" s="325">
        <v>87149490009</v>
      </c>
      <c r="B31" s="348"/>
      <c r="C31" s="351"/>
      <c r="D31" s="352"/>
      <c r="E31" s="353"/>
      <c r="F31" s="354"/>
      <c r="G31" s="353"/>
    </row>
    <row r="32" spans="1:7">
      <c r="A32" s="322" t="s">
        <v>76</v>
      </c>
      <c r="B32" s="343">
        <f>零件!L33</f>
        <v>219834</v>
      </c>
      <c r="C32" s="344">
        <f>VLOOKUP(A31,[18]進出口值表查詢結果!$A$3:$D$19,4,0)</f>
        <v>213543</v>
      </c>
      <c r="D32" s="504">
        <f>(B32-C32)/C32</f>
        <v>2.9460108736882033E-2</v>
      </c>
      <c r="E32" s="343">
        <f>零件!M33</f>
        <v>12443558</v>
      </c>
      <c r="F32" s="344">
        <f>VLOOKUP(A31,[18]進出口值表查詢結果!$A$3:$D$19,3,0)</f>
        <v>17000662</v>
      </c>
      <c r="G32" s="504">
        <f>(E32-F32)/F32</f>
        <v>-0.26805450281877258</v>
      </c>
    </row>
    <row r="33" spans="1:7">
      <c r="A33" s="322" t="s">
        <v>77</v>
      </c>
      <c r="B33" s="343"/>
      <c r="C33" s="345"/>
      <c r="D33" s="343"/>
      <c r="E33" s="347"/>
      <c r="F33" s="344"/>
      <c r="G33" s="347"/>
    </row>
    <row r="34" spans="1:7">
      <c r="A34" s="325">
        <v>87149500007</v>
      </c>
      <c r="B34" s="352"/>
      <c r="C34" s="351"/>
      <c r="D34" s="352"/>
      <c r="E34" s="353"/>
      <c r="F34" s="354"/>
      <c r="G34" s="353"/>
    </row>
    <row r="35" spans="1:7">
      <c r="A35" s="322" t="s">
        <v>78</v>
      </c>
      <c r="B35" s="343">
        <f>零件!L36</f>
        <v>90761</v>
      </c>
      <c r="C35" s="344">
        <f>VLOOKUP(A34,[18]進出口值表查詢結果!$A$3:$D$19,4,0)</f>
        <v>87120</v>
      </c>
      <c r="D35" s="504">
        <f>(B35-C35)/C35</f>
        <v>4.1792929292929291E-2</v>
      </c>
      <c r="E35" s="343">
        <f>零件!M36</f>
        <v>1318425</v>
      </c>
      <c r="F35" s="344">
        <f>VLOOKUP(A34,[18]進出口值表查詢結果!$A$3:$D$19,3,0)</f>
        <v>1376752</v>
      </c>
      <c r="G35" s="504">
        <f>(E35-F35)/F35</f>
        <v>-4.2365654816553744E-2</v>
      </c>
    </row>
    <row r="36" spans="1:7">
      <c r="A36" s="325">
        <v>87149610004</v>
      </c>
      <c r="B36" s="352"/>
      <c r="C36" s="351"/>
      <c r="D36" s="352"/>
      <c r="E36" s="353"/>
      <c r="F36" s="354"/>
      <c r="G36" s="353"/>
    </row>
    <row r="37" spans="1:7">
      <c r="A37" s="322" t="s">
        <v>79</v>
      </c>
      <c r="B37" s="343">
        <f>零件!L38</f>
        <v>14611</v>
      </c>
      <c r="C37" s="344">
        <f>VLOOKUP(A36,[18]進出口值表查詢結果!$A$3:$D$19,4,0)</f>
        <v>36593</v>
      </c>
      <c r="D37" s="505">
        <f>(B37-C37)/C37</f>
        <v>-0.60071598393135295</v>
      </c>
      <c r="E37" s="343">
        <f>零件!M38</f>
        <v>375783</v>
      </c>
      <c r="F37" s="344">
        <f>VLOOKUP(A36,[18]進出口值表查詢結果!$A$3:$D$19,3,0)</f>
        <v>331539</v>
      </c>
      <c r="G37" s="505">
        <f>(E37-F37)/F37</f>
        <v>0.13345036330567445</v>
      </c>
    </row>
    <row r="38" spans="1:7">
      <c r="A38" s="325">
        <v>87149620002</v>
      </c>
      <c r="B38" s="348"/>
      <c r="C38" s="351"/>
      <c r="D38" s="352"/>
      <c r="E38" s="353"/>
      <c r="F38" s="354"/>
      <c r="G38" s="353"/>
    </row>
    <row r="39" spans="1:7">
      <c r="A39" s="322" t="s">
        <v>80</v>
      </c>
      <c r="B39" s="343">
        <f>零件!L40</f>
        <v>186781</v>
      </c>
      <c r="C39" s="344">
        <f>VLOOKUP(A38,[18]進出口值表查詢結果!$A$3:$D$19,4,0)</f>
        <v>199903</v>
      </c>
      <c r="D39" s="505">
        <f>(B39-C39)/C39</f>
        <v>-6.5641836290600941E-2</v>
      </c>
      <c r="E39" s="343">
        <f>零件!M40</f>
        <v>4775602</v>
      </c>
      <c r="F39" s="344">
        <f>VLOOKUP(A38,[18]進出口值表查詢結果!$A$3:$D$19,3,0)</f>
        <v>6682971</v>
      </c>
      <c r="G39" s="505">
        <f>(E39-F39)/F39</f>
        <v>-0.28540734353029512</v>
      </c>
    </row>
    <row r="40" spans="1:7">
      <c r="A40" s="322" t="s">
        <v>75</v>
      </c>
      <c r="B40" s="343"/>
      <c r="C40" s="344"/>
      <c r="D40" s="343"/>
      <c r="E40" s="347"/>
      <c r="F40" s="344"/>
      <c r="G40" s="347"/>
    </row>
    <row r="41" spans="1:7">
      <c r="A41" s="325">
        <v>73151100209</v>
      </c>
      <c r="B41" s="348"/>
      <c r="C41" s="352"/>
      <c r="D41" s="352"/>
      <c r="E41" s="353"/>
      <c r="F41" s="352"/>
      <c r="G41" s="353"/>
    </row>
    <row r="42" spans="1:7">
      <c r="A42" s="322" t="s">
        <v>81</v>
      </c>
      <c r="B42" s="343">
        <f>零件!L43</f>
        <v>178480</v>
      </c>
      <c r="C42" s="344">
        <v>104686</v>
      </c>
      <c r="D42" s="505">
        <f>(B42-C42)/C42</f>
        <v>0.70490801062224173</v>
      </c>
      <c r="E42" s="343">
        <f>零件!M43</f>
        <v>2023931</v>
      </c>
      <c r="F42" s="344">
        <v>1450106</v>
      </c>
      <c r="G42" s="505">
        <f>(E42-F42)/F42</f>
        <v>0.39571245136562433</v>
      </c>
    </row>
    <row r="43" spans="1:7">
      <c r="A43" s="322" t="s">
        <v>82</v>
      </c>
      <c r="B43" s="343"/>
      <c r="C43" s="345"/>
      <c r="D43" s="343"/>
      <c r="E43" s="347"/>
      <c r="F43" s="344"/>
      <c r="G43" s="347"/>
    </row>
    <row r="44" spans="1:7">
      <c r="A44" s="325">
        <v>87149990111</v>
      </c>
      <c r="B44" s="348"/>
      <c r="C44" s="351"/>
      <c r="D44" s="352"/>
      <c r="E44" s="353"/>
      <c r="F44" s="354"/>
      <c r="G44" s="353"/>
    </row>
    <row r="45" spans="1:7">
      <c r="A45" s="326" t="s">
        <v>83</v>
      </c>
      <c r="B45" s="343">
        <f>零件!L46</f>
        <v>38588</v>
      </c>
      <c r="C45" s="344">
        <f>VLOOKUP(A44,[18]進出口值表查詢結果!$A$3:$D$19,4,0)</f>
        <v>65144</v>
      </c>
      <c r="D45" s="504">
        <f>(B45-C45)/C45</f>
        <v>-0.40765074296942161</v>
      </c>
      <c r="E45" s="343">
        <f>零件!M46</f>
        <v>3629156</v>
      </c>
      <c r="F45" s="344">
        <f>VLOOKUP(A44,[18]進出口值表查詢結果!$A$3:$D$19,3,0)</f>
        <v>6356064</v>
      </c>
      <c r="G45" s="504">
        <f>(E45-F45)/F45</f>
        <v>-0.42902462907862476</v>
      </c>
    </row>
    <row r="46" spans="1:7">
      <c r="A46" s="322" t="s">
        <v>84</v>
      </c>
      <c r="B46" s="343"/>
      <c r="C46" s="345"/>
      <c r="D46" s="343"/>
      <c r="E46" s="347"/>
      <c r="F46" s="344"/>
      <c r="G46" s="347"/>
    </row>
    <row r="47" spans="1:7">
      <c r="A47" s="325">
        <v>87149320906</v>
      </c>
      <c r="B47" s="348"/>
      <c r="C47" s="351"/>
      <c r="D47" s="352"/>
      <c r="E47" s="353"/>
      <c r="F47" s="354"/>
      <c r="G47" s="353"/>
    </row>
    <row r="48" spans="1:7">
      <c r="A48" s="322" t="s">
        <v>407</v>
      </c>
      <c r="B48" s="343">
        <f>零件!L49</f>
        <v>48317</v>
      </c>
      <c r="C48" s="344">
        <f>VLOOKUP(A47,[18]進出口值表查詢結果!$A$3:$D$19,4,0)</f>
        <v>46304</v>
      </c>
      <c r="D48" s="504">
        <f>(B48-C48)/C48</f>
        <v>4.3473565998617833E-2</v>
      </c>
      <c r="E48" s="343">
        <f>零件!M49</f>
        <v>1990760</v>
      </c>
      <c r="F48" s="344">
        <f>VLOOKUP(A47,[18]進出口值表查詢結果!$A$3:$D$19,3,0)</f>
        <v>2388617</v>
      </c>
      <c r="G48" s="504">
        <f>(E48-F48)/F48</f>
        <v>-0.16656374797633944</v>
      </c>
    </row>
    <row r="49" spans="1:7">
      <c r="A49" s="325">
        <v>87149990139</v>
      </c>
      <c r="B49" s="348"/>
      <c r="C49" s="351"/>
      <c r="D49" s="352"/>
      <c r="E49" s="353"/>
      <c r="F49" s="354"/>
      <c r="G49" s="353"/>
    </row>
    <row r="50" spans="1:7">
      <c r="A50" s="322" t="s">
        <v>85</v>
      </c>
      <c r="B50" s="343">
        <f>零件!L51</f>
        <v>2839</v>
      </c>
      <c r="C50" s="344">
        <f>VLOOKUP(A49,[18]進出口值表查詢結果!$A$3:$D$19,4,0)</f>
        <v>15975</v>
      </c>
      <c r="D50" s="505">
        <f>(B50-C50)/C50</f>
        <v>-0.82228482003129888</v>
      </c>
      <c r="E50" s="343">
        <f>零件!M51</f>
        <v>76112</v>
      </c>
      <c r="F50" s="344">
        <f>VLOOKUP(A49,[18]進出口值表查詢結果!$A$3:$D$19,3,0)</f>
        <v>199021</v>
      </c>
      <c r="G50" s="505">
        <f>(E50-F50)/F50</f>
        <v>-0.61756799533717543</v>
      </c>
    </row>
    <row r="51" spans="1:7">
      <c r="A51" s="325">
        <v>87149990148</v>
      </c>
      <c r="B51" s="348"/>
      <c r="C51" s="351"/>
      <c r="D51" s="352"/>
      <c r="E51" s="353"/>
      <c r="F51" s="354"/>
      <c r="G51" s="353"/>
    </row>
    <row r="52" spans="1:7">
      <c r="A52" s="327" t="s">
        <v>86</v>
      </c>
      <c r="B52" s="343">
        <f>零件!L53</f>
        <v>22622</v>
      </c>
      <c r="C52" s="344">
        <f>VLOOKUP(A51,[18]進出口值表查詢結果!$A$3:$D$19,4,0)</f>
        <v>25307</v>
      </c>
      <c r="D52" s="504">
        <f>(B52-C52)/C52</f>
        <v>-0.10609712727703798</v>
      </c>
      <c r="E52" s="343">
        <f>零件!M53</f>
        <v>820274</v>
      </c>
      <c r="F52" s="344">
        <f>VLOOKUP(A51,[18]進出口值表查詢結果!$A$3:$D$19,3,0)</f>
        <v>719701</v>
      </c>
      <c r="G52" s="504">
        <f>(E52-F52)/F52</f>
        <v>0.13974275428268129</v>
      </c>
    </row>
    <row r="53" spans="1:7">
      <c r="A53" s="322" t="s">
        <v>87</v>
      </c>
      <c r="B53" s="343"/>
      <c r="C53" s="345"/>
      <c r="D53" s="343"/>
      <c r="E53" s="347"/>
      <c r="F53" s="344"/>
      <c r="G53" s="347"/>
    </row>
    <row r="54" spans="1:7">
      <c r="A54" s="325">
        <v>87149990157</v>
      </c>
      <c r="B54" s="348"/>
      <c r="C54" s="351"/>
      <c r="D54" s="352"/>
      <c r="E54" s="353"/>
      <c r="F54" s="354"/>
      <c r="G54" s="353"/>
    </row>
    <row r="55" spans="1:7">
      <c r="A55" s="322" t="s">
        <v>88</v>
      </c>
      <c r="B55" s="343">
        <f>零件!L56</f>
        <v>44645</v>
      </c>
      <c r="C55" s="344">
        <f>VLOOKUP(A54,[18]進出口值表查詢結果!$A$3:$D$19,4,0)</f>
        <v>43141</v>
      </c>
      <c r="D55" s="505">
        <f>(B55-C55)/C55</f>
        <v>3.4862427852854594E-2</v>
      </c>
      <c r="E55" s="343">
        <f>零件!M56</f>
        <v>1611769</v>
      </c>
      <c r="F55" s="344">
        <f>VLOOKUP(A54,[18]進出口值表查詢結果!$A$3:$D$19,3,0)</f>
        <v>2257329</v>
      </c>
      <c r="G55" s="505">
        <f>(E55-F55)/F55</f>
        <v>-0.28598401030598553</v>
      </c>
    </row>
    <row r="56" spans="1:7">
      <c r="A56" s="322" t="s">
        <v>89</v>
      </c>
      <c r="B56" s="343"/>
      <c r="C56" s="345"/>
      <c r="D56" s="343"/>
      <c r="E56" s="347"/>
      <c r="F56" s="344"/>
      <c r="G56" s="347"/>
    </row>
    <row r="57" spans="1:7">
      <c r="A57" s="325">
        <v>87149990166</v>
      </c>
      <c r="B57" s="348"/>
      <c r="C57" s="351"/>
      <c r="D57" s="352"/>
      <c r="E57" s="353"/>
      <c r="F57" s="354"/>
      <c r="G57" s="353"/>
    </row>
    <row r="58" spans="1:7">
      <c r="A58" s="322" t="s">
        <v>86</v>
      </c>
      <c r="B58" s="343">
        <f>零件!L59</f>
        <v>47576</v>
      </c>
      <c r="C58" s="344">
        <f>VLOOKUP(A57,[18]進出口值表查詢結果!$A$3:$D$19,4,0)</f>
        <v>56403</v>
      </c>
      <c r="D58" s="504">
        <f>(B58-C58)/C58</f>
        <v>-0.15649876779603922</v>
      </c>
      <c r="E58" s="343">
        <f>零件!M59</f>
        <v>3003777</v>
      </c>
      <c r="F58" s="344">
        <f>VLOOKUP(A57,[18]進出口值表查詢結果!$A$3:$D$19,3,0)</f>
        <v>3685725</v>
      </c>
      <c r="G58" s="504">
        <f>(E58-F58)/F58</f>
        <v>-0.18502411330199622</v>
      </c>
    </row>
    <row r="59" spans="1:7">
      <c r="A59" s="325">
        <v>40115000008</v>
      </c>
      <c r="B59" s="352"/>
      <c r="C59" s="352"/>
      <c r="D59" s="355"/>
      <c r="E59" s="353"/>
      <c r="F59" s="352"/>
      <c r="G59" s="353"/>
    </row>
    <row r="60" spans="1:7">
      <c r="A60" s="322" t="s">
        <v>90</v>
      </c>
      <c r="B60" s="343">
        <f>零件!L61</f>
        <v>253008</v>
      </c>
      <c r="C60" s="344">
        <v>227465</v>
      </c>
      <c r="D60" s="552">
        <f>(B60-C60)/C60</f>
        <v>0.112294199107555</v>
      </c>
      <c r="E60" s="343">
        <f>零件!M61</f>
        <v>2604774</v>
      </c>
      <c r="F60" s="344">
        <v>2613157</v>
      </c>
      <c r="G60" s="504">
        <f>(E60-F60)/F60</f>
        <v>-3.2079970702104774E-3</v>
      </c>
    </row>
    <row r="61" spans="1:7">
      <c r="A61" s="322" t="s">
        <v>91</v>
      </c>
      <c r="B61" s="343"/>
      <c r="C61" s="344"/>
      <c r="D61" s="346"/>
      <c r="E61" s="347"/>
      <c r="F61" s="344"/>
      <c r="G61" s="507"/>
    </row>
    <row r="62" spans="1:7">
      <c r="A62" s="325">
        <v>40132000003</v>
      </c>
      <c r="B62" s="352"/>
      <c r="C62" s="352"/>
      <c r="D62" s="352"/>
      <c r="E62" s="353"/>
      <c r="F62" s="352"/>
      <c r="G62" s="353"/>
    </row>
    <row r="63" spans="1:7">
      <c r="A63" s="322" t="s">
        <v>92</v>
      </c>
      <c r="B63" s="343">
        <f>零件!L64</f>
        <v>48463</v>
      </c>
      <c r="C63" s="344">
        <v>44357</v>
      </c>
      <c r="D63" s="553">
        <f>(B63-C63)/C63</f>
        <v>9.2567125820050944E-2</v>
      </c>
      <c r="E63" s="343">
        <f>零件!M64</f>
        <v>368779</v>
      </c>
      <c r="F63" s="344">
        <v>232578</v>
      </c>
      <c r="G63" s="504">
        <f>(E63-F63)/F63</f>
        <v>0.58561428853975872</v>
      </c>
    </row>
    <row r="64" spans="1:7">
      <c r="A64" s="322" t="s">
        <v>93</v>
      </c>
      <c r="B64" s="343"/>
      <c r="C64" s="345"/>
      <c r="D64" s="346"/>
      <c r="E64" s="554"/>
      <c r="F64" s="344"/>
      <c r="G64" s="347"/>
    </row>
    <row r="65" spans="1:7">
      <c r="A65" s="356" t="s">
        <v>94</v>
      </c>
      <c r="B65" s="357">
        <f>SUM(B6:B64)-B64-B61-B20-B17-B11-B8</f>
        <v>1986207</v>
      </c>
      <c r="C65" s="565">
        <f>SUM(C6:C64)-C64-C61-C20-C17-C11-C8</f>
        <v>2143404</v>
      </c>
      <c r="D65" s="555">
        <f>(B65-C65)/C65</f>
        <v>-7.3339883661689531E-2</v>
      </c>
      <c r="E65" s="556">
        <f>SUM(E7:E64)</f>
        <v>92847073</v>
      </c>
      <c r="F65" s="569">
        <f>SUM(F7:F64)</f>
        <v>112827170</v>
      </c>
      <c r="G65" s="503">
        <f>(E65-F65)/F65</f>
        <v>-0.17708586504474055</v>
      </c>
    </row>
    <row r="66" spans="1:7">
      <c r="C66" s="39"/>
      <c r="E66" s="5"/>
      <c r="F66" s="474"/>
      <c r="G66" s="315"/>
    </row>
    <row r="67" spans="1:7">
      <c r="A67" s="54" t="s">
        <v>463</v>
      </c>
      <c r="C67" s="564"/>
      <c r="F67" s="56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A2" sqref="A2"/>
    </sheetView>
  </sheetViews>
  <sheetFormatPr defaultColWidth="10" defaultRowHeight="16.5"/>
  <cols>
    <col min="1" max="1" width="3.75" style="13" customWidth="1"/>
    <col min="2" max="2" width="11.125" style="13" customWidth="1"/>
    <col min="3" max="3" width="17.75" style="315" customWidth="1"/>
    <col min="4" max="4" width="12.875" style="13" bestFit="1" customWidth="1"/>
    <col min="5" max="5" width="17.875" style="315" customWidth="1"/>
    <col min="6" max="6" width="2.125" style="13" customWidth="1"/>
    <col min="7" max="7" width="11.25" style="13" customWidth="1"/>
    <col min="8" max="8" width="15.75" style="315" customWidth="1"/>
    <col min="9" max="9" width="12.875" style="13" bestFit="1" customWidth="1"/>
    <col min="10" max="10" width="17.875" style="315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59" t="s">
        <v>515</v>
      </c>
      <c r="C1" s="360"/>
      <c r="D1" s="361"/>
      <c r="E1" s="360"/>
      <c r="F1" s="361"/>
      <c r="G1" s="361"/>
      <c r="H1" s="360"/>
      <c r="I1" s="361"/>
      <c r="J1" s="360"/>
    </row>
    <row r="2" spans="1:10">
      <c r="B2" s="361"/>
      <c r="C2" s="360"/>
      <c r="D2" s="361"/>
      <c r="E2" s="360"/>
      <c r="F2" s="361"/>
      <c r="G2" s="361"/>
      <c r="H2" s="360"/>
      <c r="I2" s="361"/>
      <c r="J2" s="360"/>
    </row>
    <row r="3" spans="1:10">
      <c r="A3" s="474" t="s">
        <v>517</v>
      </c>
      <c r="B3" s="474"/>
      <c r="G3" s="474" t="s">
        <v>417</v>
      </c>
    </row>
    <row r="4" spans="1:10">
      <c r="B4" s="30" t="s">
        <v>98</v>
      </c>
      <c r="C4" s="362" t="s">
        <v>99</v>
      </c>
      <c r="D4" s="30" t="s">
        <v>100</v>
      </c>
      <c r="E4" s="362" t="s">
        <v>101</v>
      </c>
      <c r="F4" s="363"/>
      <c r="G4" s="30" t="s">
        <v>98</v>
      </c>
      <c r="H4" s="362" t="s">
        <v>99</v>
      </c>
      <c r="I4" s="30" t="s">
        <v>100</v>
      </c>
      <c r="J4" s="362" t="s">
        <v>101</v>
      </c>
    </row>
    <row r="5" spans="1:10">
      <c r="A5" s="13">
        <v>1</v>
      </c>
      <c r="B5" s="364" t="s">
        <v>443</v>
      </c>
      <c r="C5" s="365">
        <v>565855</v>
      </c>
      <c r="D5" s="539" t="s">
        <v>164</v>
      </c>
      <c r="E5" s="366">
        <v>140697</v>
      </c>
      <c r="G5" s="364" t="s">
        <v>245</v>
      </c>
      <c r="H5" s="366">
        <v>211992</v>
      </c>
      <c r="I5" s="539" t="s">
        <v>238</v>
      </c>
      <c r="J5" s="366">
        <v>104839</v>
      </c>
    </row>
    <row r="6" spans="1:10">
      <c r="A6" s="13">
        <v>2</v>
      </c>
      <c r="B6" s="364" t="s">
        <v>444</v>
      </c>
      <c r="C6" s="365">
        <v>110101</v>
      </c>
      <c r="D6" s="367" t="s">
        <v>471</v>
      </c>
      <c r="E6" s="366">
        <v>7019</v>
      </c>
      <c r="G6" s="364" t="s">
        <v>443</v>
      </c>
      <c r="H6" s="366">
        <v>42784</v>
      </c>
      <c r="I6" s="539" t="s">
        <v>245</v>
      </c>
      <c r="J6" s="366">
        <v>11169</v>
      </c>
    </row>
    <row r="7" spans="1:10">
      <c r="A7" s="13">
        <v>3</v>
      </c>
      <c r="B7" s="364" t="s">
        <v>446</v>
      </c>
      <c r="C7" s="365">
        <v>43454</v>
      </c>
      <c r="D7" s="367" t="s">
        <v>166</v>
      </c>
      <c r="E7" s="366">
        <v>5188</v>
      </c>
      <c r="G7" s="364" t="s">
        <v>244</v>
      </c>
      <c r="H7" s="366">
        <v>32987</v>
      </c>
      <c r="I7" s="364" t="s">
        <v>246</v>
      </c>
      <c r="J7" s="366">
        <v>4211</v>
      </c>
    </row>
    <row r="8" spans="1:10">
      <c r="A8" s="13">
        <v>4</v>
      </c>
      <c r="B8" s="364" t="s">
        <v>244</v>
      </c>
      <c r="C8" s="365">
        <v>31156</v>
      </c>
      <c r="D8" s="367"/>
      <c r="E8" s="366"/>
      <c r="G8" s="364" t="s">
        <v>447</v>
      </c>
      <c r="H8" s="366">
        <v>27190</v>
      </c>
      <c r="I8" s="364" t="s">
        <v>254</v>
      </c>
      <c r="J8" s="366">
        <v>2380</v>
      </c>
    </row>
    <row r="9" spans="1:10">
      <c r="A9" s="13">
        <v>5</v>
      </c>
      <c r="B9" s="364" t="s">
        <v>11</v>
      </c>
      <c r="C9" s="365">
        <v>27342</v>
      </c>
      <c r="D9" s="367"/>
      <c r="E9" s="366"/>
      <c r="G9" s="364" t="s">
        <v>383</v>
      </c>
      <c r="H9" s="366">
        <v>17120</v>
      </c>
      <c r="I9" s="364"/>
      <c r="J9" s="366"/>
    </row>
    <row r="10" spans="1:10">
      <c r="A10" s="13">
        <v>6</v>
      </c>
      <c r="B10" s="364" t="s">
        <v>383</v>
      </c>
      <c r="C10" s="365">
        <v>24016</v>
      </c>
      <c r="D10" s="542"/>
      <c r="E10" s="366"/>
      <c r="G10" s="364" t="s">
        <v>454</v>
      </c>
      <c r="H10" s="366">
        <v>10375</v>
      </c>
      <c r="I10" s="364"/>
      <c r="J10" s="366"/>
    </row>
    <row r="11" spans="1:10">
      <c r="A11" s="13">
        <v>7</v>
      </c>
      <c r="B11" s="364" t="s">
        <v>238</v>
      </c>
      <c r="C11" s="365">
        <v>23222</v>
      </c>
      <c r="D11" s="364"/>
      <c r="E11" s="366"/>
      <c r="G11" s="364" t="s">
        <v>231</v>
      </c>
      <c r="H11" s="366">
        <v>7507</v>
      </c>
      <c r="J11" s="366"/>
    </row>
    <row r="12" spans="1:10">
      <c r="A12" s="13">
        <v>8</v>
      </c>
      <c r="B12" s="364" t="s">
        <v>10</v>
      </c>
      <c r="C12" s="365">
        <v>22948</v>
      </c>
      <c r="D12" s="364"/>
      <c r="E12" s="366"/>
      <c r="G12" s="364" t="s">
        <v>255</v>
      </c>
      <c r="H12" s="366">
        <v>3845</v>
      </c>
      <c r="I12" s="364"/>
      <c r="J12" s="366"/>
    </row>
    <row r="13" spans="1:10">
      <c r="A13" s="13">
        <v>9</v>
      </c>
      <c r="B13" s="364" t="s">
        <v>255</v>
      </c>
      <c r="C13" s="365">
        <v>19072</v>
      </c>
      <c r="D13" s="364"/>
      <c r="E13" s="366"/>
      <c r="G13" s="364" t="s">
        <v>385</v>
      </c>
      <c r="H13" s="366">
        <v>2136</v>
      </c>
      <c r="I13" s="364"/>
      <c r="J13" s="366"/>
    </row>
    <row r="14" spans="1:10">
      <c r="A14" s="13">
        <v>10</v>
      </c>
      <c r="B14" s="364" t="s">
        <v>385</v>
      </c>
      <c r="C14" s="365">
        <v>19072</v>
      </c>
      <c r="D14" s="364"/>
      <c r="E14" s="366"/>
      <c r="G14" s="364" t="s">
        <v>10</v>
      </c>
      <c r="H14" s="366">
        <v>214</v>
      </c>
      <c r="I14" s="364"/>
      <c r="J14" s="366"/>
    </row>
    <row r="15" spans="1:10">
      <c r="B15" s="364" t="s">
        <v>102</v>
      </c>
      <c r="C15" s="366">
        <f>C16-SUM(C5:C14)</f>
        <v>48032</v>
      </c>
      <c r="D15" s="364" t="s">
        <v>102</v>
      </c>
      <c r="E15" s="366">
        <f>E16-SUM(E5:E14)</f>
        <v>0</v>
      </c>
      <c r="G15" s="475" t="s">
        <v>418</v>
      </c>
      <c r="H15" s="366">
        <f>H16-SUM(H5:H14)</f>
        <v>0</v>
      </c>
      <c r="I15" s="364" t="s">
        <v>102</v>
      </c>
      <c r="J15" s="366">
        <f>J16-SUM(J5:J14)</f>
        <v>0</v>
      </c>
    </row>
    <row r="16" spans="1:10">
      <c r="B16" s="364" t="s">
        <v>103</v>
      </c>
      <c r="C16" s="366">
        <v>934270</v>
      </c>
      <c r="D16" s="364" t="s">
        <v>103</v>
      </c>
      <c r="E16" s="366">
        <v>152904</v>
      </c>
      <c r="G16" s="364" t="s">
        <v>103</v>
      </c>
      <c r="H16" s="366">
        <v>356150</v>
      </c>
      <c r="I16" s="364" t="s">
        <v>103</v>
      </c>
      <c r="J16" s="366">
        <v>122599</v>
      </c>
    </row>
    <row r="18" spans="1:10">
      <c r="B18" s="474" t="s">
        <v>419</v>
      </c>
      <c r="G18" s="54" t="s">
        <v>479</v>
      </c>
    </row>
    <row r="19" spans="1:10">
      <c r="B19" s="30" t="s">
        <v>98</v>
      </c>
      <c r="C19" s="362" t="s">
        <v>99</v>
      </c>
      <c r="D19" s="30" t="s">
        <v>100</v>
      </c>
      <c r="E19" s="362" t="s">
        <v>101</v>
      </c>
      <c r="G19" s="30" t="s">
        <v>98</v>
      </c>
      <c r="H19" s="362" t="s">
        <v>99</v>
      </c>
      <c r="I19" s="30" t="s">
        <v>100</v>
      </c>
      <c r="J19" s="362" t="s">
        <v>101</v>
      </c>
    </row>
    <row r="20" spans="1:10">
      <c r="A20" s="13">
        <v>1</v>
      </c>
      <c r="B20" s="476" t="s">
        <v>238</v>
      </c>
      <c r="C20" s="366">
        <v>5306345</v>
      </c>
      <c r="D20" s="364" t="s">
        <v>238</v>
      </c>
      <c r="E20" s="366">
        <v>9624689</v>
      </c>
      <c r="G20" s="364" t="s">
        <v>9</v>
      </c>
      <c r="H20" s="366">
        <v>485839</v>
      </c>
      <c r="I20" s="364" t="s">
        <v>238</v>
      </c>
      <c r="J20" s="366">
        <v>3439856</v>
      </c>
    </row>
    <row r="21" spans="1:10">
      <c r="A21" s="13">
        <v>2</v>
      </c>
      <c r="B21" s="476" t="s">
        <v>245</v>
      </c>
      <c r="C21" s="366">
        <v>5145225</v>
      </c>
      <c r="D21" s="364" t="s">
        <v>447</v>
      </c>
      <c r="E21" s="366">
        <v>2546007</v>
      </c>
      <c r="G21" s="364" t="s">
        <v>255</v>
      </c>
      <c r="H21" s="366">
        <v>444398</v>
      </c>
      <c r="I21" s="364" t="s">
        <v>442</v>
      </c>
      <c r="J21" s="366">
        <v>292616</v>
      </c>
    </row>
    <row r="22" spans="1:10">
      <c r="A22" s="13">
        <v>3</v>
      </c>
      <c r="B22" s="476" t="s">
        <v>244</v>
      </c>
      <c r="C22" s="366">
        <v>3636831</v>
      </c>
      <c r="D22" s="364" t="s">
        <v>442</v>
      </c>
      <c r="E22" s="366">
        <v>1623825</v>
      </c>
      <c r="G22" s="364" t="s">
        <v>238</v>
      </c>
      <c r="H22" s="366">
        <v>395087</v>
      </c>
      <c r="I22" s="364" t="s">
        <v>255</v>
      </c>
      <c r="J22" s="366">
        <v>243180</v>
      </c>
    </row>
    <row r="23" spans="1:10">
      <c r="A23" s="13">
        <v>4</v>
      </c>
      <c r="B23" s="476" t="s">
        <v>443</v>
      </c>
      <c r="C23" s="366">
        <v>3106411</v>
      </c>
      <c r="D23" s="364" t="s">
        <v>446</v>
      </c>
      <c r="E23" s="366">
        <v>901709</v>
      </c>
      <c r="G23" s="364" t="s">
        <v>244</v>
      </c>
      <c r="H23" s="366">
        <v>330516</v>
      </c>
      <c r="I23" s="364" t="s">
        <v>447</v>
      </c>
      <c r="J23" s="366">
        <v>93470</v>
      </c>
    </row>
    <row r="24" spans="1:10">
      <c r="A24" s="13">
        <v>5</v>
      </c>
      <c r="B24" s="476" t="s">
        <v>257</v>
      </c>
      <c r="C24" s="366">
        <v>2861305</v>
      </c>
      <c r="D24" s="364" t="s">
        <v>10</v>
      </c>
      <c r="E24" s="366">
        <v>116510</v>
      </c>
      <c r="G24" s="364" t="s">
        <v>443</v>
      </c>
      <c r="H24" s="366">
        <v>209916</v>
      </c>
      <c r="I24" s="364" t="s">
        <v>448</v>
      </c>
      <c r="J24" s="366">
        <v>6042</v>
      </c>
    </row>
    <row r="25" spans="1:10">
      <c r="A25" s="13">
        <v>6</v>
      </c>
      <c r="B25" s="476" t="s">
        <v>9</v>
      </c>
      <c r="C25" s="366">
        <v>2184132</v>
      </c>
      <c r="D25" s="364" t="s">
        <v>245</v>
      </c>
      <c r="E25" s="366">
        <v>59200</v>
      </c>
      <c r="G25" s="364" t="s">
        <v>10</v>
      </c>
      <c r="H25" s="366">
        <v>153951</v>
      </c>
      <c r="I25" s="364" t="s">
        <v>10</v>
      </c>
      <c r="J25" s="366">
        <v>3052</v>
      </c>
    </row>
    <row r="26" spans="1:10">
      <c r="A26" s="13">
        <v>7</v>
      </c>
      <c r="B26" s="476" t="s">
        <v>246</v>
      </c>
      <c r="C26" s="366">
        <v>1531372</v>
      </c>
      <c r="D26" s="364" t="s">
        <v>383</v>
      </c>
      <c r="E26" s="366">
        <v>25116</v>
      </c>
      <c r="G26" s="364" t="s">
        <v>245</v>
      </c>
      <c r="H26" s="366">
        <v>107203</v>
      </c>
      <c r="I26" s="364" t="s">
        <v>383</v>
      </c>
      <c r="J26" s="366">
        <v>2228</v>
      </c>
    </row>
    <row r="27" spans="1:10">
      <c r="A27" s="13">
        <v>8</v>
      </c>
      <c r="B27" s="476" t="s">
        <v>10</v>
      </c>
      <c r="C27" s="366">
        <v>1309675</v>
      </c>
      <c r="D27" s="364" t="s">
        <v>449</v>
      </c>
      <c r="E27" s="366">
        <v>11657</v>
      </c>
      <c r="G27" s="364" t="s">
        <v>447</v>
      </c>
      <c r="H27" s="366">
        <v>90327</v>
      </c>
      <c r="I27" s="364" t="s">
        <v>245</v>
      </c>
      <c r="J27" s="366">
        <v>793</v>
      </c>
    </row>
    <row r="28" spans="1:10">
      <c r="A28" s="13">
        <v>9</v>
      </c>
      <c r="B28" s="476" t="s">
        <v>447</v>
      </c>
      <c r="C28" s="366">
        <v>922125</v>
      </c>
      <c r="D28" s="364" t="s">
        <v>443</v>
      </c>
      <c r="E28" s="366">
        <v>10680</v>
      </c>
      <c r="G28" s="364" t="s">
        <v>446</v>
      </c>
      <c r="H28" s="366">
        <v>50778</v>
      </c>
      <c r="I28" s="364" t="s">
        <v>244</v>
      </c>
      <c r="J28" s="366">
        <v>61</v>
      </c>
    </row>
    <row r="29" spans="1:10">
      <c r="A29" s="13">
        <v>10</v>
      </c>
      <c r="B29" s="476" t="s">
        <v>256</v>
      </c>
      <c r="C29" s="366">
        <v>759809</v>
      </c>
      <c r="D29" s="364" t="s">
        <v>9</v>
      </c>
      <c r="E29" s="366">
        <v>8452</v>
      </c>
      <c r="G29" s="364" t="s">
        <v>444</v>
      </c>
      <c r="H29" s="366">
        <v>30149</v>
      </c>
      <c r="I29" s="364" t="s">
        <v>453</v>
      </c>
      <c r="J29" s="366">
        <v>61</v>
      </c>
    </row>
    <row r="30" spans="1:10">
      <c r="B30" s="364" t="s">
        <v>102</v>
      </c>
      <c r="C30" s="366">
        <f>C31-SUM(C20:C29)</f>
        <v>7708119</v>
      </c>
      <c r="D30" s="364" t="s">
        <v>420</v>
      </c>
      <c r="E30" s="366">
        <f>E31-SUM(E20:E29)</f>
        <v>2503</v>
      </c>
      <c r="G30" s="364" t="s">
        <v>418</v>
      </c>
      <c r="H30" s="366">
        <f>H31-SUM(H20:H29)</f>
        <v>254471</v>
      </c>
      <c r="I30" s="364" t="s">
        <v>102</v>
      </c>
      <c r="J30" s="366">
        <f>J31-SUM(J20:J29)</f>
        <v>0</v>
      </c>
    </row>
    <row r="31" spans="1:10">
      <c r="B31" s="364" t="s">
        <v>103</v>
      </c>
      <c r="C31" s="366">
        <v>34471349</v>
      </c>
      <c r="D31" s="364" t="s">
        <v>103</v>
      </c>
      <c r="E31" s="366">
        <v>14930348</v>
      </c>
      <c r="G31" s="364" t="s">
        <v>103</v>
      </c>
      <c r="H31" s="366">
        <v>2552635</v>
      </c>
      <c r="I31" s="364" t="s">
        <v>103</v>
      </c>
      <c r="J31" s="366">
        <v>4081359</v>
      </c>
    </row>
    <row r="32" spans="1:10">
      <c r="B32" s="369"/>
      <c r="D32" s="369"/>
      <c r="G32" s="369"/>
      <c r="I32" s="369"/>
    </row>
    <row r="33" spans="1:10">
      <c r="B33" s="54" t="s">
        <v>421</v>
      </c>
      <c r="D33" s="369"/>
      <c r="G33" s="54" t="s">
        <v>480</v>
      </c>
      <c r="I33" s="369"/>
    </row>
    <row r="34" spans="1:10">
      <c r="B34" s="364" t="s">
        <v>98</v>
      </c>
      <c r="C34" s="366" t="s">
        <v>99</v>
      </c>
      <c r="D34" s="364" t="s">
        <v>100</v>
      </c>
      <c r="E34" s="362" t="s">
        <v>101</v>
      </c>
      <c r="G34" s="364" t="s">
        <v>98</v>
      </c>
      <c r="H34" s="366" t="s">
        <v>99</v>
      </c>
      <c r="I34" s="364" t="s">
        <v>100</v>
      </c>
      <c r="J34" s="362" t="s">
        <v>101</v>
      </c>
    </row>
    <row r="35" spans="1:10">
      <c r="A35" s="13">
        <v>1</v>
      </c>
      <c r="B35" s="364" t="s">
        <v>238</v>
      </c>
      <c r="C35" s="366">
        <v>177632</v>
      </c>
      <c r="D35" s="364" t="s">
        <v>179</v>
      </c>
      <c r="E35" s="366">
        <v>411233</v>
      </c>
      <c r="G35" s="364" t="s">
        <v>244</v>
      </c>
      <c r="H35" s="366">
        <v>1724323</v>
      </c>
      <c r="I35" s="364" t="s">
        <v>448</v>
      </c>
      <c r="J35" s="366">
        <v>323924</v>
      </c>
    </row>
    <row r="36" spans="1:10">
      <c r="A36" s="13">
        <v>2</v>
      </c>
      <c r="B36" s="364" t="s">
        <v>446</v>
      </c>
      <c r="C36" s="366">
        <v>71499</v>
      </c>
      <c r="D36" s="364" t="s">
        <v>164</v>
      </c>
      <c r="E36" s="366">
        <v>275307</v>
      </c>
      <c r="G36" s="364" t="s">
        <v>238</v>
      </c>
      <c r="H36" s="366">
        <v>1407295</v>
      </c>
      <c r="I36" s="364" t="s">
        <v>238</v>
      </c>
      <c r="J36" s="366">
        <v>250909</v>
      </c>
    </row>
    <row r="37" spans="1:10">
      <c r="A37" s="13">
        <v>3</v>
      </c>
      <c r="B37" s="364" t="s">
        <v>276</v>
      </c>
      <c r="C37" s="366">
        <v>50870</v>
      </c>
      <c r="D37" s="364" t="s">
        <v>184</v>
      </c>
      <c r="E37" s="366">
        <v>100183</v>
      </c>
      <c r="G37" s="364" t="s">
        <v>443</v>
      </c>
      <c r="H37" s="366">
        <v>776563</v>
      </c>
      <c r="I37" s="364" t="s">
        <v>442</v>
      </c>
      <c r="J37" s="366">
        <v>162862</v>
      </c>
    </row>
    <row r="38" spans="1:10">
      <c r="A38" s="13">
        <v>4</v>
      </c>
      <c r="B38" s="364" t="s">
        <v>443</v>
      </c>
      <c r="C38" s="366">
        <v>50808</v>
      </c>
      <c r="D38" s="367" t="s">
        <v>158</v>
      </c>
      <c r="E38" s="366">
        <v>153</v>
      </c>
      <c r="G38" s="364" t="s">
        <v>444</v>
      </c>
      <c r="H38" s="366">
        <v>614192</v>
      </c>
      <c r="I38" s="364" t="s">
        <v>11</v>
      </c>
      <c r="J38" s="366">
        <v>157521</v>
      </c>
    </row>
    <row r="39" spans="1:10">
      <c r="A39" s="13">
        <v>5</v>
      </c>
      <c r="B39" s="364" t="s">
        <v>296</v>
      </c>
      <c r="C39" s="366">
        <v>42569</v>
      </c>
      <c r="D39" s="367" t="s">
        <v>441</v>
      </c>
      <c r="E39" s="366">
        <v>92</v>
      </c>
      <c r="G39" s="364" t="s">
        <v>245</v>
      </c>
      <c r="H39" s="366">
        <v>544827</v>
      </c>
      <c r="I39" s="364" t="s">
        <v>443</v>
      </c>
      <c r="J39" s="366">
        <v>79555</v>
      </c>
    </row>
    <row r="40" spans="1:10">
      <c r="A40" s="13">
        <v>6</v>
      </c>
      <c r="B40" s="364" t="s">
        <v>245</v>
      </c>
      <c r="C40" s="366">
        <v>25358</v>
      </c>
      <c r="D40" s="364"/>
      <c r="E40" s="366"/>
      <c r="G40" s="364" t="s">
        <v>14</v>
      </c>
      <c r="H40" s="366">
        <v>449374</v>
      </c>
      <c r="I40" s="364" t="s">
        <v>245</v>
      </c>
      <c r="J40" s="366">
        <v>40525</v>
      </c>
    </row>
    <row r="41" spans="1:10">
      <c r="A41" s="13">
        <v>7</v>
      </c>
      <c r="B41" s="364" t="s">
        <v>255</v>
      </c>
      <c r="C41" s="366">
        <v>22673</v>
      </c>
      <c r="D41" s="364"/>
      <c r="E41" s="366"/>
      <c r="G41" s="364" t="s">
        <v>383</v>
      </c>
      <c r="H41" s="366">
        <v>232133</v>
      </c>
      <c r="I41" s="364" t="s">
        <v>10</v>
      </c>
      <c r="J41" s="366">
        <v>31632</v>
      </c>
    </row>
    <row r="42" spans="1:10">
      <c r="A42" s="13">
        <v>8</v>
      </c>
      <c r="B42" s="364" t="s">
        <v>262</v>
      </c>
      <c r="C42" s="366">
        <v>22582</v>
      </c>
      <c r="D42" s="364"/>
      <c r="E42" s="366"/>
      <c r="G42" s="364" t="s">
        <v>454</v>
      </c>
      <c r="H42" s="366">
        <v>137046</v>
      </c>
      <c r="I42" s="364" t="s">
        <v>383</v>
      </c>
      <c r="J42" s="366">
        <v>1129</v>
      </c>
    </row>
    <row r="43" spans="1:10">
      <c r="A43" s="13">
        <v>9</v>
      </c>
      <c r="B43" s="364" t="s">
        <v>452</v>
      </c>
      <c r="C43" s="366">
        <v>21727</v>
      </c>
      <c r="D43" s="364"/>
      <c r="E43" s="366"/>
      <c r="G43" s="364" t="s">
        <v>446</v>
      </c>
      <c r="H43" s="366">
        <v>136375</v>
      </c>
      <c r="I43" s="364"/>
      <c r="J43" s="366"/>
    </row>
    <row r="44" spans="1:10">
      <c r="A44" s="13">
        <v>10</v>
      </c>
      <c r="B44" s="364" t="s">
        <v>10</v>
      </c>
      <c r="C44" s="366">
        <v>11047</v>
      </c>
      <c r="D44" s="364"/>
      <c r="E44" s="366"/>
      <c r="G44" s="364" t="s">
        <v>10</v>
      </c>
      <c r="H44" s="366">
        <v>88588</v>
      </c>
      <c r="I44" s="364"/>
      <c r="J44" s="366"/>
    </row>
    <row r="45" spans="1:10">
      <c r="B45" s="364" t="s">
        <v>102</v>
      </c>
      <c r="C45" s="366">
        <f>C46-SUM(C34:C44)</f>
        <v>34271</v>
      </c>
      <c r="D45" s="364" t="s">
        <v>422</v>
      </c>
      <c r="E45" s="366">
        <f>E46-SUM(E34:E44)</f>
        <v>0</v>
      </c>
      <c r="G45" s="364" t="s">
        <v>423</v>
      </c>
      <c r="H45" s="366">
        <f>H46-SUM(H34:H44)</f>
        <v>535094</v>
      </c>
      <c r="I45" s="364" t="s">
        <v>424</v>
      </c>
      <c r="J45" s="366">
        <f>J46-SUM(J34:J44)</f>
        <v>0</v>
      </c>
    </row>
    <row r="46" spans="1:10">
      <c r="B46" s="364" t="s">
        <v>103</v>
      </c>
      <c r="C46" s="366">
        <v>531036</v>
      </c>
      <c r="D46" s="364" t="s">
        <v>103</v>
      </c>
      <c r="E46" s="366">
        <v>786968</v>
      </c>
      <c r="G46" s="364" t="s">
        <v>103</v>
      </c>
      <c r="H46" s="366">
        <v>6645810</v>
      </c>
      <c r="I46" s="364" t="s">
        <v>103</v>
      </c>
      <c r="J46" s="366">
        <v>1048057</v>
      </c>
    </row>
    <row r="47" spans="1:10">
      <c r="B47" s="369"/>
      <c r="D47" s="369"/>
      <c r="G47" s="369"/>
      <c r="I47" s="369"/>
    </row>
    <row r="48" spans="1:10">
      <c r="B48" s="54" t="s">
        <v>425</v>
      </c>
      <c r="G48" s="264" t="s">
        <v>426</v>
      </c>
    </row>
    <row r="49" spans="1:10">
      <c r="B49" s="30" t="s">
        <v>98</v>
      </c>
      <c r="C49" s="362" t="s">
        <v>99</v>
      </c>
      <c r="D49" s="30" t="s">
        <v>100</v>
      </c>
      <c r="E49" s="362" t="s">
        <v>101</v>
      </c>
      <c r="G49" s="30" t="s">
        <v>98</v>
      </c>
      <c r="H49" s="362" t="s">
        <v>99</v>
      </c>
      <c r="I49" s="30" t="s">
        <v>100</v>
      </c>
      <c r="J49" s="362" t="s">
        <v>101</v>
      </c>
    </row>
    <row r="50" spans="1:10">
      <c r="A50" s="13">
        <v>1</v>
      </c>
      <c r="B50" s="364" t="s">
        <v>255</v>
      </c>
      <c r="C50" s="366">
        <v>1620873</v>
      </c>
      <c r="D50" s="364" t="s">
        <v>238</v>
      </c>
      <c r="E50" s="366">
        <v>856727</v>
      </c>
      <c r="G50" s="367" t="s">
        <v>168</v>
      </c>
      <c r="H50" s="366">
        <v>41043</v>
      </c>
      <c r="I50" s="367" t="s">
        <v>441</v>
      </c>
      <c r="J50" s="366">
        <v>3998</v>
      </c>
    </row>
    <row r="51" spans="1:10">
      <c r="A51" s="13">
        <v>2</v>
      </c>
      <c r="B51" s="364" t="s">
        <v>238</v>
      </c>
      <c r="C51" s="366">
        <v>1436832</v>
      </c>
      <c r="D51" s="364" t="s">
        <v>443</v>
      </c>
      <c r="E51" s="366">
        <v>364266</v>
      </c>
      <c r="G51" s="367" t="s">
        <v>159</v>
      </c>
      <c r="H51" s="366">
        <v>6774</v>
      </c>
      <c r="I51" s="367" t="s">
        <v>178</v>
      </c>
      <c r="J51" s="366">
        <v>31</v>
      </c>
    </row>
    <row r="52" spans="1:10">
      <c r="A52" s="13">
        <v>3</v>
      </c>
      <c r="B52" s="364" t="s">
        <v>443</v>
      </c>
      <c r="C52" s="366">
        <v>241379</v>
      </c>
      <c r="D52" s="364" t="s">
        <v>448</v>
      </c>
      <c r="E52" s="366">
        <v>123637</v>
      </c>
      <c r="G52" s="367" t="s">
        <v>165</v>
      </c>
      <c r="H52" s="366">
        <v>1556</v>
      </c>
      <c r="I52" s="367" t="s">
        <v>164</v>
      </c>
      <c r="J52" s="366">
        <v>15</v>
      </c>
    </row>
    <row r="53" spans="1:10">
      <c r="A53" s="13">
        <v>4</v>
      </c>
      <c r="B53" s="364" t="s">
        <v>444</v>
      </c>
      <c r="C53" s="366">
        <v>180959</v>
      </c>
      <c r="D53" s="364" t="s">
        <v>445</v>
      </c>
      <c r="E53" s="366">
        <v>118004</v>
      </c>
      <c r="G53" s="367"/>
      <c r="H53" s="366"/>
      <c r="I53" s="367"/>
      <c r="J53" s="366"/>
    </row>
    <row r="54" spans="1:10">
      <c r="A54" s="13">
        <v>5</v>
      </c>
      <c r="B54" s="364" t="s">
        <v>447</v>
      </c>
      <c r="C54" s="366">
        <v>165274</v>
      </c>
      <c r="D54" s="364" t="s">
        <v>442</v>
      </c>
      <c r="E54" s="366">
        <v>114159</v>
      </c>
      <c r="G54" s="367"/>
      <c r="H54" s="366"/>
      <c r="I54" s="367"/>
      <c r="J54" s="366"/>
    </row>
    <row r="55" spans="1:10">
      <c r="A55" s="13">
        <v>6</v>
      </c>
      <c r="B55" s="364" t="s">
        <v>266</v>
      </c>
      <c r="C55" s="366">
        <v>84772</v>
      </c>
      <c r="D55" s="364" t="s">
        <v>12</v>
      </c>
      <c r="E55" s="366">
        <v>70918</v>
      </c>
      <c r="G55" s="367"/>
      <c r="H55" s="366"/>
      <c r="I55" s="367"/>
      <c r="J55" s="366"/>
    </row>
    <row r="56" spans="1:10">
      <c r="A56" s="13">
        <v>7</v>
      </c>
      <c r="B56" s="364" t="s">
        <v>245</v>
      </c>
      <c r="C56" s="366">
        <v>69027</v>
      </c>
      <c r="D56" s="364" t="s">
        <v>451</v>
      </c>
      <c r="E56" s="366">
        <v>66768</v>
      </c>
      <c r="G56" s="367"/>
      <c r="H56" s="366"/>
      <c r="I56" s="367"/>
      <c r="J56" s="366"/>
    </row>
    <row r="57" spans="1:10">
      <c r="A57" s="13">
        <v>8</v>
      </c>
      <c r="B57" s="364" t="s">
        <v>385</v>
      </c>
      <c r="C57" s="366">
        <v>47604</v>
      </c>
      <c r="D57" s="364" t="s">
        <v>383</v>
      </c>
      <c r="E57" s="366">
        <v>44370</v>
      </c>
      <c r="G57" s="367"/>
      <c r="H57" s="366"/>
      <c r="I57" s="367"/>
      <c r="J57" s="366"/>
    </row>
    <row r="58" spans="1:10">
      <c r="A58" s="13">
        <v>9</v>
      </c>
      <c r="B58" s="364" t="s">
        <v>15</v>
      </c>
      <c r="C58" s="366">
        <v>40738</v>
      </c>
      <c r="D58" s="364" t="s">
        <v>256</v>
      </c>
      <c r="E58" s="366">
        <v>9796</v>
      </c>
      <c r="G58" s="367"/>
      <c r="H58" s="366"/>
      <c r="I58" s="367"/>
      <c r="J58" s="366"/>
    </row>
    <row r="59" spans="1:10">
      <c r="A59" s="13">
        <v>10</v>
      </c>
      <c r="B59" s="364" t="s">
        <v>246</v>
      </c>
      <c r="C59" s="366">
        <v>39884</v>
      </c>
      <c r="D59" s="364" t="s">
        <v>245</v>
      </c>
      <c r="E59" s="366">
        <v>1892</v>
      </c>
      <c r="G59" s="367"/>
      <c r="H59" s="366"/>
      <c r="I59" s="367"/>
      <c r="J59" s="366"/>
    </row>
    <row r="60" spans="1:10">
      <c r="B60" s="364" t="s">
        <v>427</v>
      </c>
      <c r="C60" s="366">
        <f>C61-SUM(C49:C59)</f>
        <v>293835</v>
      </c>
      <c r="D60" s="364" t="s">
        <v>102</v>
      </c>
      <c r="E60" s="366">
        <f>E61-SUM(E49:E59)</f>
        <v>1862</v>
      </c>
      <c r="G60" s="367" t="s">
        <v>428</v>
      </c>
      <c r="H60" s="366">
        <f>H61-SUM(H49:H59)</f>
        <v>0</v>
      </c>
      <c r="I60" s="364" t="s">
        <v>102</v>
      </c>
      <c r="J60" s="366">
        <f>J61-SUM(J49:J59)</f>
        <v>0</v>
      </c>
    </row>
    <row r="61" spans="1:10">
      <c r="B61" s="364" t="s">
        <v>103</v>
      </c>
      <c r="C61" s="366">
        <v>4221177</v>
      </c>
      <c r="D61" s="364" t="s">
        <v>103</v>
      </c>
      <c r="E61" s="366">
        <v>1772399</v>
      </c>
      <c r="G61" s="364" t="s">
        <v>103</v>
      </c>
      <c r="H61" s="366">
        <v>49373</v>
      </c>
      <c r="I61" s="364" t="s">
        <v>103</v>
      </c>
      <c r="J61" s="366">
        <v>4044</v>
      </c>
    </row>
    <row r="63" spans="1:10">
      <c r="B63" s="474" t="s">
        <v>401</v>
      </c>
      <c r="G63" s="474" t="s">
        <v>429</v>
      </c>
    </row>
    <row r="64" spans="1:10">
      <c r="B64" s="30" t="s">
        <v>98</v>
      </c>
      <c r="C64" s="362" t="s">
        <v>99</v>
      </c>
      <c r="D64" s="30" t="s">
        <v>100</v>
      </c>
      <c r="E64" s="362" t="s">
        <v>101</v>
      </c>
      <c r="G64" s="30" t="s">
        <v>98</v>
      </c>
      <c r="H64" s="362" t="s">
        <v>99</v>
      </c>
      <c r="I64" s="30" t="s">
        <v>100</v>
      </c>
      <c r="J64" s="362" t="s">
        <v>101</v>
      </c>
    </row>
    <row r="65" spans="1:10">
      <c r="A65" s="13">
        <v>1</v>
      </c>
      <c r="B65" s="364" t="s">
        <v>383</v>
      </c>
      <c r="C65" s="366">
        <v>46170</v>
      </c>
      <c r="D65" s="367" t="s">
        <v>441</v>
      </c>
      <c r="E65" s="366">
        <v>288009</v>
      </c>
      <c r="G65" s="364" t="s">
        <v>245</v>
      </c>
      <c r="H65" s="366">
        <v>1935154</v>
      </c>
      <c r="I65" s="364" t="s">
        <v>383</v>
      </c>
      <c r="J65" s="366">
        <v>3887394</v>
      </c>
    </row>
    <row r="66" spans="1:10">
      <c r="A66" s="13">
        <v>2</v>
      </c>
      <c r="B66" s="364" t="s">
        <v>6</v>
      </c>
      <c r="C66" s="366">
        <v>8148</v>
      </c>
      <c r="D66" s="364" t="s">
        <v>178</v>
      </c>
      <c r="E66" s="366">
        <v>14221</v>
      </c>
      <c r="G66" s="364" t="s">
        <v>238</v>
      </c>
      <c r="H66" s="366">
        <v>1891214</v>
      </c>
      <c r="I66" s="364" t="s">
        <v>238</v>
      </c>
      <c r="J66" s="366">
        <v>717536</v>
      </c>
    </row>
    <row r="67" spans="1:10">
      <c r="A67" s="13">
        <v>3</v>
      </c>
      <c r="B67" s="364" t="s">
        <v>443</v>
      </c>
      <c r="C67" s="366">
        <v>8147</v>
      </c>
      <c r="D67" s="367" t="s">
        <v>164</v>
      </c>
      <c r="E67" s="366">
        <v>9246</v>
      </c>
      <c r="G67" s="364" t="s">
        <v>443</v>
      </c>
      <c r="H67" s="366">
        <v>791296</v>
      </c>
      <c r="I67" s="364" t="s">
        <v>245</v>
      </c>
      <c r="J67" s="366">
        <v>203998</v>
      </c>
    </row>
    <row r="68" spans="1:10">
      <c r="A68" s="13">
        <v>4</v>
      </c>
      <c r="B68" s="364" t="s">
        <v>385</v>
      </c>
      <c r="C68" s="366">
        <v>5584</v>
      </c>
      <c r="D68" s="367" t="s">
        <v>158</v>
      </c>
      <c r="E68" s="366">
        <v>763</v>
      </c>
      <c r="G68" s="364" t="s">
        <v>446</v>
      </c>
      <c r="H68" s="366">
        <v>623651</v>
      </c>
      <c r="I68" s="364" t="s">
        <v>448</v>
      </c>
      <c r="J68" s="366">
        <v>180288</v>
      </c>
    </row>
    <row r="69" spans="1:10">
      <c r="A69" s="13">
        <v>5</v>
      </c>
      <c r="B69" s="364" t="s">
        <v>454</v>
      </c>
      <c r="C69" s="366">
        <v>3174</v>
      </c>
      <c r="D69" s="364"/>
      <c r="E69" s="366"/>
      <c r="G69" s="364" t="s">
        <v>246</v>
      </c>
      <c r="H69" s="366">
        <v>512724</v>
      </c>
      <c r="I69" s="364" t="s">
        <v>447</v>
      </c>
      <c r="J69" s="366">
        <v>66128</v>
      </c>
    </row>
    <row r="70" spans="1:10">
      <c r="A70" s="13">
        <v>6</v>
      </c>
      <c r="B70" s="364" t="s">
        <v>452</v>
      </c>
      <c r="C70" s="366">
        <v>2258</v>
      </c>
      <c r="D70" s="364"/>
      <c r="E70" s="366"/>
      <c r="G70" s="364" t="s">
        <v>447</v>
      </c>
      <c r="H70" s="366">
        <v>512420</v>
      </c>
      <c r="I70" s="364" t="s">
        <v>9</v>
      </c>
      <c r="J70" s="366">
        <v>33598</v>
      </c>
    </row>
    <row r="71" spans="1:10">
      <c r="A71" s="13">
        <v>7</v>
      </c>
      <c r="B71" s="364" t="s">
        <v>256</v>
      </c>
      <c r="C71" s="366">
        <v>31</v>
      </c>
      <c r="D71" s="364"/>
      <c r="E71" s="366"/>
      <c r="G71" s="364" t="s">
        <v>255</v>
      </c>
      <c r="H71" s="366">
        <v>510101</v>
      </c>
      <c r="I71" s="364" t="s">
        <v>10</v>
      </c>
      <c r="J71" s="366">
        <v>28685</v>
      </c>
    </row>
    <row r="72" spans="1:10">
      <c r="A72" s="13">
        <v>8</v>
      </c>
      <c r="B72" s="364"/>
      <c r="C72" s="366"/>
      <c r="D72" s="364"/>
      <c r="E72" s="366"/>
      <c r="G72" s="364" t="s">
        <v>10</v>
      </c>
      <c r="H72" s="366">
        <v>422029</v>
      </c>
      <c r="I72" s="364" t="s">
        <v>451</v>
      </c>
      <c r="J72" s="366">
        <v>26176</v>
      </c>
    </row>
    <row r="73" spans="1:10">
      <c r="A73" s="13">
        <v>9</v>
      </c>
      <c r="B73" s="364"/>
      <c r="C73" s="366"/>
      <c r="D73" s="364"/>
      <c r="E73" s="366"/>
      <c r="G73" s="364" t="s">
        <v>244</v>
      </c>
      <c r="H73" s="366">
        <v>392187</v>
      </c>
      <c r="I73" s="364" t="s">
        <v>445</v>
      </c>
      <c r="J73" s="366">
        <v>10284</v>
      </c>
    </row>
    <row r="74" spans="1:10">
      <c r="A74" s="13">
        <v>10</v>
      </c>
      <c r="B74" s="364"/>
      <c r="C74" s="366"/>
      <c r="D74" s="541"/>
      <c r="E74" s="366"/>
      <c r="G74" s="364" t="s">
        <v>444</v>
      </c>
      <c r="H74" s="366">
        <v>360450</v>
      </c>
      <c r="I74" s="364" t="s">
        <v>244</v>
      </c>
      <c r="J74" s="366">
        <v>6042</v>
      </c>
    </row>
    <row r="75" spans="1:10">
      <c r="B75" s="364" t="s">
        <v>102</v>
      </c>
      <c r="C75" s="366">
        <f>C76-SUM(C64:C74)</f>
        <v>0</v>
      </c>
      <c r="D75" s="364" t="s">
        <v>102</v>
      </c>
      <c r="E75" s="366">
        <f>E76-SUM(E64:E74)</f>
        <v>0</v>
      </c>
      <c r="G75" s="364" t="s">
        <v>102</v>
      </c>
      <c r="H75" s="366">
        <f>H76-SUM(H64:H74)</f>
        <v>1860211</v>
      </c>
      <c r="I75" s="364" t="s">
        <v>430</v>
      </c>
      <c r="J75" s="366">
        <f>J76-SUM(J64:J74)</f>
        <v>7082</v>
      </c>
    </row>
    <row r="76" spans="1:10">
      <c r="B76" s="364" t="s">
        <v>103</v>
      </c>
      <c r="C76" s="366">
        <v>73512</v>
      </c>
      <c r="D76" s="364" t="s">
        <v>103</v>
      </c>
      <c r="E76" s="366">
        <v>312239</v>
      </c>
      <c r="G76" s="364" t="s">
        <v>103</v>
      </c>
      <c r="H76" s="366">
        <v>9811437</v>
      </c>
      <c r="I76" s="364" t="s">
        <v>103</v>
      </c>
      <c r="J76" s="366">
        <v>5167211</v>
      </c>
    </row>
    <row r="78" spans="1:10">
      <c r="B78" s="54" t="s">
        <v>481</v>
      </c>
      <c r="G78" s="474" t="s">
        <v>431</v>
      </c>
    </row>
    <row r="79" spans="1:10">
      <c r="B79" s="30" t="s">
        <v>98</v>
      </c>
      <c r="C79" s="362" t="s">
        <v>99</v>
      </c>
      <c r="D79" s="30" t="s">
        <v>100</v>
      </c>
      <c r="E79" s="362" t="s">
        <v>101</v>
      </c>
      <c r="G79" s="30" t="s">
        <v>98</v>
      </c>
      <c r="H79" s="362" t="s">
        <v>99</v>
      </c>
      <c r="I79" s="30" t="s">
        <v>100</v>
      </c>
      <c r="J79" s="362" t="s">
        <v>101</v>
      </c>
    </row>
    <row r="80" spans="1:10">
      <c r="A80" s="13">
        <v>1</v>
      </c>
      <c r="B80" s="364" t="s">
        <v>443</v>
      </c>
      <c r="C80" s="366">
        <v>476778</v>
      </c>
      <c r="D80" s="364" t="s">
        <v>238</v>
      </c>
      <c r="E80" s="366">
        <v>339270</v>
      </c>
      <c r="G80" s="364" t="s">
        <v>444</v>
      </c>
      <c r="H80" s="366">
        <v>319318</v>
      </c>
      <c r="I80" s="587" t="s">
        <v>443</v>
      </c>
      <c r="J80" s="588">
        <v>43393</v>
      </c>
    </row>
    <row r="81" spans="1:10">
      <c r="A81" s="13">
        <v>2</v>
      </c>
      <c r="B81" s="364" t="s">
        <v>244</v>
      </c>
      <c r="C81" s="366">
        <v>284192</v>
      </c>
      <c r="D81" s="364" t="s">
        <v>10</v>
      </c>
      <c r="E81" s="366">
        <v>196219</v>
      </c>
      <c r="G81" s="364" t="s">
        <v>443</v>
      </c>
      <c r="H81" s="366">
        <v>300548</v>
      </c>
      <c r="I81" s="587" t="s">
        <v>238</v>
      </c>
      <c r="J81" s="588">
        <v>18907</v>
      </c>
    </row>
    <row r="82" spans="1:10">
      <c r="A82" s="13">
        <v>3</v>
      </c>
      <c r="B82" s="364" t="s">
        <v>10</v>
      </c>
      <c r="C82" s="366">
        <v>235215</v>
      </c>
      <c r="D82" s="364" t="s">
        <v>270</v>
      </c>
      <c r="E82" s="366">
        <v>15319</v>
      </c>
      <c r="G82" s="364" t="s">
        <v>245</v>
      </c>
      <c r="H82" s="366">
        <v>277356</v>
      </c>
      <c r="I82" s="587" t="s">
        <v>447</v>
      </c>
      <c r="J82" s="588">
        <v>14220</v>
      </c>
    </row>
    <row r="83" spans="1:10">
      <c r="A83" s="13">
        <v>4</v>
      </c>
      <c r="B83" s="364" t="s">
        <v>238</v>
      </c>
      <c r="C83" s="366">
        <v>216541</v>
      </c>
      <c r="D83" s="364" t="s">
        <v>443</v>
      </c>
      <c r="E83" s="366">
        <v>13183</v>
      </c>
      <c r="G83" s="364" t="s">
        <v>246</v>
      </c>
      <c r="H83" s="366">
        <v>219071</v>
      </c>
      <c r="I83" s="587" t="s">
        <v>448</v>
      </c>
      <c r="J83" s="588">
        <v>12481</v>
      </c>
    </row>
    <row r="84" spans="1:10">
      <c r="A84" s="13">
        <v>5</v>
      </c>
      <c r="B84" s="364" t="s">
        <v>245</v>
      </c>
      <c r="C84" s="366">
        <v>174978</v>
      </c>
      <c r="D84" s="364" t="s">
        <v>447</v>
      </c>
      <c r="E84" s="366">
        <v>10342</v>
      </c>
      <c r="G84" s="364" t="s">
        <v>6</v>
      </c>
      <c r="H84" s="366">
        <v>171528</v>
      </c>
      <c r="I84" s="587" t="s">
        <v>383</v>
      </c>
      <c r="J84" s="588">
        <v>8820</v>
      </c>
    </row>
    <row r="85" spans="1:10">
      <c r="A85" s="13">
        <v>6</v>
      </c>
      <c r="B85" s="364" t="s">
        <v>15</v>
      </c>
      <c r="C85" s="366">
        <v>153830</v>
      </c>
      <c r="D85" s="364" t="s">
        <v>442</v>
      </c>
      <c r="E85" s="366">
        <v>1861</v>
      </c>
      <c r="G85" s="364" t="s">
        <v>244</v>
      </c>
      <c r="H85" s="366">
        <v>142479</v>
      </c>
      <c r="I85" s="587" t="s">
        <v>245</v>
      </c>
      <c r="J85" s="588">
        <v>2868</v>
      </c>
    </row>
    <row r="86" spans="1:10">
      <c r="A86" s="13">
        <v>7</v>
      </c>
      <c r="B86" s="364" t="s">
        <v>454</v>
      </c>
      <c r="C86" s="366">
        <v>97314</v>
      </c>
      <c r="D86" s="364" t="s">
        <v>260</v>
      </c>
      <c r="E86" s="366">
        <v>1678</v>
      </c>
      <c r="G86" s="364" t="s">
        <v>257</v>
      </c>
      <c r="H86" s="366">
        <v>120018</v>
      </c>
      <c r="I86" s="587" t="s">
        <v>442</v>
      </c>
      <c r="J86" s="588">
        <v>2320</v>
      </c>
    </row>
    <row r="87" spans="1:10">
      <c r="A87" s="13">
        <v>8</v>
      </c>
      <c r="B87" s="364" t="s">
        <v>444</v>
      </c>
      <c r="C87" s="366">
        <v>65822</v>
      </c>
      <c r="D87" s="364" t="s">
        <v>383</v>
      </c>
      <c r="E87" s="366">
        <v>244</v>
      </c>
      <c r="G87" s="364" t="s">
        <v>10</v>
      </c>
      <c r="H87" s="366">
        <v>98995</v>
      </c>
      <c r="I87" s="587" t="s">
        <v>246</v>
      </c>
      <c r="J87" s="588">
        <v>336</v>
      </c>
    </row>
    <row r="88" spans="1:10">
      <c r="A88" s="13">
        <v>9</v>
      </c>
      <c r="B88" s="364" t="s">
        <v>14</v>
      </c>
      <c r="C88" s="366">
        <v>49558</v>
      </c>
      <c r="D88" s="364"/>
      <c r="E88" s="366"/>
      <c r="G88" s="364" t="s">
        <v>238</v>
      </c>
      <c r="H88" s="366">
        <v>92095</v>
      </c>
      <c r="I88" s="587" t="s">
        <v>444</v>
      </c>
      <c r="J88" s="588">
        <v>153</v>
      </c>
    </row>
    <row r="89" spans="1:10">
      <c r="A89" s="13">
        <v>10</v>
      </c>
      <c r="B89" s="364" t="s">
        <v>6</v>
      </c>
      <c r="C89" s="366">
        <v>43363</v>
      </c>
      <c r="D89" s="364"/>
      <c r="E89" s="366"/>
      <c r="G89" s="364" t="s">
        <v>9</v>
      </c>
      <c r="H89" s="366">
        <v>77725</v>
      </c>
      <c r="I89" s="587" t="s">
        <v>231</v>
      </c>
      <c r="J89" s="588">
        <v>27</v>
      </c>
    </row>
    <row r="90" spans="1:10">
      <c r="B90" s="364" t="s">
        <v>102</v>
      </c>
      <c r="C90" s="366">
        <f>C91-SUM(C80:C89)</f>
        <v>392401</v>
      </c>
      <c r="D90" s="364" t="s">
        <v>102</v>
      </c>
      <c r="E90" s="366">
        <f>E91-SUM(E79:E89)</f>
        <v>0</v>
      </c>
      <c r="G90" s="364" t="s">
        <v>432</v>
      </c>
      <c r="H90" s="366">
        <f>H91-SUM(H79:H89)</f>
        <v>427864</v>
      </c>
      <c r="I90" s="587" t="s">
        <v>102</v>
      </c>
      <c r="J90" s="588">
        <f>J91-SUM(J79:J89)</f>
        <v>0</v>
      </c>
    </row>
    <row r="91" spans="1:10">
      <c r="B91" s="364" t="s">
        <v>103</v>
      </c>
      <c r="C91" s="366">
        <v>2189992</v>
      </c>
      <c r="D91" s="364" t="s">
        <v>103</v>
      </c>
      <c r="E91" s="366">
        <v>578116</v>
      </c>
      <c r="G91" s="364" t="s">
        <v>103</v>
      </c>
      <c r="H91" s="366">
        <v>2246997</v>
      </c>
      <c r="I91" s="587" t="s">
        <v>103</v>
      </c>
      <c r="J91" s="588">
        <v>103525</v>
      </c>
    </row>
    <row r="93" spans="1:10">
      <c r="B93" s="474" t="s">
        <v>482</v>
      </c>
      <c r="G93" s="54" t="s">
        <v>402</v>
      </c>
    </row>
    <row r="94" spans="1:10">
      <c r="B94" s="30" t="s">
        <v>98</v>
      </c>
      <c r="C94" s="362" t="s">
        <v>99</v>
      </c>
      <c r="D94" s="30" t="s">
        <v>100</v>
      </c>
      <c r="E94" s="362" t="s">
        <v>101</v>
      </c>
      <c r="G94" s="30" t="s">
        <v>98</v>
      </c>
      <c r="H94" s="362" t="s">
        <v>99</v>
      </c>
      <c r="I94" s="30" t="s">
        <v>100</v>
      </c>
      <c r="J94" s="362" t="s">
        <v>101</v>
      </c>
    </row>
    <row r="95" spans="1:10">
      <c r="A95" s="13">
        <v>1</v>
      </c>
      <c r="B95" s="368" t="s">
        <v>245</v>
      </c>
      <c r="C95" s="366">
        <v>1179738</v>
      </c>
      <c r="D95" s="367" t="s">
        <v>383</v>
      </c>
      <c r="E95" s="366">
        <v>1038785</v>
      </c>
      <c r="G95" s="364" t="s">
        <v>244</v>
      </c>
      <c r="H95" s="366">
        <v>666402</v>
      </c>
      <c r="I95" s="364" t="s">
        <v>187</v>
      </c>
      <c r="J95" s="366">
        <v>915898</v>
      </c>
    </row>
    <row r="96" spans="1:10">
      <c r="A96" s="13">
        <v>2</v>
      </c>
      <c r="B96" s="368" t="s">
        <v>446</v>
      </c>
      <c r="C96" s="366">
        <v>717241</v>
      </c>
      <c r="D96" s="367" t="s">
        <v>238</v>
      </c>
      <c r="E96" s="366">
        <v>472252</v>
      </c>
      <c r="G96" s="364" t="s">
        <v>443</v>
      </c>
      <c r="H96" s="366">
        <v>255479</v>
      </c>
      <c r="I96" s="364" t="s">
        <v>441</v>
      </c>
      <c r="J96" s="366">
        <v>181980</v>
      </c>
    </row>
    <row r="97" spans="1:15">
      <c r="A97" s="13">
        <v>3</v>
      </c>
      <c r="B97" s="368" t="s">
        <v>443</v>
      </c>
      <c r="C97" s="366">
        <v>647239</v>
      </c>
      <c r="D97" s="367" t="s">
        <v>448</v>
      </c>
      <c r="E97" s="366">
        <v>254655</v>
      </c>
      <c r="G97" s="364" t="s">
        <v>238</v>
      </c>
      <c r="H97" s="366">
        <v>147941</v>
      </c>
      <c r="I97" s="364" t="s">
        <v>164</v>
      </c>
      <c r="J97" s="366">
        <v>175828</v>
      </c>
    </row>
    <row r="98" spans="1:15">
      <c r="A98" s="13">
        <v>4</v>
      </c>
      <c r="B98" s="368" t="s">
        <v>238</v>
      </c>
      <c r="C98" s="366">
        <v>540735</v>
      </c>
      <c r="D98" s="367" t="s">
        <v>248</v>
      </c>
      <c r="E98" s="366">
        <v>65761</v>
      </c>
      <c r="G98" s="364" t="s">
        <v>385</v>
      </c>
      <c r="H98" s="366">
        <v>75619</v>
      </c>
      <c r="I98" s="364" t="s">
        <v>177</v>
      </c>
      <c r="J98" s="366">
        <v>39854</v>
      </c>
    </row>
    <row r="99" spans="1:15">
      <c r="A99" s="13">
        <v>5</v>
      </c>
      <c r="B99" s="368" t="s">
        <v>244</v>
      </c>
      <c r="C99" s="366">
        <v>276687</v>
      </c>
      <c r="D99" s="367" t="s">
        <v>453</v>
      </c>
      <c r="E99" s="366">
        <v>29540</v>
      </c>
      <c r="G99" s="364" t="s">
        <v>287</v>
      </c>
      <c r="H99" s="366">
        <v>66861</v>
      </c>
      <c r="I99" s="367" t="s">
        <v>167</v>
      </c>
      <c r="J99" s="366">
        <v>18</v>
      </c>
    </row>
    <row r="100" spans="1:15">
      <c r="A100" s="13">
        <v>6</v>
      </c>
      <c r="B100" s="368" t="s">
        <v>444</v>
      </c>
      <c r="C100" s="366">
        <v>260481</v>
      </c>
      <c r="D100" s="367" t="s">
        <v>10</v>
      </c>
      <c r="E100" s="366">
        <v>21544</v>
      </c>
      <c r="G100" s="364" t="s">
        <v>446</v>
      </c>
      <c r="H100" s="366">
        <v>62496</v>
      </c>
      <c r="I100" s="364"/>
      <c r="J100" s="366"/>
    </row>
    <row r="101" spans="1:15">
      <c r="A101" s="13">
        <v>7</v>
      </c>
      <c r="B101" s="368" t="s">
        <v>447</v>
      </c>
      <c r="C101" s="366">
        <v>142508</v>
      </c>
      <c r="D101" s="367" t="s">
        <v>442</v>
      </c>
      <c r="E101" s="366">
        <v>20537</v>
      </c>
      <c r="G101" s="364" t="s">
        <v>444</v>
      </c>
      <c r="H101" s="366">
        <v>60116</v>
      </c>
      <c r="I101" s="364"/>
      <c r="J101" s="366"/>
    </row>
    <row r="102" spans="1:15">
      <c r="A102" s="13">
        <v>8</v>
      </c>
      <c r="B102" s="368" t="s">
        <v>246</v>
      </c>
      <c r="C102" s="366">
        <v>126791</v>
      </c>
      <c r="D102" s="367" t="s">
        <v>252</v>
      </c>
      <c r="E102" s="366">
        <v>946</v>
      </c>
      <c r="G102" s="364" t="s">
        <v>10</v>
      </c>
      <c r="H102" s="366">
        <v>57980</v>
      </c>
      <c r="I102" s="368"/>
      <c r="J102" s="366"/>
    </row>
    <row r="103" spans="1:15">
      <c r="A103" s="13">
        <v>9</v>
      </c>
      <c r="B103" s="368" t="s">
        <v>10</v>
      </c>
      <c r="C103" s="366">
        <v>124078</v>
      </c>
      <c r="D103" s="367" t="s">
        <v>447</v>
      </c>
      <c r="E103" s="366">
        <v>214</v>
      </c>
      <c r="G103" s="364" t="s">
        <v>255</v>
      </c>
      <c r="H103" s="366">
        <v>54684</v>
      </c>
      <c r="I103" s="364"/>
      <c r="J103" s="366"/>
    </row>
    <row r="104" spans="1:15">
      <c r="A104" s="13">
        <v>10</v>
      </c>
      <c r="B104" s="368" t="s">
        <v>257</v>
      </c>
      <c r="C104" s="366">
        <v>100916</v>
      </c>
      <c r="D104" s="367"/>
      <c r="E104" s="366"/>
      <c r="G104" s="364" t="s">
        <v>454</v>
      </c>
      <c r="H104" s="366">
        <v>51846</v>
      </c>
      <c r="I104" s="364"/>
      <c r="J104" s="366"/>
    </row>
    <row r="105" spans="1:15">
      <c r="B105" s="364" t="s">
        <v>102</v>
      </c>
      <c r="C105" s="366">
        <f>C106-SUM(C94:C104)</f>
        <v>838512</v>
      </c>
      <c r="D105" s="364" t="s">
        <v>102</v>
      </c>
      <c r="E105" s="366">
        <f>E106-SUM(E94:E104)</f>
        <v>0</v>
      </c>
      <c r="G105" s="367" t="s">
        <v>428</v>
      </c>
      <c r="H105" s="366">
        <f>H106-SUM(H94:H104)</f>
        <v>350841</v>
      </c>
      <c r="I105" s="364" t="s">
        <v>102</v>
      </c>
      <c r="J105" s="366">
        <f>J106-SUM(J94:J104)</f>
        <v>0</v>
      </c>
    </row>
    <row r="106" spans="1:15">
      <c r="B106" s="364" t="s">
        <v>103</v>
      </c>
      <c r="C106" s="366">
        <v>4954926</v>
      </c>
      <c r="D106" s="364" t="s">
        <v>103</v>
      </c>
      <c r="E106" s="366">
        <v>1904234</v>
      </c>
      <c r="G106" s="364" t="s">
        <v>103</v>
      </c>
      <c r="H106" s="366">
        <v>1850265</v>
      </c>
      <c r="I106" s="364" t="s">
        <v>103</v>
      </c>
      <c r="J106" s="366">
        <v>1313578</v>
      </c>
    </row>
    <row r="108" spans="1:15">
      <c r="B108" s="474" t="s">
        <v>433</v>
      </c>
      <c r="G108" s="264" t="s">
        <v>434</v>
      </c>
      <c r="L108" s="5"/>
      <c r="M108" s="5"/>
      <c r="N108" s="5"/>
      <c r="O108" s="5"/>
    </row>
    <row r="109" spans="1:15">
      <c r="B109" s="30" t="s">
        <v>98</v>
      </c>
      <c r="C109" s="362" t="s">
        <v>99</v>
      </c>
      <c r="D109" s="30" t="s">
        <v>100</v>
      </c>
      <c r="E109" s="362" t="s">
        <v>101</v>
      </c>
      <c r="G109" s="30" t="s">
        <v>98</v>
      </c>
      <c r="H109" s="362" t="s">
        <v>99</v>
      </c>
      <c r="I109" s="30" t="s">
        <v>100</v>
      </c>
      <c r="J109" s="362" t="s">
        <v>101</v>
      </c>
      <c r="L109" s="5"/>
      <c r="M109" s="5"/>
      <c r="N109" s="5"/>
      <c r="O109" s="5"/>
    </row>
    <row r="110" spans="1:15">
      <c r="A110" s="13">
        <v>1</v>
      </c>
      <c r="B110" s="475" t="s">
        <v>238</v>
      </c>
      <c r="C110" s="366">
        <v>1607383</v>
      </c>
      <c r="D110" s="364" t="s">
        <v>383</v>
      </c>
      <c r="E110" s="366">
        <v>1998196</v>
      </c>
      <c r="G110" s="364" t="s">
        <v>238</v>
      </c>
      <c r="H110" s="366">
        <v>681722</v>
      </c>
      <c r="I110" s="367" t="s">
        <v>383</v>
      </c>
      <c r="J110" s="366">
        <v>709479</v>
      </c>
      <c r="L110" s="5"/>
      <c r="M110" s="5"/>
      <c r="N110" s="5"/>
      <c r="O110" s="5"/>
    </row>
    <row r="111" spans="1:15">
      <c r="A111" s="13">
        <v>2</v>
      </c>
      <c r="B111" s="475" t="s">
        <v>245</v>
      </c>
      <c r="C111" s="366">
        <v>522064</v>
      </c>
      <c r="D111" s="364" t="s">
        <v>238</v>
      </c>
      <c r="E111" s="366">
        <v>137381</v>
      </c>
      <c r="G111" s="364" t="s">
        <v>245</v>
      </c>
      <c r="H111" s="366">
        <v>679433</v>
      </c>
      <c r="I111" s="367" t="s">
        <v>238</v>
      </c>
      <c r="J111" s="366">
        <v>123511</v>
      </c>
      <c r="L111" s="5"/>
      <c r="M111" s="5"/>
      <c r="N111" s="5"/>
      <c r="O111" s="5"/>
    </row>
    <row r="112" spans="1:15">
      <c r="A112" s="13">
        <v>3</v>
      </c>
      <c r="B112" s="475" t="s">
        <v>443</v>
      </c>
      <c r="C112" s="366">
        <v>393682</v>
      </c>
      <c r="D112" s="367" t="s">
        <v>176</v>
      </c>
      <c r="E112" s="366">
        <v>120062</v>
      </c>
      <c r="G112" s="364" t="s">
        <v>443</v>
      </c>
      <c r="H112" s="366">
        <v>402471</v>
      </c>
      <c r="I112" s="367" t="s">
        <v>451</v>
      </c>
      <c r="J112" s="366">
        <v>84500</v>
      </c>
      <c r="L112" s="5"/>
      <c r="M112" s="5"/>
      <c r="N112" s="5"/>
      <c r="O112" s="5"/>
    </row>
    <row r="113" spans="1:15">
      <c r="A113" s="13">
        <v>4</v>
      </c>
      <c r="B113" s="475" t="s">
        <v>257</v>
      </c>
      <c r="C113" s="366">
        <v>322612</v>
      </c>
      <c r="D113" s="364" t="s">
        <v>10</v>
      </c>
      <c r="E113" s="366">
        <v>305</v>
      </c>
      <c r="G113" s="364" t="s">
        <v>246</v>
      </c>
      <c r="H113" s="366">
        <v>221332</v>
      </c>
      <c r="I113" s="367" t="s">
        <v>445</v>
      </c>
      <c r="J113" s="366">
        <v>77992</v>
      </c>
      <c r="L113" s="5"/>
      <c r="M113" s="5"/>
      <c r="N113" s="5"/>
      <c r="O113" s="5"/>
    </row>
    <row r="114" spans="1:15">
      <c r="A114" s="13">
        <v>5</v>
      </c>
      <c r="B114" s="475" t="s">
        <v>246</v>
      </c>
      <c r="C114" s="366">
        <v>318157</v>
      </c>
      <c r="D114" s="364"/>
      <c r="E114" s="366"/>
      <c r="G114" s="364" t="s">
        <v>244</v>
      </c>
      <c r="H114" s="366">
        <v>205768</v>
      </c>
      <c r="I114" s="367" t="s">
        <v>245</v>
      </c>
      <c r="J114" s="366">
        <v>55325</v>
      </c>
      <c r="L114" s="5"/>
      <c r="M114" s="5"/>
      <c r="N114" s="5"/>
      <c r="O114" s="5"/>
    </row>
    <row r="115" spans="1:15">
      <c r="A115" s="13">
        <v>6</v>
      </c>
      <c r="B115" s="475" t="s">
        <v>446</v>
      </c>
      <c r="C115" s="366">
        <v>276047</v>
      </c>
      <c r="E115" s="366"/>
      <c r="G115" s="364" t="s">
        <v>446</v>
      </c>
      <c r="H115" s="366">
        <v>205616</v>
      </c>
      <c r="I115" s="367" t="s">
        <v>255</v>
      </c>
      <c r="J115" s="366">
        <v>46811</v>
      </c>
      <c r="L115" s="5"/>
      <c r="M115" s="5"/>
      <c r="N115" s="5"/>
      <c r="O115" s="5"/>
    </row>
    <row r="116" spans="1:15">
      <c r="A116" s="13">
        <v>7</v>
      </c>
      <c r="B116" s="475" t="s">
        <v>244</v>
      </c>
      <c r="C116" s="366">
        <v>132225</v>
      </c>
      <c r="D116" s="364"/>
      <c r="E116" s="366"/>
      <c r="G116" s="364" t="s">
        <v>9</v>
      </c>
      <c r="H116" s="366">
        <v>147544</v>
      </c>
      <c r="I116" s="367" t="s">
        <v>472</v>
      </c>
      <c r="J116" s="366">
        <v>45804</v>
      </c>
      <c r="L116" s="5"/>
      <c r="M116" s="5"/>
      <c r="N116" s="5"/>
      <c r="O116" s="5"/>
    </row>
    <row r="117" spans="1:15">
      <c r="A117" s="13">
        <v>8</v>
      </c>
      <c r="B117" s="475" t="s">
        <v>10</v>
      </c>
      <c r="C117" s="366">
        <v>132195</v>
      </c>
      <c r="D117" s="364"/>
      <c r="E117" s="366"/>
      <c r="G117" s="364" t="s">
        <v>383</v>
      </c>
      <c r="H117" s="366">
        <v>145316</v>
      </c>
      <c r="I117" s="367" t="s">
        <v>442</v>
      </c>
      <c r="J117" s="366">
        <v>25603</v>
      </c>
      <c r="L117" s="5"/>
      <c r="M117" s="5"/>
      <c r="N117" s="5"/>
      <c r="O117" s="5"/>
    </row>
    <row r="118" spans="1:15">
      <c r="A118" s="13">
        <v>9</v>
      </c>
      <c r="B118" s="475" t="s">
        <v>231</v>
      </c>
      <c r="C118" s="366">
        <v>129660</v>
      </c>
      <c r="D118" s="364"/>
      <c r="E118" s="366"/>
      <c r="G118" s="364" t="s">
        <v>10</v>
      </c>
      <c r="H118" s="366">
        <v>135765</v>
      </c>
      <c r="I118" s="367" t="s">
        <v>231</v>
      </c>
      <c r="J118" s="366">
        <v>2197</v>
      </c>
      <c r="L118" s="5"/>
      <c r="M118" s="5"/>
      <c r="N118" s="5"/>
      <c r="O118" s="5"/>
    </row>
    <row r="119" spans="1:15">
      <c r="A119" s="13">
        <v>10</v>
      </c>
      <c r="B119" s="475" t="s">
        <v>255</v>
      </c>
      <c r="C119" s="366">
        <v>115136</v>
      </c>
      <c r="D119" s="364"/>
      <c r="E119" s="366"/>
      <c r="G119" s="364" t="s">
        <v>12</v>
      </c>
      <c r="H119" s="366">
        <v>107508</v>
      </c>
      <c r="I119" s="367" t="s">
        <v>11</v>
      </c>
      <c r="J119" s="366">
        <v>1617</v>
      </c>
      <c r="L119" s="5"/>
      <c r="M119" s="5"/>
      <c r="N119" s="5"/>
      <c r="O119" s="5"/>
    </row>
    <row r="120" spans="1:15">
      <c r="B120" s="364" t="s">
        <v>102</v>
      </c>
      <c r="C120" s="366">
        <f>C121-SUM(C109:C119)</f>
        <v>701861</v>
      </c>
      <c r="D120" s="364" t="s">
        <v>102</v>
      </c>
      <c r="E120" s="366">
        <f>E121-SUM(E109:E119)</f>
        <v>0</v>
      </c>
      <c r="G120" s="364" t="s">
        <v>428</v>
      </c>
      <c r="H120" s="366">
        <f>H121-SUM(H109:H119)</f>
        <v>669763</v>
      </c>
      <c r="I120" s="370" t="s">
        <v>102</v>
      </c>
      <c r="J120" s="366">
        <f>J121-SUM(J109:J119)</f>
        <v>263</v>
      </c>
      <c r="L120" s="5"/>
      <c r="M120" s="5"/>
      <c r="N120" s="5"/>
      <c r="O120" s="5"/>
    </row>
    <row r="121" spans="1:15">
      <c r="B121" s="364" t="s">
        <v>103</v>
      </c>
      <c r="C121" s="366">
        <v>4651022</v>
      </c>
      <c r="D121" s="364" t="s">
        <v>103</v>
      </c>
      <c r="E121" s="366">
        <v>2255944</v>
      </c>
      <c r="G121" s="364" t="s">
        <v>103</v>
      </c>
      <c r="H121" s="366">
        <v>3602238</v>
      </c>
      <c r="I121" s="364" t="s">
        <v>103</v>
      </c>
      <c r="J121" s="366">
        <v>1173102</v>
      </c>
    </row>
    <row r="122" spans="1:15">
      <c r="G122" s="5"/>
      <c r="H122" s="96"/>
      <c r="I122" s="5"/>
      <c r="J122" s="96"/>
    </row>
    <row r="123" spans="1:15">
      <c r="B123" s="474" t="s">
        <v>435</v>
      </c>
      <c r="G123" s="54" t="s">
        <v>483</v>
      </c>
    </row>
    <row r="124" spans="1:15">
      <c r="B124" s="30" t="s">
        <v>98</v>
      </c>
      <c r="C124" s="362" t="s">
        <v>99</v>
      </c>
      <c r="D124" s="30" t="s">
        <v>100</v>
      </c>
      <c r="E124" s="362" t="s">
        <v>101</v>
      </c>
      <c r="G124" s="30" t="s">
        <v>98</v>
      </c>
      <c r="H124" s="362" t="s">
        <v>99</v>
      </c>
      <c r="I124" s="30" t="s">
        <v>100</v>
      </c>
      <c r="J124" s="362" t="s">
        <v>101</v>
      </c>
    </row>
    <row r="125" spans="1:15">
      <c r="A125" s="13">
        <v>1</v>
      </c>
      <c r="B125" s="364" t="s">
        <v>257</v>
      </c>
      <c r="C125" s="366">
        <v>42020</v>
      </c>
      <c r="D125" s="367" t="s">
        <v>166</v>
      </c>
      <c r="E125" s="366">
        <v>28105</v>
      </c>
      <c r="G125" s="364" t="s">
        <v>257</v>
      </c>
      <c r="H125" s="366">
        <v>279494</v>
      </c>
      <c r="I125" s="364" t="s">
        <v>164</v>
      </c>
      <c r="J125" s="366">
        <v>199958</v>
      </c>
    </row>
    <row r="126" spans="1:15">
      <c r="A126" s="13">
        <v>2</v>
      </c>
      <c r="B126" s="364" t="s">
        <v>238</v>
      </c>
      <c r="C126" s="366">
        <v>40036</v>
      </c>
      <c r="D126" s="367" t="s">
        <v>164</v>
      </c>
      <c r="E126" s="366">
        <v>5340</v>
      </c>
      <c r="G126" s="364" t="s">
        <v>245</v>
      </c>
      <c r="H126" s="366">
        <v>217152</v>
      </c>
      <c r="I126" s="364" t="s">
        <v>177</v>
      </c>
      <c r="J126" s="366">
        <v>56026</v>
      </c>
    </row>
    <row r="127" spans="1:15">
      <c r="A127" s="13">
        <v>3</v>
      </c>
      <c r="B127" s="364" t="s">
        <v>443</v>
      </c>
      <c r="C127" s="366">
        <v>31615</v>
      </c>
      <c r="D127" s="364" t="s">
        <v>178</v>
      </c>
      <c r="E127" s="366">
        <v>1526</v>
      </c>
      <c r="G127" s="364" t="s">
        <v>11</v>
      </c>
      <c r="H127" s="366">
        <v>208789</v>
      </c>
      <c r="I127" s="367" t="s">
        <v>158</v>
      </c>
      <c r="J127" s="366">
        <v>14007</v>
      </c>
    </row>
    <row r="128" spans="1:15">
      <c r="A128" s="13">
        <v>4</v>
      </c>
      <c r="B128" s="364" t="s">
        <v>6</v>
      </c>
      <c r="C128" s="366">
        <v>7049</v>
      </c>
      <c r="D128" s="364" t="s">
        <v>176</v>
      </c>
      <c r="E128" s="366">
        <v>488</v>
      </c>
      <c r="G128" s="364" t="s">
        <v>443</v>
      </c>
      <c r="H128" s="366">
        <v>148518</v>
      </c>
      <c r="I128" s="367" t="s">
        <v>471</v>
      </c>
      <c r="J128" s="366">
        <v>1770</v>
      </c>
    </row>
    <row r="129" spans="1:15">
      <c r="A129" s="13">
        <v>5</v>
      </c>
      <c r="B129" s="364" t="s">
        <v>12</v>
      </c>
      <c r="C129" s="366">
        <v>6378</v>
      </c>
      <c r="D129" s="364" t="s">
        <v>471</v>
      </c>
      <c r="E129" s="366">
        <v>214</v>
      </c>
      <c r="G129" s="364" t="s">
        <v>238</v>
      </c>
      <c r="H129" s="366">
        <v>87276</v>
      </c>
      <c r="I129" s="364"/>
      <c r="J129" s="366"/>
    </row>
    <row r="130" spans="1:15">
      <c r="A130" s="13">
        <v>6</v>
      </c>
      <c r="B130" s="364" t="s">
        <v>383</v>
      </c>
      <c r="C130" s="366">
        <v>6347</v>
      </c>
      <c r="D130" s="364"/>
      <c r="E130" s="366"/>
      <c r="G130" s="364" t="s">
        <v>446</v>
      </c>
      <c r="H130" s="366">
        <v>85506</v>
      </c>
      <c r="I130" s="364"/>
      <c r="J130" s="366"/>
    </row>
    <row r="131" spans="1:15">
      <c r="A131" s="13">
        <v>7</v>
      </c>
      <c r="B131" s="364" t="s">
        <v>446</v>
      </c>
      <c r="C131" s="366">
        <v>4089</v>
      </c>
      <c r="D131" s="364"/>
      <c r="E131" s="366"/>
      <c r="G131" s="364" t="s">
        <v>255</v>
      </c>
      <c r="H131" s="366">
        <v>75984</v>
      </c>
      <c r="I131" s="364"/>
      <c r="J131" s="366"/>
    </row>
    <row r="132" spans="1:15">
      <c r="A132" s="13">
        <v>8</v>
      </c>
      <c r="B132" s="364" t="s">
        <v>385</v>
      </c>
      <c r="C132" s="366">
        <v>4028</v>
      </c>
      <c r="D132" s="364"/>
      <c r="E132" s="366"/>
      <c r="G132" s="364" t="s">
        <v>9</v>
      </c>
      <c r="H132" s="366">
        <v>62892</v>
      </c>
      <c r="I132" s="364"/>
      <c r="J132" s="366"/>
    </row>
    <row r="133" spans="1:15">
      <c r="A133" s="13">
        <v>9</v>
      </c>
      <c r="B133" s="364" t="s">
        <v>302</v>
      </c>
      <c r="C133" s="366">
        <v>3021</v>
      </c>
      <c r="D133" s="364"/>
      <c r="E133" s="366"/>
      <c r="G133" s="364" t="s">
        <v>10</v>
      </c>
      <c r="H133" s="366">
        <v>55844</v>
      </c>
      <c r="I133" s="364"/>
      <c r="J133" s="366"/>
    </row>
    <row r="134" spans="1:15">
      <c r="A134" s="13">
        <v>10</v>
      </c>
      <c r="B134" s="364" t="s">
        <v>231</v>
      </c>
      <c r="C134" s="366">
        <v>2045</v>
      </c>
      <c r="D134" s="93"/>
      <c r="E134" s="27"/>
      <c r="G134" s="364" t="s">
        <v>244</v>
      </c>
      <c r="H134" s="366">
        <v>55294</v>
      </c>
      <c r="I134" s="364"/>
      <c r="J134" s="366"/>
    </row>
    <row r="135" spans="1:15">
      <c r="B135" s="367" t="s">
        <v>428</v>
      </c>
      <c r="C135" s="366">
        <f>C136-SUM(C125:C134)</f>
        <v>5217</v>
      </c>
      <c r="D135" s="364" t="s">
        <v>102</v>
      </c>
      <c r="E135" s="366">
        <f>E136-SUM(E125:E134)</f>
        <v>0</v>
      </c>
      <c r="G135" s="364" t="s">
        <v>102</v>
      </c>
      <c r="H135" s="366">
        <f>H136-SUM(H125:H134)</f>
        <v>201407</v>
      </c>
      <c r="I135" s="364" t="s">
        <v>102</v>
      </c>
      <c r="J135" s="366">
        <f>J136-SUM(J125:J134)</f>
        <v>0</v>
      </c>
    </row>
    <row r="136" spans="1:15">
      <c r="B136" s="364" t="s">
        <v>103</v>
      </c>
      <c r="C136" s="366">
        <v>151845</v>
      </c>
      <c r="D136" s="364" t="s">
        <v>103</v>
      </c>
      <c r="E136" s="366">
        <v>35673</v>
      </c>
      <c r="G136" s="364" t="s">
        <v>103</v>
      </c>
      <c r="H136" s="366">
        <v>1478156</v>
      </c>
      <c r="I136" s="364" t="s">
        <v>103</v>
      </c>
      <c r="J136" s="366">
        <v>271761</v>
      </c>
    </row>
    <row r="138" spans="1:15">
      <c r="B138" s="54" t="s">
        <v>436</v>
      </c>
      <c r="G138" s="474" t="s">
        <v>484</v>
      </c>
      <c r="L138" s="5"/>
      <c r="M138" s="5"/>
      <c r="N138" s="5"/>
      <c r="O138" s="5"/>
    </row>
    <row r="139" spans="1:15">
      <c r="B139" s="30" t="s">
        <v>98</v>
      </c>
      <c r="C139" s="362" t="s">
        <v>99</v>
      </c>
      <c r="D139" s="30" t="s">
        <v>100</v>
      </c>
      <c r="E139" s="362" t="s">
        <v>101</v>
      </c>
      <c r="G139" s="30" t="s">
        <v>98</v>
      </c>
      <c r="H139" s="362" t="s">
        <v>99</v>
      </c>
      <c r="I139" s="30" t="s">
        <v>100</v>
      </c>
      <c r="J139" s="362" t="s">
        <v>101</v>
      </c>
      <c r="L139" s="5"/>
      <c r="M139" s="5"/>
      <c r="N139" s="5"/>
      <c r="O139" s="5"/>
    </row>
    <row r="140" spans="1:15">
      <c r="A140" s="13">
        <v>1</v>
      </c>
      <c r="B140" s="367" t="s">
        <v>257</v>
      </c>
      <c r="C140" s="366">
        <v>660910</v>
      </c>
      <c r="D140" s="364" t="s">
        <v>238</v>
      </c>
      <c r="E140" s="366">
        <v>492632</v>
      </c>
      <c r="G140" s="364" t="s">
        <v>238</v>
      </c>
      <c r="H140" s="366">
        <v>502259</v>
      </c>
      <c r="I140" s="364" t="s">
        <v>238</v>
      </c>
      <c r="J140" s="366">
        <v>867858</v>
      </c>
      <c r="L140" s="5"/>
      <c r="M140" s="5"/>
      <c r="N140" s="5"/>
      <c r="O140" s="5"/>
    </row>
    <row r="141" spans="1:15">
      <c r="A141" s="13">
        <v>2</v>
      </c>
      <c r="B141" s="367" t="s">
        <v>443</v>
      </c>
      <c r="C141" s="366">
        <v>590387</v>
      </c>
      <c r="D141" s="364" t="s">
        <v>447</v>
      </c>
      <c r="E141" s="366">
        <v>19286</v>
      </c>
      <c r="G141" s="364" t="s">
        <v>443</v>
      </c>
      <c r="H141" s="366">
        <v>323286</v>
      </c>
      <c r="I141" s="364" t="s">
        <v>449</v>
      </c>
      <c r="J141" s="366">
        <v>260024</v>
      </c>
      <c r="L141" s="5"/>
      <c r="M141" s="5"/>
      <c r="N141" s="5"/>
      <c r="O141" s="5"/>
    </row>
    <row r="142" spans="1:15">
      <c r="A142" s="13">
        <v>3</v>
      </c>
      <c r="B142" s="367" t="s">
        <v>245</v>
      </c>
      <c r="C142" s="366">
        <v>453952</v>
      </c>
      <c r="D142" s="367" t="s">
        <v>471</v>
      </c>
      <c r="E142" s="366">
        <v>1861</v>
      </c>
      <c r="G142" s="364" t="s">
        <v>244</v>
      </c>
      <c r="H142" s="366">
        <v>236711</v>
      </c>
      <c r="I142" s="364" t="s">
        <v>447</v>
      </c>
      <c r="J142" s="366">
        <v>179157</v>
      </c>
      <c r="L142" s="5"/>
      <c r="M142" s="5"/>
      <c r="N142" s="5"/>
      <c r="O142" s="5"/>
    </row>
    <row r="143" spans="1:15">
      <c r="A143" s="13">
        <v>4</v>
      </c>
      <c r="B143" s="367" t="s">
        <v>446</v>
      </c>
      <c r="C143" s="366">
        <v>184041</v>
      </c>
      <c r="D143" s="367" t="s">
        <v>176</v>
      </c>
      <c r="E143" s="366">
        <v>580</v>
      </c>
      <c r="G143" s="364" t="s">
        <v>257</v>
      </c>
      <c r="H143" s="366">
        <v>229143</v>
      </c>
      <c r="I143" s="364" t="s">
        <v>10</v>
      </c>
      <c r="J143" s="366">
        <v>12908</v>
      </c>
      <c r="L143" s="5"/>
      <c r="M143" s="5"/>
      <c r="N143" s="5"/>
      <c r="O143" s="5"/>
    </row>
    <row r="144" spans="1:15">
      <c r="A144" s="13">
        <v>5</v>
      </c>
      <c r="B144" s="367" t="s">
        <v>244</v>
      </c>
      <c r="C144" s="366">
        <v>183124</v>
      </c>
      <c r="D144" s="364" t="s">
        <v>10</v>
      </c>
      <c r="E144" s="366">
        <v>183</v>
      </c>
      <c r="G144" s="364" t="s">
        <v>245</v>
      </c>
      <c r="H144" s="366">
        <v>205981</v>
      </c>
      <c r="I144" s="364" t="s">
        <v>442</v>
      </c>
      <c r="J144" s="366">
        <v>4852</v>
      </c>
      <c r="L144" s="5"/>
      <c r="M144" s="5"/>
      <c r="N144" s="5"/>
      <c r="O144" s="5"/>
    </row>
    <row r="145" spans="1:15">
      <c r="A145" s="13">
        <v>6</v>
      </c>
      <c r="B145" s="367" t="s">
        <v>255</v>
      </c>
      <c r="C145" s="366">
        <v>152365</v>
      </c>
      <c r="D145" s="364"/>
      <c r="E145" s="366"/>
      <c r="G145" s="364" t="s">
        <v>444</v>
      </c>
      <c r="H145" s="366">
        <v>200366</v>
      </c>
      <c r="I145" s="364" t="s">
        <v>444</v>
      </c>
      <c r="J145" s="366">
        <v>153</v>
      </c>
      <c r="L145" s="5"/>
      <c r="M145" s="5"/>
      <c r="N145" s="5"/>
      <c r="O145" s="5"/>
    </row>
    <row r="146" spans="1:15">
      <c r="A146" s="13">
        <v>7</v>
      </c>
      <c r="B146" s="367" t="s">
        <v>9</v>
      </c>
      <c r="C146" s="366">
        <v>122704</v>
      </c>
      <c r="D146" s="364"/>
      <c r="E146" s="366"/>
      <c r="G146" s="364" t="s">
        <v>246</v>
      </c>
      <c r="H146" s="366">
        <v>162983</v>
      </c>
      <c r="I146" s="364" t="s">
        <v>383</v>
      </c>
      <c r="J146" s="366">
        <v>61</v>
      </c>
      <c r="L146" s="5"/>
      <c r="M146" s="5"/>
      <c r="N146" s="5"/>
      <c r="O146" s="5"/>
    </row>
    <row r="147" spans="1:15">
      <c r="A147" s="13">
        <v>8</v>
      </c>
      <c r="B147" s="367" t="s">
        <v>447</v>
      </c>
      <c r="C147" s="366">
        <v>111810</v>
      </c>
      <c r="D147" s="364"/>
      <c r="E147" s="366"/>
      <c r="G147" s="364" t="s">
        <v>11</v>
      </c>
      <c r="H147" s="366">
        <v>154380</v>
      </c>
      <c r="I147" s="364"/>
      <c r="J147" s="366"/>
      <c r="L147" s="5"/>
      <c r="M147" s="5"/>
      <c r="N147" s="5"/>
      <c r="O147" s="5"/>
    </row>
    <row r="148" spans="1:15">
      <c r="A148" s="13">
        <v>9</v>
      </c>
      <c r="B148" s="367" t="s">
        <v>238</v>
      </c>
      <c r="C148" s="366">
        <v>109217</v>
      </c>
      <c r="D148" s="364"/>
      <c r="E148" s="366"/>
      <c r="G148" s="364" t="s">
        <v>446</v>
      </c>
      <c r="H148" s="366">
        <v>131463</v>
      </c>
      <c r="I148" s="364"/>
      <c r="J148" s="366"/>
      <c r="L148" s="5"/>
      <c r="M148" s="5"/>
      <c r="N148" s="5"/>
      <c r="O148" s="5"/>
    </row>
    <row r="149" spans="1:15">
      <c r="A149" s="13">
        <v>10</v>
      </c>
      <c r="B149" s="367" t="s">
        <v>256</v>
      </c>
      <c r="C149" s="366">
        <v>101922</v>
      </c>
      <c r="D149" s="364"/>
      <c r="E149" s="366"/>
      <c r="G149" s="364" t="s">
        <v>255</v>
      </c>
      <c r="H149" s="366">
        <v>128287</v>
      </c>
      <c r="I149" s="364"/>
      <c r="J149" s="366"/>
      <c r="L149" s="5"/>
      <c r="M149" s="5"/>
      <c r="N149" s="5"/>
      <c r="O149" s="5"/>
    </row>
    <row r="150" spans="1:15">
      <c r="B150" s="364" t="s">
        <v>418</v>
      </c>
      <c r="C150" s="366">
        <f>C151-SUM(C139:C149)</f>
        <v>536984</v>
      </c>
      <c r="D150" s="364" t="s">
        <v>102</v>
      </c>
      <c r="E150" s="366">
        <f>E151-SUM(E140:E149)</f>
        <v>0</v>
      </c>
      <c r="G150" s="364" t="s">
        <v>418</v>
      </c>
      <c r="H150" s="366">
        <f>H151-SUM(H140:H149)</f>
        <v>844954</v>
      </c>
      <c r="I150" s="364" t="s">
        <v>102</v>
      </c>
      <c r="J150" s="366">
        <f>J151-SUM(J140:J149)</f>
        <v>0</v>
      </c>
      <c r="L150" s="5"/>
      <c r="M150" s="5"/>
      <c r="N150" s="5"/>
      <c r="O150" s="5"/>
    </row>
    <row r="151" spans="1:15">
      <c r="B151" s="364" t="s">
        <v>103</v>
      </c>
      <c r="C151" s="366">
        <v>3207416</v>
      </c>
      <c r="D151" s="364" t="s">
        <v>103</v>
      </c>
      <c r="E151" s="366">
        <v>514542</v>
      </c>
      <c r="G151" s="364" t="s">
        <v>103</v>
      </c>
      <c r="H151" s="366">
        <v>3119813</v>
      </c>
      <c r="I151" s="364" t="s">
        <v>103</v>
      </c>
      <c r="J151" s="366">
        <v>1325013</v>
      </c>
      <c r="L151" s="5"/>
      <c r="M151" s="5"/>
      <c r="N151" s="5"/>
      <c r="O151" s="5"/>
    </row>
    <row r="153" spans="1:15">
      <c r="B153" s="474" t="s">
        <v>437</v>
      </c>
      <c r="G153" s="474" t="s">
        <v>438</v>
      </c>
    </row>
    <row r="154" spans="1:15">
      <c r="B154" s="30" t="s">
        <v>98</v>
      </c>
      <c r="C154" s="362" t="s">
        <v>99</v>
      </c>
      <c r="D154" s="30" t="s">
        <v>100</v>
      </c>
      <c r="E154" s="362" t="s">
        <v>101</v>
      </c>
      <c r="G154" s="30" t="s">
        <v>98</v>
      </c>
      <c r="H154" s="362" t="s">
        <v>99</v>
      </c>
      <c r="I154" s="30" t="s">
        <v>100</v>
      </c>
      <c r="J154" s="362" t="s">
        <v>101</v>
      </c>
    </row>
    <row r="155" spans="1:15">
      <c r="A155" s="13">
        <v>1</v>
      </c>
      <c r="B155" s="364" t="s">
        <v>443</v>
      </c>
      <c r="C155" s="366">
        <v>674640</v>
      </c>
      <c r="D155" s="364" t="s">
        <v>447</v>
      </c>
      <c r="E155" s="366">
        <v>691733</v>
      </c>
      <c r="G155" s="364" t="s">
        <v>443</v>
      </c>
      <c r="H155" s="366">
        <v>260818</v>
      </c>
      <c r="I155" s="367" t="s">
        <v>177</v>
      </c>
      <c r="J155" s="366">
        <v>144645</v>
      </c>
    </row>
    <row r="156" spans="1:15">
      <c r="A156" s="13">
        <v>2</v>
      </c>
      <c r="B156" s="364" t="s">
        <v>238</v>
      </c>
      <c r="C156" s="366">
        <v>627984</v>
      </c>
      <c r="D156" s="364" t="s">
        <v>245</v>
      </c>
      <c r="E156" s="366">
        <v>368691</v>
      </c>
      <c r="G156" s="364" t="s">
        <v>383</v>
      </c>
      <c r="H156" s="366">
        <v>40312</v>
      </c>
      <c r="I156" s="367" t="s">
        <v>164</v>
      </c>
      <c r="J156" s="366">
        <v>60658</v>
      </c>
    </row>
    <row r="157" spans="1:15">
      <c r="A157" s="13">
        <v>3</v>
      </c>
      <c r="B157" s="364" t="s">
        <v>6</v>
      </c>
      <c r="C157" s="366">
        <v>535001</v>
      </c>
      <c r="D157" s="364" t="s">
        <v>238</v>
      </c>
      <c r="E157" s="366">
        <v>252508</v>
      </c>
      <c r="G157" s="364" t="s">
        <v>276</v>
      </c>
      <c r="H157" s="366">
        <v>20812</v>
      </c>
      <c r="I157" s="367" t="s">
        <v>160</v>
      </c>
      <c r="J157" s="366">
        <v>22429</v>
      </c>
    </row>
    <row r="158" spans="1:15">
      <c r="A158" s="13">
        <v>4</v>
      </c>
      <c r="B158" s="364" t="s">
        <v>444</v>
      </c>
      <c r="C158" s="366">
        <v>494048</v>
      </c>
      <c r="D158" s="364" t="s">
        <v>450</v>
      </c>
      <c r="E158" s="366">
        <v>191698</v>
      </c>
      <c r="G158" s="364" t="s">
        <v>385</v>
      </c>
      <c r="H158" s="366">
        <v>14129</v>
      </c>
      <c r="I158" s="364" t="s">
        <v>450</v>
      </c>
      <c r="J158" s="366">
        <v>5793</v>
      </c>
    </row>
    <row r="159" spans="1:15">
      <c r="A159" s="13">
        <v>5</v>
      </c>
      <c r="B159" s="364" t="s">
        <v>246</v>
      </c>
      <c r="C159" s="366">
        <v>310528</v>
      </c>
      <c r="D159" s="364" t="s">
        <v>455</v>
      </c>
      <c r="E159" s="366">
        <v>29662</v>
      </c>
      <c r="G159" s="364" t="s">
        <v>244</v>
      </c>
      <c r="H159" s="366">
        <v>9521</v>
      </c>
      <c r="I159" s="364" t="s">
        <v>176</v>
      </c>
      <c r="J159" s="366">
        <v>641</v>
      </c>
    </row>
    <row r="160" spans="1:15">
      <c r="A160" s="13">
        <v>6</v>
      </c>
      <c r="B160" s="364" t="s">
        <v>9</v>
      </c>
      <c r="C160" s="366">
        <v>250746</v>
      </c>
      <c r="D160" s="364" t="s">
        <v>10</v>
      </c>
      <c r="E160" s="366">
        <v>29631</v>
      </c>
      <c r="G160" s="364" t="s">
        <v>335</v>
      </c>
      <c r="H160" s="366">
        <v>5737</v>
      </c>
      <c r="I160" s="364" t="s">
        <v>194</v>
      </c>
      <c r="J160" s="366">
        <v>519</v>
      </c>
    </row>
    <row r="161" spans="1:10">
      <c r="A161" s="13">
        <v>7</v>
      </c>
      <c r="B161" s="364" t="s">
        <v>287</v>
      </c>
      <c r="C161" s="366">
        <v>181781</v>
      </c>
      <c r="D161" s="364" t="s">
        <v>451</v>
      </c>
      <c r="E161" s="366">
        <v>15520</v>
      </c>
      <c r="G161" s="364" t="s">
        <v>6</v>
      </c>
      <c r="H161" s="366">
        <v>4151</v>
      </c>
      <c r="I161" s="364"/>
      <c r="J161" s="366"/>
    </row>
    <row r="162" spans="1:10">
      <c r="A162" s="13">
        <v>8</v>
      </c>
      <c r="B162" s="364" t="s">
        <v>385</v>
      </c>
      <c r="C162" s="366">
        <v>180593</v>
      </c>
      <c r="D162" s="364" t="s">
        <v>246</v>
      </c>
      <c r="E162" s="366">
        <v>6744</v>
      </c>
      <c r="G162" s="364" t="s">
        <v>9</v>
      </c>
      <c r="H162" s="366">
        <v>3845</v>
      </c>
      <c r="I162" s="364"/>
      <c r="J162" s="366"/>
    </row>
    <row r="163" spans="1:10">
      <c r="A163" s="13">
        <v>9</v>
      </c>
      <c r="B163" s="364" t="s">
        <v>335</v>
      </c>
      <c r="C163" s="366">
        <v>161703</v>
      </c>
      <c r="D163" s="364" t="s">
        <v>383</v>
      </c>
      <c r="E163" s="366">
        <v>4242</v>
      </c>
      <c r="G163" s="364" t="s">
        <v>246</v>
      </c>
      <c r="H163" s="366">
        <v>3052</v>
      </c>
      <c r="I163" s="364"/>
      <c r="J163" s="366"/>
    </row>
    <row r="164" spans="1:10">
      <c r="A164" s="13">
        <v>10</v>
      </c>
      <c r="B164" s="364" t="s">
        <v>10</v>
      </c>
      <c r="C164" s="366">
        <v>148948</v>
      </c>
      <c r="D164" s="364" t="s">
        <v>442</v>
      </c>
      <c r="E164" s="366">
        <v>153</v>
      </c>
      <c r="G164" s="364" t="s">
        <v>231</v>
      </c>
      <c r="H164" s="366">
        <v>2167</v>
      </c>
      <c r="I164" s="364"/>
      <c r="J164" s="366"/>
    </row>
    <row r="165" spans="1:10">
      <c r="B165" s="364" t="s">
        <v>439</v>
      </c>
      <c r="C165" s="572">
        <f>C166-SUM(C155:C164)</f>
        <v>978393</v>
      </c>
      <c r="D165" s="364" t="s">
        <v>418</v>
      </c>
      <c r="E165" s="366">
        <f>E166-SUM(E155:E164)</f>
        <v>92</v>
      </c>
      <c r="G165" s="364" t="s">
        <v>102</v>
      </c>
      <c r="H165" s="366">
        <f>H166-SUM(H155:H164)</f>
        <v>9647</v>
      </c>
      <c r="I165" s="364" t="s">
        <v>102</v>
      </c>
      <c r="J165" s="366">
        <f>J166-SUM(J155:J164)</f>
        <v>0</v>
      </c>
    </row>
    <row r="166" spans="1:10">
      <c r="B166" s="364" t="s">
        <v>103</v>
      </c>
      <c r="C166" s="366">
        <v>4544365</v>
      </c>
      <c r="D166" s="364" t="s">
        <v>103</v>
      </c>
      <c r="E166" s="366">
        <v>1590674</v>
      </c>
      <c r="G166" s="364" t="s">
        <v>103</v>
      </c>
      <c r="H166" s="366">
        <v>374191</v>
      </c>
      <c r="I166" s="364" t="s">
        <v>103</v>
      </c>
      <c r="J166" s="366">
        <v>234685</v>
      </c>
    </row>
    <row r="167" spans="1:10" ht="12" customHeight="1">
      <c r="B167" s="369"/>
    </row>
    <row r="168" spans="1:10">
      <c r="B168" s="545" t="s">
        <v>463</v>
      </c>
      <c r="C168" s="96"/>
      <c r="D168" s="5"/>
      <c r="E168" s="96"/>
      <c r="F168" s="5"/>
      <c r="G168" s="5"/>
      <c r="H168" s="96"/>
      <c r="I168" s="5"/>
      <c r="J168" s="96"/>
    </row>
    <row r="169" spans="1:10">
      <c r="B169" s="5"/>
      <c r="C169" s="96"/>
      <c r="D169" s="5"/>
      <c r="E169" s="96"/>
      <c r="F169" s="5"/>
      <c r="G169" s="5"/>
      <c r="H169" s="96"/>
      <c r="I169" s="5"/>
      <c r="J169" s="96"/>
    </row>
    <row r="170" spans="1:10">
      <c r="B170" s="5"/>
      <c r="C170" s="96"/>
      <c r="D170" s="5"/>
      <c r="E170" s="96"/>
      <c r="F170" s="5"/>
      <c r="G170" s="5"/>
      <c r="H170" s="96"/>
      <c r="I170" s="5"/>
      <c r="J170" s="96"/>
    </row>
    <row r="171" spans="1:10">
      <c r="B171" s="5"/>
      <c r="C171" s="96"/>
      <c r="D171" s="5"/>
      <c r="E171" s="96"/>
      <c r="F171" s="5"/>
      <c r="G171" s="5"/>
      <c r="H171" s="96"/>
      <c r="I171" s="5"/>
      <c r="J171" s="96"/>
    </row>
    <row r="172" spans="1:10">
      <c r="B172" s="5"/>
      <c r="C172" s="96"/>
      <c r="D172" s="5"/>
      <c r="E172" s="96"/>
      <c r="F172" s="5"/>
      <c r="G172" s="5"/>
      <c r="H172" s="96"/>
      <c r="I172" s="5"/>
      <c r="J172" s="96"/>
    </row>
    <row r="173" spans="1:10">
      <c r="B173" s="5"/>
      <c r="C173" s="96"/>
      <c r="D173" s="5"/>
      <c r="E173" s="96"/>
      <c r="F173" s="5"/>
      <c r="G173" s="5"/>
      <c r="H173" s="96"/>
      <c r="I173" s="5"/>
      <c r="J173" s="96"/>
    </row>
    <row r="174" spans="1:10">
      <c r="B174" s="5"/>
      <c r="C174" s="96"/>
      <c r="D174" s="5"/>
      <c r="E174" s="96"/>
      <c r="F174" s="5"/>
      <c r="G174" s="5"/>
      <c r="H174" s="96"/>
      <c r="I174" s="5"/>
      <c r="J174" s="96"/>
    </row>
    <row r="175" spans="1:10">
      <c r="B175" s="5"/>
      <c r="C175" s="96"/>
      <c r="D175" s="5"/>
      <c r="E175" s="96"/>
      <c r="F175" s="5"/>
      <c r="G175" s="5"/>
      <c r="H175" s="96"/>
      <c r="I175" s="5"/>
      <c r="J175" s="96"/>
    </row>
    <row r="176" spans="1:10">
      <c r="B176" s="5"/>
      <c r="C176" s="96"/>
      <c r="D176" s="5"/>
      <c r="E176" s="96"/>
      <c r="F176" s="5"/>
      <c r="G176" s="5"/>
      <c r="H176" s="96"/>
      <c r="I176" s="5"/>
      <c r="J176" s="96"/>
    </row>
    <row r="177" spans="2:10">
      <c r="B177" s="5"/>
      <c r="C177" s="96"/>
      <c r="D177" s="5"/>
      <c r="E177" s="96"/>
      <c r="F177" s="5"/>
      <c r="G177" s="5"/>
      <c r="H177" s="96"/>
      <c r="I177" s="5"/>
      <c r="J177" s="96"/>
    </row>
    <row r="178" spans="2:10">
      <c r="B178" s="5"/>
      <c r="C178" s="96"/>
      <c r="D178" s="5"/>
      <c r="E178" s="96"/>
      <c r="F178" s="5"/>
      <c r="G178" s="5"/>
      <c r="H178" s="96"/>
      <c r="I178" s="5"/>
      <c r="J178" s="96"/>
    </row>
    <row r="179" spans="2:10">
      <c r="B179" s="5"/>
      <c r="C179" s="96"/>
      <c r="D179" s="5"/>
      <c r="E179" s="96"/>
      <c r="F179" s="5"/>
      <c r="G179" s="5"/>
      <c r="H179" s="96"/>
      <c r="I179" s="5"/>
      <c r="J179" s="96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8" customWidth="1"/>
    <col min="4" max="4" width="10" style="108" customWidth="1"/>
    <col min="5" max="5" width="13.25" style="5" customWidth="1"/>
    <col min="6" max="6" width="13.25" style="58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89" t="s">
        <v>491</v>
      </c>
      <c r="B1" s="127"/>
      <c r="C1" s="128"/>
      <c r="D1" s="129"/>
      <c r="E1" s="127"/>
      <c r="F1" s="128"/>
      <c r="G1" s="129"/>
    </row>
    <row r="3" spans="1:7" s="120" customFormat="1">
      <c r="A3" s="130" t="s">
        <v>411</v>
      </c>
      <c r="B3" s="131"/>
      <c r="C3" s="132"/>
      <c r="D3" s="133"/>
      <c r="E3" s="131"/>
      <c r="F3" s="134"/>
      <c r="G3" s="135"/>
    </row>
    <row r="4" spans="1:7">
      <c r="A4" s="136" t="s">
        <v>458</v>
      </c>
      <c r="B4" s="67"/>
      <c r="C4" s="137"/>
      <c r="D4" s="138"/>
      <c r="E4" s="67"/>
      <c r="F4" s="139"/>
      <c r="G4" s="140"/>
    </row>
    <row r="5" spans="1:7">
      <c r="A5" s="576" t="s">
        <v>50</v>
      </c>
      <c r="B5" s="141" t="s">
        <v>51</v>
      </c>
      <c r="C5" s="142"/>
      <c r="D5" s="143"/>
      <c r="E5" s="144" t="s">
        <v>52</v>
      </c>
      <c r="F5" s="142"/>
      <c r="G5" s="143"/>
    </row>
    <row r="6" spans="1:7">
      <c r="A6" s="577"/>
      <c r="B6" s="546" t="s">
        <v>474</v>
      </c>
      <c r="C6" s="547" t="s">
        <v>477</v>
      </c>
      <c r="D6" s="548" t="s">
        <v>476</v>
      </c>
      <c r="E6" s="546" t="s">
        <v>474</v>
      </c>
      <c r="F6" s="547" t="s">
        <v>477</v>
      </c>
      <c r="G6" s="548" t="s">
        <v>476</v>
      </c>
    </row>
    <row r="7" spans="1:7">
      <c r="A7" s="31">
        <v>1</v>
      </c>
      <c r="B7" s="371">
        <v>52420</v>
      </c>
      <c r="C7" s="377">
        <v>74922</v>
      </c>
      <c r="D7" s="482">
        <f>IFERROR((B7-C7)/C7,0)</f>
        <v>-0.30033901924668321</v>
      </c>
      <c r="E7" s="483">
        <v>48431613</v>
      </c>
      <c r="F7" s="377">
        <v>84131970</v>
      </c>
      <c r="G7" s="482">
        <f>IFERROR((E7-F7)/F7,0)</f>
        <v>-0.42433758534359767</v>
      </c>
    </row>
    <row r="8" spans="1:7">
      <c r="A8" s="31">
        <v>2</v>
      </c>
      <c r="B8" s="371">
        <v>69917</v>
      </c>
      <c r="C8" s="377">
        <v>71119</v>
      </c>
      <c r="D8" s="482">
        <f>IFERROR((B8-C8)/C8,0)</f>
        <v>-1.6901250017576176E-2</v>
      </c>
      <c r="E8" s="483">
        <v>73872480</v>
      </c>
      <c r="F8" s="377">
        <v>75549991</v>
      </c>
      <c r="G8" s="482">
        <f t="shared" ref="G8:G18" si="0">IFERROR((E8-F8)/F8,0)</f>
        <v>-2.2203986761560303E-2</v>
      </c>
    </row>
    <row r="9" spans="1:7">
      <c r="A9" s="31">
        <v>3</v>
      </c>
      <c r="B9" s="371"/>
      <c r="C9" s="377"/>
      <c r="D9" s="482">
        <f t="shared" ref="D9:D18" si="1">IFERROR((B9-C9)/C9,0)</f>
        <v>0</v>
      </c>
      <c r="E9" s="483"/>
      <c r="F9" s="377"/>
      <c r="G9" s="482">
        <f t="shared" si="0"/>
        <v>0</v>
      </c>
    </row>
    <row r="10" spans="1:7">
      <c r="A10" s="31">
        <v>4</v>
      </c>
      <c r="B10" s="375"/>
      <c r="C10" s="374"/>
      <c r="D10" s="482">
        <f t="shared" si="1"/>
        <v>0</v>
      </c>
      <c r="E10" s="483"/>
      <c r="F10" s="374"/>
      <c r="G10" s="482">
        <f t="shared" si="0"/>
        <v>0</v>
      </c>
    </row>
    <row r="11" spans="1:7">
      <c r="A11" s="31">
        <v>5</v>
      </c>
      <c r="B11" s="371"/>
      <c r="C11" s="377"/>
      <c r="D11" s="482">
        <f t="shared" si="1"/>
        <v>0</v>
      </c>
      <c r="E11" s="483"/>
      <c r="F11" s="377"/>
      <c r="G11" s="482">
        <f t="shared" si="0"/>
        <v>0</v>
      </c>
    </row>
    <row r="12" spans="1:7">
      <c r="A12" s="31">
        <v>6</v>
      </c>
      <c r="B12" s="371"/>
      <c r="C12" s="377"/>
      <c r="D12" s="482">
        <f t="shared" si="1"/>
        <v>0</v>
      </c>
      <c r="E12" s="483"/>
      <c r="F12" s="377"/>
      <c r="G12" s="482">
        <f t="shared" si="0"/>
        <v>0</v>
      </c>
    </row>
    <row r="13" spans="1:7">
      <c r="A13" s="31">
        <v>7</v>
      </c>
      <c r="B13" s="371"/>
      <c r="C13" s="377"/>
      <c r="D13" s="482">
        <f t="shared" si="1"/>
        <v>0</v>
      </c>
      <c r="E13" s="483"/>
      <c r="F13" s="377"/>
      <c r="G13" s="482">
        <f t="shared" si="0"/>
        <v>0</v>
      </c>
    </row>
    <row r="14" spans="1:7">
      <c r="A14" s="31">
        <v>8</v>
      </c>
      <c r="B14" s="371"/>
      <c r="C14" s="377"/>
      <c r="D14" s="482">
        <f t="shared" si="1"/>
        <v>0</v>
      </c>
      <c r="E14" s="483"/>
      <c r="F14" s="377"/>
      <c r="G14" s="482">
        <f t="shared" si="0"/>
        <v>0</v>
      </c>
    </row>
    <row r="15" spans="1:7">
      <c r="A15" s="31">
        <v>9</v>
      </c>
      <c r="B15" s="27"/>
      <c r="C15" s="89"/>
      <c r="D15" s="482">
        <f t="shared" si="1"/>
        <v>0</v>
      </c>
      <c r="E15" s="483"/>
      <c r="F15" s="89"/>
      <c r="G15" s="482">
        <f t="shared" si="0"/>
        <v>0</v>
      </c>
    </row>
    <row r="16" spans="1:7">
      <c r="A16" s="31">
        <v>10</v>
      </c>
      <c r="B16" s="27"/>
      <c r="C16" s="89"/>
      <c r="D16" s="482">
        <f t="shared" si="1"/>
        <v>0</v>
      </c>
      <c r="E16" s="483"/>
      <c r="F16" s="89"/>
      <c r="G16" s="482">
        <f t="shared" si="0"/>
        <v>0</v>
      </c>
    </row>
    <row r="17" spans="1:7">
      <c r="A17" s="31">
        <v>11</v>
      </c>
      <c r="B17" s="27"/>
      <c r="C17" s="89"/>
      <c r="D17" s="482">
        <f t="shared" si="1"/>
        <v>0</v>
      </c>
      <c r="E17" s="483"/>
      <c r="F17" s="89"/>
      <c r="G17" s="482">
        <f t="shared" si="0"/>
        <v>0</v>
      </c>
    </row>
    <row r="18" spans="1:7">
      <c r="A18" s="31">
        <v>12</v>
      </c>
      <c r="B18" s="27"/>
      <c r="C18" s="89"/>
      <c r="D18" s="482">
        <f t="shared" si="1"/>
        <v>0</v>
      </c>
      <c r="E18" s="483"/>
      <c r="F18" s="89"/>
      <c r="G18" s="482">
        <f t="shared" si="0"/>
        <v>0</v>
      </c>
    </row>
    <row r="19" spans="1:7" s="113" customFormat="1">
      <c r="A19" s="32" t="s">
        <v>49</v>
      </c>
      <c r="B19" s="33">
        <f>SUM(B7:B18)</f>
        <v>122337</v>
      </c>
      <c r="C19" s="89">
        <f>SUM(C7:C18)</f>
        <v>146041</v>
      </c>
      <c r="D19" s="482">
        <f>(B19-C19)/C19</f>
        <v>-0.16231058401407825</v>
      </c>
      <c r="E19" s="33">
        <f>SUM(E7:E18)</f>
        <v>122304093</v>
      </c>
      <c r="F19" s="89">
        <f>SUM(F7:F18)</f>
        <v>159681961</v>
      </c>
      <c r="G19" s="146">
        <f>(E19-F19)/F19</f>
        <v>-0.23407696001428741</v>
      </c>
    </row>
    <row r="20" spans="1:7" s="113" customFormat="1">
      <c r="A20" s="38"/>
      <c r="B20" s="39"/>
      <c r="C20" s="484"/>
      <c r="D20" s="147"/>
      <c r="E20" s="39"/>
      <c r="F20" s="484"/>
      <c r="G20" s="147"/>
    </row>
    <row r="21" spans="1:7" ht="19.5">
      <c r="A21" s="1" t="s">
        <v>492</v>
      </c>
      <c r="B21" s="127"/>
      <c r="C21" s="128"/>
      <c r="D21" s="129"/>
      <c r="E21" s="127"/>
      <c r="F21" s="128"/>
      <c r="G21" s="129"/>
    </row>
    <row r="22" spans="1:7">
      <c r="B22" s="96"/>
      <c r="C22" s="148"/>
      <c r="D22" s="149"/>
      <c r="E22" s="96"/>
      <c r="F22" s="148"/>
      <c r="G22" s="149"/>
    </row>
    <row r="23" spans="1:7" s="120" customFormat="1">
      <c r="A23" s="150" t="s">
        <v>440</v>
      </c>
      <c r="B23" s="151"/>
      <c r="C23" s="152"/>
      <c r="D23" s="153"/>
      <c r="E23" s="151"/>
      <c r="F23" s="154"/>
      <c r="G23" s="155"/>
    </row>
    <row r="24" spans="1:7">
      <c r="A24" s="136" t="s">
        <v>473</v>
      </c>
      <c r="B24" s="156"/>
      <c r="C24" s="157"/>
      <c r="D24" s="158"/>
      <c r="E24" s="156"/>
      <c r="F24" s="159"/>
      <c r="G24" s="160"/>
    </row>
    <row r="25" spans="1:7">
      <c r="A25" s="576" t="s">
        <v>50</v>
      </c>
      <c r="B25" s="161" t="s">
        <v>51</v>
      </c>
      <c r="C25" s="162"/>
      <c r="D25" s="163"/>
      <c r="E25" s="164" t="s">
        <v>52</v>
      </c>
      <c r="F25" s="162"/>
      <c r="G25" s="163"/>
    </row>
    <row r="26" spans="1:7">
      <c r="A26" s="577"/>
      <c r="B26" s="546" t="s">
        <v>474</v>
      </c>
      <c r="C26" s="547" t="s">
        <v>475</v>
      </c>
      <c r="D26" s="548" t="s">
        <v>476</v>
      </c>
      <c r="E26" s="546" t="s">
        <v>474</v>
      </c>
      <c r="F26" s="547" t="s">
        <v>475</v>
      </c>
      <c r="G26" s="548" t="s">
        <v>476</v>
      </c>
    </row>
    <row r="27" spans="1:7">
      <c r="A27" s="31">
        <v>1</v>
      </c>
      <c r="B27" s="485">
        <v>1271</v>
      </c>
      <c r="C27" s="377">
        <v>1098</v>
      </c>
      <c r="D27" s="482">
        <f>IFERROR((B27-C27)/C27,0)</f>
        <v>0.15755919854280509</v>
      </c>
      <c r="E27" s="483">
        <v>706443</v>
      </c>
      <c r="F27" s="377">
        <v>559193</v>
      </c>
      <c r="G27" s="482">
        <f>IFERROR((E27-F27)/F27,0)</f>
        <v>0.26332590000232475</v>
      </c>
    </row>
    <row r="28" spans="1:7">
      <c r="A28" s="31">
        <v>2</v>
      </c>
      <c r="B28" s="485">
        <v>1635</v>
      </c>
      <c r="C28" s="377">
        <v>1715</v>
      </c>
      <c r="D28" s="482">
        <f>IFERROR((B28-C28)/C28,0)</f>
        <v>-4.6647230320699708E-2</v>
      </c>
      <c r="E28" s="483">
        <v>879950</v>
      </c>
      <c r="F28" s="377">
        <v>415174</v>
      </c>
      <c r="G28" s="482">
        <f t="shared" ref="G28:G39" si="2">IFERROR((E28-F28)/F28,0)</f>
        <v>1.1194727993564144</v>
      </c>
    </row>
    <row r="29" spans="1:7">
      <c r="A29" s="31">
        <v>3</v>
      </c>
      <c r="B29" s="485"/>
      <c r="C29" s="377"/>
      <c r="D29" s="482">
        <f t="shared" ref="D29:D39" si="3">IFERROR((B29-C29)/C29,0)</f>
        <v>0</v>
      </c>
      <c r="E29" s="483"/>
      <c r="F29" s="377"/>
      <c r="G29" s="482">
        <f t="shared" si="2"/>
        <v>0</v>
      </c>
    </row>
    <row r="30" spans="1:7">
      <c r="A30" s="31">
        <v>4</v>
      </c>
      <c r="B30" s="485"/>
      <c r="C30" s="486"/>
      <c r="D30" s="482">
        <f t="shared" si="3"/>
        <v>0</v>
      </c>
      <c r="E30" s="376"/>
      <c r="F30" s="374"/>
      <c r="G30" s="482">
        <f t="shared" si="2"/>
        <v>0</v>
      </c>
    </row>
    <row r="31" spans="1:7">
      <c r="A31" s="31">
        <v>5</v>
      </c>
      <c r="B31" s="485"/>
      <c r="C31" s="377"/>
      <c r="D31" s="482">
        <f t="shared" si="3"/>
        <v>0</v>
      </c>
      <c r="E31" s="483"/>
      <c r="F31" s="377"/>
      <c r="G31" s="482">
        <f t="shared" si="2"/>
        <v>0</v>
      </c>
    </row>
    <row r="32" spans="1:7">
      <c r="A32" s="31">
        <v>6</v>
      </c>
      <c r="B32" s="485"/>
      <c r="C32" s="377"/>
      <c r="D32" s="482">
        <f t="shared" si="3"/>
        <v>0</v>
      </c>
      <c r="E32" s="483"/>
      <c r="F32" s="377"/>
      <c r="G32" s="482">
        <f t="shared" si="2"/>
        <v>0</v>
      </c>
    </row>
    <row r="33" spans="1:12">
      <c r="A33" s="31">
        <v>7</v>
      </c>
      <c r="B33" s="485"/>
      <c r="C33" s="377"/>
      <c r="D33" s="482">
        <f t="shared" si="3"/>
        <v>0</v>
      </c>
      <c r="E33" s="483"/>
      <c r="F33" s="377"/>
      <c r="G33" s="482">
        <f t="shared" si="2"/>
        <v>0</v>
      </c>
    </row>
    <row r="34" spans="1:12">
      <c r="A34" s="31">
        <v>8</v>
      </c>
      <c r="B34" s="485"/>
      <c r="C34" s="377"/>
      <c r="D34" s="482">
        <f t="shared" si="3"/>
        <v>0</v>
      </c>
      <c r="E34" s="483"/>
      <c r="F34" s="377"/>
      <c r="G34" s="482">
        <f t="shared" si="2"/>
        <v>0</v>
      </c>
    </row>
    <row r="35" spans="1:12">
      <c r="A35" s="31">
        <v>9</v>
      </c>
      <c r="B35" s="487"/>
      <c r="C35" s="89"/>
      <c r="D35" s="482">
        <f t="shared" si="3"/>
        <v>0</v>
      </c>
      <c r="E35" s="27"/>
      <c r="F35" s="89"/>
      <c r="G35" s="482">
        <f t="shared" si="2"/>
        <v>0</v>
      </c>
    </row>
    <row r="36" spans="1:12">
      <c r="A36" s="31">
        <v>10</v>
      </c>
      <c r="B36" s="487"/>
      <c r="C36" s="89"/>
      <c r="D36" s="482">
        <f t="shared" si="3"/>
        <v>0</v>
      </c>
      <c r="E36" s="27"/>
      <c r="F36" s="89"/>
      <c r="G36" s="482">
        <f t="shared" si="2"/>
        <v>0</v>
      </c>
    </row>
    <row r="37" spans="1:12">
      <c r="A37" s="31">
        <v>11</v>
      </c>
      <c r="B37" s="487"/>
      <c r="C37" s="89"/>
      <c r="D37" s="482">
        <f t="shared" si="3"/>
        <v>0</v>
      </c>
      <c r="E37" s="27"/>
      <c r="F37" s="89"/>
      <c r="G37" s="482">
        <f t="shared" si="2"/>
        <v>0</v>
      </c>
      <c r="I37" s="479"/>
      <c r="J37" s="479"/>
      <c r="K37" s="479"/>
      <c r="L37" s="479"/>
    </row>
    <row r="38" spans="1:12">
      <c r="A38" s="31">
        <v>12</v>
      </c>
      <c r="B38" s="33"/>
      <c r="C38" s="89"/>
      <c r="D38" s="482">
        <f t="shared" si="3"/>
        <v>0</v>
      </c>
      <c r="E38" s="33"/>
      <c r="F38" s="89"/>
      <c r="G38" s="482">
        <f t="shared" si="2"/>
        <v>0</v>
      </c>
      <c r="I38" s="479"/>
      <c r="J38" s="479"/>
      <c r="K38" s="479"/>
      <c r="L38" s="479"/>
    </row>
    <row r="39" spans="1:12" s="113" customFormat="1">
      <c r="A39" s="32" t="s">
        <v>49</v>
      </c>
      <c r="B39" s="33">
        <f>SUM(B27:B38)</f>
        <v>2906</v>
      </c>
      <c r="C39" s="89">
        <f>SUM(C27:C38)</f>
        <v>2813</v>
      </c>
      <c r="D39" s="482">
        <f t="shared" si="3"/>
        <v>3.3060789193032347E-2</v>
      </c>
      <c r="E39" s="33">
        <f>SUM(E27:E38)</f>
        <v>1586393</v>
      </c>
      <c r="F39" s="89">
        <f>SUM(F27:F38)</f>
        <v>974367</v>
      </c>
      <c r="G39" s="482">
        <f t="shared" si="2"/>
        <v>0.62812677358736491</v>
      </c>
    </row>
    <row r="40" spans="1:12" s="113" customFormat="1" ht="10.5" customHeight="1">
      <c r="A40" s="38"/>
      <c r="B40" s="39"/>
      <c r="C40" s="484"/>
      <c r="D40" s="147"/>
      <c r="E40" s="39"/>
      <c r="F40" s="484"/>
      <c r="G40" s="165"/>
    </row>
    <row r="41" spans="1:12" s="13" customFormat="1">
      <c r="A41" s="54" t="s">
        <v>463</v>
      </c>
      <c r="C41" s="166"/>
      <c r="D41" s="167"/>
      <c r="F41" s="166"/>
      <c r="G41" s="167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29 B30 B31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9" customWidth="1"/>
    <col min="5" max="5" width="15" style="5" customWidth="1"/>
    <col min="6" max="6" width="15.125" style="58" customWidth="1"/>
    <col min="7" max="7" width="12.25" style="59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1" t="s">
        <v>493</v>
      </c>
      <c r="B1" s="1"/>
      <c r="C1" s="56"/>
      <c r="D1" s="57"/>
      <c r="E1" s="1"/>
      <c r="F1" s="56"/>
      <c r="G1" s="57"/>
    </row>
    <row r="2" spans="1:10" ht="10.5" customHeight="1">
      <c r="C2" s="58"/>
      <c r="G2" s="60"/>
    </row>
    <row r="3" spans="1:10">
      <c r="A3" s="61" t="s">
        <v>104</v>
      </c>
      <c r="B3" s="62"/>
      <c r="C3" s="63"/>
      <c r="D3" s="64"/>
      <c r="E3" s="62"/>
      <c r="F3" s="65"/>
      <c r="G3" s="66"/>
      <c r="H3" s="67"/>
      <c r="I3" s="67"/>
      <c r="J3" s="68"/>
    </row>
    <row r="4" spans="1:10">
      <c r="A4" s="69" t="s">
        <v>494</v>
      </c>
      <c r="B4" s="8" t="s">
        <v>459</v>
      </c>
      <c r="C4" s="561" t="s">
        <v>469</v>
      </c>
      <c r="D4" s="71" t="s">
        <v>154</v>
      </c>
      <c r="E4" s="8" t="s">
        <v>459</v>
      </c>
      <c r="F4" s="532" t="s">
        <v>469</v>
      </c>
      <c r="G4" s="73" t="s">
        <v>155</v>
      </c>
      <c r="H4" s="8" t="s">
        <v>459</v>
      </c>
      <c r="I4" s="70" t="s">
        <v>460</v>
      </c>
      <c r="J4" s="74" t="s">
        <v>155</v>
      </c>
    </row>
    <row r="5" spans="1:10">
      <c r="A5" s="14"/>
      <c r="B5" s="8" t="s">
        <v>31</v>
      </c>
      <c r="C5" s="562" t="s">
        <v>31</v>
      </c>
      <c r="D5" s="442" t="s">
        <v>1</v>
      </c>
      <c r="E5" s="76" t="s">
        <v>32</v>
      </c>
      <c r="F5" s="533" t="s">
        <v>32</v>
      </c>
      <c r="G5" s="442" t="s">
        <v>1</v>
      </c>
      <c r="H5" s="77" t="s">
        <v>105</v>
      </c>
      <c r="I5" s="78" t="s">
        <v>106</v>
      </c>
      <c r="J5" s="442" t="s">
        <v>1</v>
      </c>
    </row>
    <row r="6" spans="1:10">
      <c r="A6" s="79" t="s">
        <v>4</v>
      </c>
      <c r="B6" s="17"/>
      <c r="C6" s="80"/>
      <c r="D6" s="81"/>
      <c r="E6" s="17"/>
      <c r="F6" s="534"/>
      <c r="G6" s="81"/>
      <c r="H6" s="82"/>
      <c r="I6" s="83"/>
      <c r="J6" s="81"/>
    </row>
    <row r="7" spans="1:10">
      <c r="A7" s="79" t="s">
        <v>5</v>
      </c>
      <c r="B7" s="22">
        <f>SUM(B8:B10)</f>
        <v>47354</v>
      </c>
      <c r="C7" s="84">
        <v>52830</v>
      </c>
      <c r="D7" s="503">
        <f>IF(C7,(B7-C7)/C7,0)</f>
        <v>-0.10365322733295476</v>
      </c>
      <c r="E7" s="22">
        <f>SUM(E8:E10)</f>
        <v>36429971</v>
      </c>
      <c r="F7" s="535">
        <v>51632659</v>
      </c>
      <c r="G7" s="503">
        <f>IF(F7,(E7-F7)/F7,0)</f>
        <v>-0.29443937799136011</v>
      </c>
      <c r="H7" s="86">
        <f>IF(B7,E7/B7,0)</f>
        <v>769.31137813067539</v>
      </c>
      <c r="I7" s="87">
        <f>IF(C7,F7/C7,0)</f>
        <v>977.33596441415864</v>
      </c>
      <c r="J7" s="503">
        <f>IF(I7,(H7-I7)/I7,0)</f>
        <v>-0.21284859440139273</v>
      </c>
    </row>
    <row r="8" spans="1:10">
      <c r="A8" s="445" t="s">
        <v>196</v>
      </c>
      <c r="B8" s="28">
        <f>整車!E8</f>
        <v>43828</v>
      </c>
      <c r="C8" s="88">
        <v>47233</v>
      </c>
      <c r="D8" s="503">
        <f t="shared" ref="D8:D67" si="0">IF(C8,(B8-C8)/C8,0)</f>
        <v>-7.2089429000910379E-2</v>
      </c>
      <c r="E8" s="27">
        <f>整車!G8</f>
        <v>31995482</v>
      </c>
      <c r="F8" s="536">
        <v>43912705</v>
      </c>
      <c r="G8" s="503">
        <f t="shared" ref="G8:G67" si="1">IF(F8,(E8-F8)/F8,0)</f>
        <v>-0.27138439775003614</v>
      </c>
      <c r="H8" s="86">
        <f t="shared" ref="H8:H10" si="2">IF(B8,E8/B8,0)</f>
        <v>730.02377475586388</v>
      </c>
      <c r="I8" s="87">
        <f t="shared" ref="I8:I10" si="3">IF(C8,F8/C8,0)</f>
        <v>929.70391463595365</v>
      </c>
      <c r="J8" s="503">
        <f t="shared" ref="J8:J67" si="4">IF(I8,(H8-I8)/I8,0)</f>
        <v>-0.2147782070577588</v>
      </c>
    </row>
    <row r="9" spans="1:10">
      <c r="A9" s="446" t="s">
        <v>6</v>
      </c>
      <c r="B9" s="28">
        <f>整車!E9</f>
        <v>2730</v>
      </c>
      <c r="C9" s="88">
        <v>4868</v>
      </c>
      <c r="D9" s="503">
        <f t="shared" si="0"/>
        <v>-0.43919474116680363</v>
      </c>
      <c r="E9" s="27">
        <f>整車!G9</f>
        <v>3540341</v>
      </c>
      <c r="F9" s="536">
        <v>7035526</v>
      </c>
      <c r="G9" s="503">
        <f t="shared" si="1"/>
        <v>-0.49679085828124292</v>
      </c>
      <c r="H9" s="86">
        <f t="shared" si="2"/>
        <v>1296.8282051282051</v>
      </c>
      <c r="I9" s="87">
        <f t="shared" si="3"/>
        <v>1445.2600657354149</v>
      </c>
      <c r="J9" s="503">
        <f t="shared" si="4"/>
        <v>-0.10270252678135182</v>
      </c>
    </row>
    <row r="10" spans="1:10">
      <c r="A10" s="446" t="s">
        <v>7</v>
      </c>
      <c r="B10" s="28">
        <f>整車!E10</f>
        <v>796</v>
      </c>
      <c r="C10" s="88">
        <v>729</v>
      </c>
      <c r="D10" s="503">
        <f t="shared" si="0"/>
        <v>9.1906721536351169E-2</v>
      </c>
      <c r="E10" s="27">
        <f>整車!G10</f>
        <v>894148</v>
      </c>
      <c r="F10" s="536">
        <v>684428</v>
      </c>
      <c r="G10" s="503">
        <f t="shared" si="1"/>
        <v>0.30641645286282854</v>
      </c>
      <c r="H10" s="86">
        <f t="shared" si="2"/>
        <v>1123.3015075376884</v>
      </c>
      <c r="I10" s="87">
        <f t="shared" si="3"/>
        <v>938.85871056241422</v>
      </c>
      <c r="J10" s="503">
        <f t="shared" si="4"/>
        <v>0.19645426399120855</v>
      </c>
    </row>
    <row r="11" spans="1:10">
      <c r="A11" s="30"/>
      <c r="B11" s="28"/>
      <c r="C11" s="89"/>
      <c r="D11" s="503"/>
      <c r="E11" s="27"/>
      <c r="F11" s="537"/>
      <c r="G11" s="503"/>
      <c r="H11" s="86"/>
      <c r="I11" s="87"/>
      <c r="J11" s="503"/>
    </row>
    <row r="12" spans="1:10">
      <c r="A12" s="32" t="s">
        <v>8</v>
      </c>
      <c r="B12" s="33">
        <f>SUM(B13:B39)</f>
        <v>38007</v>
      </c>
      <c r="C12" s="90">
        <v>43126</v>
      </c>
      <c r="D12" s="503">
        <f t="shared" si="0"/>
        <v>-0.11869869684181236</v>
      </c>
      <c r="E12" s="33">
        <f>SUM(E13:E39)</f>
        <v>41832788</v>
      </c>
      <c r="F12" s="538">
        <v>49086988</v>
      </c>
      <c r="G12" s="503">
        <f t="shared" si="1"/>
        <v>-0.14778254473466573</v>
      </c>
      <c r="H12" s="86">
        <f t="shared" ref="H12:H66" si="5">IF(B12,E12/B12,0)</f>
        <v>1100.6600889309864</v>
      </c>
      <c r="I12" s="87">
        <f t="shared" ref="I12:I66" si="6">IF(C12,F12/C12,0)</f>
        <v>1138.222603533831</v>
      </c>
      <c r="J12" s="503">
        <f t="shared" si="4"/>
        <v>-3.3001026764206409E-2</v>
      </c>
    </row>
    <row r="13" spans="1:10">
      <c r="A13" s="445" t="s">
        <v>197</v>
      </c>
      <c r="B13" s="27">
        <f>整車!E13</f>
        <v>15199</v>
      </c>
      <c r="C13" s="88">
        <v>15872</v>
      </c>
      <c r="D13" s="503">
        <f t="shared" si="0"/>
        <v>-4.2401713709677422E-2</v>
      </c>
      <c r="E13" s="27">
        <f>整車!G13</f>
        <v>23076961</v>
      </c>
      <c r="F13" s="536">
        <v>26525055</v>
      </c>
      <c r="G13" s="503">
        <f t="shared" si="1"/>
        <v>-0.12999384921162274</v>
      </c>
      <c r="H13" s="86">
        <f t="shared" si="5"/>
        <v>1518.3210079610501</v>
      </c>
      <c r="I13" s="87">
        <f t="shared" si="6"/>
        <v>1671.1854208669354</v>
      </c>
      <c r="J13" s="503">
        <f t="shared" si="4"/>
        <v>-9.147064771938121E-2</v>
      </c>
    </row>
    <row r="14" spans="1:10">
      <c r="A14" s="445" t="s">
        <v>198</v>
      </c>
      <c r="B14" s="27">
        <f>整車!E14</f>
        <v>6801</v>
      </c>
      <c r="C14" s="88">
        <v>10776</v>
      </c>
      <c r="D14" s="503">
        <f t="shared" si="0"/>
        <v>-0.36887527839643652</v>
      </c>
      <c r="E14" s="27">
        <f>整車!G14</f>
        <v>4281334</v>
      </c>
      <c r="F14" s="536">
        <v>8244241</v>
      </c>
      <c r="G14" s="503">
        <f t="shared" si="1"/>
        <v>-0.4806879129321911</v>
      </c>
      <c r="H14" s="86">
        <f t="shared" si="5"/>
        <v>629.51536538744301</v>
      </c>
      <c r="I14" s="87">
        <f t="shared" si="6"/>
        <v>765.05577208611726</v>
      </c>
      <c r="J14" s="503">
        <f t="shared" si="4"/>
        <v>-0.17716408612811219</v>
      </c>
    </row>
    <row r="15" spans="1:10">
      <c r="A15" s="446" t="s">
        <v>9</v>
      </c>
      <c r="B15" s="27">
        <f>整車!E15</f>
        <v>2039</v>
      </c>
      <c r="C15" s="88">
        <v>1731</v>
      </c>
      <c r="D15" s="503">
        <f t="shared" si="0"/>
        <v>0.17793183131138071</v>
      </c>
      <c r="E15" s="27">
        <f>整車!G15</f>
        <v>3401313</v>
      </c>
      <c r="F15" s="536">
        <v>2852767</v>
      </c>
      <c r="G15" s="503">
        <f t="shared" si="1"/>
        <v>0.19228559500302689</v>
      </c>
      <c r="H15" s="86">
        <f t="shared" si="5"/>
        <v>1668.1280039234919</v>
      </c>
      <c r="I15" s="87">
        <f t="shared" si="6"/>
        <v>1648.0456383593298</v>
      </c>
      <c r="J15" s="503">
        <f t="shared" si="4"/>
        <v>1.2185563977557405E-2</v>
      </c>
    </row>
    <row r="16" spans="1:10">
      <c r="A16" s="445" t="s">
        <v>199</v>
      </c>
      <c r="B16" s="27">
        <f>整車!E16</f>
        <v>1545</v>
      </c>
      <c r="C16" s="88">
        <v>1332</v>
      </c>
      <c r="D16" s="503">
        <f t="shared" si="0"/>
        <v>0.15990990990990991</v>
      </c>
      <c r="E16" s="27">
        <f>整車!G16</f>
        <v>2447174</v>
      </c>
      <c r="F16" s="536">
        <v>2523924</v>
      </c>
      <c r="G16" s="503">
        <f t="shared" si="1"/>
        <v>-3.0408998052239292E-2</v>
      </c>
      <c r="H16" s="86">
        <f t="shared" si="5"/>
        <v>1583.9313915857606</v>
      </c>
      <c r="I16" s="87">
        <f t="shared" si="6"/>
        <v>1894.8378378378379</v>
      </c>
      <c r="J16" s="503">
        <f t="shared" si="4"/>
        <v>-0.16408076725280435</v>
      </c>
    </row>
    <row r="17" spans="1:10">
      <c r="A17" s="446" t="s">
        <v>10</v>
      </c>
      <c r="B17" s="27">
        <f>整車!E17</f>
        <v>1523</v>
      </c>
      <c r="C17" s="88">
        <v>1682</v>
      </c>
      <c r="D17" s="503">
        <f t="shared" si="0"/>
        <v>-9.4530321046373364E-2</v>
      </c>
      <c r="E17" s="27">
        <f>整車!G17</f>
        <v>2041897</v>
      </c>
      <c r="F17" s="536">
        <v>2884073</v>
      </c>
      <c r="G17" s="503">
        <f t="shared" si="1"/>
        <v>-0.29200925219299234</v>
      </c>
      <c r="H17" s="86">
        <f t="shared" si="5"/>
        <v>1340.7071569271175</v>
      </c>
      <c r="I17" s="87">
        <f t="shared" si="6"/>
        <v>1714.6688466111771</v>
      </c>
      <c r="J17" s="503">
        <f t="shared" si="4"/>
        <v>-0.21809557596100662</v>
      </c>
    </row>
    <row r="18" spans="1:10">
      <c r="A18" s="446" t="s">
        <v>11</v>
      </c>
      <c r="B18" s="27">
        <f>整車!E18</f>
        <v>1788</v>
      </c>
      <c r="C18" s="88">
        <v>1949</v>
      </c>
      <c r="D18" s="503">
        <f t="shared" si="0"/>
        <v>-8.2606464853771169E-2</v>
      </c>
      <c r="E18" s="27">
        <f>整車!G18</f>
        <v>3177566</v>
      </c>
      <c r="F18" s="536">
        <v>1623560</v>
      </c>
      <c r="G18" s="503">
        <f t="shared" si="1"/>
        <v>0.95715957525437922</v>
      </c>
      <c r="H18" s="86">
        <f t="shared" si="5"/>
        <v>1777.1621923937359</v>
      </c>
      <c r="I18" s="87">
        <f t="shared" si="6"/>
        <v>833.02206259620323</v>
      </c>
      <c r="J18" s="503">
        <f t="shared" si="4"/>
        <v>1.1333915056883583</v>
      </c>
    </row>
    <row r="19" spans="1:10">
      <c r="A19" s="445" t="s">
        <v>200</v>
      </c>
      <c r="B19" s="27">
        <f>整車!E19</f>
        <v>2530</v>
      </c>
      <c r="C19" s="88">
        <v>2427</v>
      </c>
      <c r="D19" s="503">
        <f t="shared" si="0"/>
        <v>4.2439225381128966E-2</v>
      </c>
      <c r="E19" s="27">
        <f>整車!G19</f>
        <v>376158</v>
      </c>
      <c r="F19" s="536">
        <v>188013</v>
      </c>
      <c r="G19" s="503">
        <f t="shared" si="1"/>
        <v>1.0007020791115508</v>
      </c>
      <c r="H19" s="86">
        <f t="shared" si="5"/>
        <v>148.67905138339921</v>
      </c>
      <c r="I19" s="87">
        <f t="shared" si="6"/>
        <v>77.467243510506805</v>
      </c>
      <c r="J19" s="503">
        <f t="shared" si="4"/>
        <v>0.91925057154297762</v>
      </c>
    </row>
    <row r="20" spans="1:10">
      <c r="A20" s="446" t="s">
        <v>201</v>
      </c>
      <c r="B20" s="27">
        <f>整車!E20</f>
        <v>0</v>
      </c>
      <c r="C20" s="88">
        <v>3</v>
      </c>
      <c r="D20" s="503">
        <f t="shared" si="0"/>
        <v>-1</v>
      </c>
      <c r="E20" s="27">
        <f>整車!G20</f>
        <v>0</v>
      </c>
      <c r="F20" s="536">
        <v>7294</v>
      </c>
      <c r="G20" s="503">
        <f t="shared" si="1"/>
        <v>-1</v>
      </c>
      <c r="H20" s="86">
        <f t="shared" si="5"/>
        <v>0</v>
      </c>
      <c r="I20" s="87">
        <f t="shared" si="6"/>
        <v>2431.3333333333335</v>
      </c>
      <c r="J20" s="503">
        <f t="shared" si="4"/>
        <v>-1</v>
      </c>
    </row>
    <row r="21" spans="1:10">
      <c r="A21" s="445" t="s">
        <v>202</v>
      </c>
      <c r="B21" s="27">
        <f>整車!E21</f>
        <v>0</v>
      </c>
      <c r="C21" s="88">
        <v>0</v>
      </c>
      <c r="D21" s="503">
        <f t="shared" si="0"/>
        <v>0</v>
      </c>
      <c r="E21" s="27">
        <f>整車!G21</f>
        <v>0</v>
      </c>
      <c r="F21" s="536">
        <v>0</v>
      </c>
      <c r="G21" s="503">
        <f t="shared" si="1"/>
        <v>0</v>
      </c>
      <c r="H21" s="86">
        <f t="shared" si="5"/>
        <v>0</v>
      </c>
      <c r="I21" s="87">
        <f t="shared" si="6"/>
        <v>0</v>
      </c>
      <c r="J21" s="503">
        <f t="shared" si="4"/>
        <v>0</v>
      </c>
    </row>
    <row r="22" spans="1:10">
      <c r="A22" s="446" t="s">
        <v>13</v>
      </c>
      <c r="B22" s="27">
        <f>整車!E22</f>
        <v>0</v>
      </c>
      <c r="C22" s="88">
        <v>0</v>
      </c>
      <c r="D22" s="503">
        <f t="shared" si="0"/>
        <v>0</v>
      </c>
      <c r="E22" s="27">
        <f>整車!G22</f>
        <v>0</v>
      </c>
      <c r="F22" s="536">
        <v>0</v>
      </c>
      <c r="G22" s="503">
        <f t="shared" si="1"/>
        <v>0</v>
      </c>
      <c r="H22" s="86">
        <f t="shared" si="5"/>
        <v>0</v>
      </c>
      <c r="I22" s="87">
        <f t="shared" si="6"/>
        <v>0</v>
      </c>
      <c r="J22" s="503">
        <f t="shared" si="4"/>
        <v>0</v>
      </c>
    </row>
    <row r="23" spans="1:10">
      <c r="A23" s="446" t="s">
        <v>14</v>
      </c>
      <c r="B23" s="27">
        <f>整車!E23</f>
        <v>0</v>
      </c>
      <c r="C23" s="88">
        <v>0</v>
      </c>
      <c r="D23" s="503">
        <f t="shared" si="0"/>
        <v>0</v>
      </c>
      <c r="E23" s="27">
        <f>整車!G23</f>
        <v>0</v>
      </c>
      <c r="F23" s="536">
        <v>0</v>
      </c>
      <c r="G23" s="503">
        <f t="shared" si="1"/>
        <v>0</v>
      </c>
      <c r="H23" s="86">
        <f t="shared" si="5"/>
        <v>0</v>
      </c>
      <c r="I23" s="87">
        <f t="shared" si="6"/>
        <v>0</v>
      </c>
      <c r="J23" s="503">
        <f t="shared" si="4"/>
        <v>0</v>
      </c>
    </row>
    <row r="24" spans="1:10">
      <c r="A24" s="446" t="s">
        <v>15</v>
      </c>
      <c r="B24" s="27">
        <f>整車!E24</f>
        <v>0</v>
      </c>
      <c r="C24" s="88">
        <v>1</v>
      </c>
      <c r="D24" s="503">
        <f t="shared" si="0"/>
        <v>-1</v>
      </c>
      <c r="E24" s="27">
        <f>整車!G24</f>
        <v>0</v>
      </c>
      <c r="F24" s="536">
        <v>611</v>
      </c>
      <c r="G24" s="503">
        <f t="shared" si="1"/>
        <v>-1</v>
      </c>
      <c r="H24" s="86">
        <f t="shared" si="5"/>
        <v>0</v>
      </c>
      <c r="I24" s="87">
        <f t="shared" si="6"/>
        <v>611</v>
      </c>
      <c r="J24" s="503">
        <f t="shared" si="4"/>
        <v>-1</v>
      </c>
    </row>
    <row r="25" spans="1:10">
      <c r="A25" s="445" t="s">
        <v>203</v>
      </c>
      <c r="B25" s="27">
        <f>整車!E25</f>
        <v>437</v>
      </c>
      <c r="C25" s="88">
        <v>4026</v>
      </c>
      <c r="D25" s="503">
        <f t="shared" si="0"/>
        <v>-0.89145553899652263</v>
      </c>
      <c r="E25" s="27">
        <f>整車!G25</f>
        <v>178608</v>
      </c>
      <c r="F25" s="536">
        <v>1666161</v>
      </c>
      <c r="G25" s="503">
        <f t="shared" si="1"/>
        <v>-0.89280267633199917</v>
      </c>
      <c r="H25" s="86">
        <f t="shared" si="5"/>
        <v>408.71395881006868</v>
      </c>
      <c r="I25" s="87">
        <f t="shared" si="6"/>
        <v>413.85022354694485</v>
      </c>
      <c r="J25" s="503">
        <f t="shared" si="4"/>
        <v>-1.2410926573520486E-2</v>
      </c>
    </row>
    <row r="26" spans="1:10">
      <c r="A26" s="445" t="s">
        <v>204</v>
      </c>
      <c r="B26" s="27">
        <f>整車!E26</f>
        <v>0</v>
      </c>
      <c r="C26" s="88">
        <v>9</v>
      </c>
      <c r="D26" s="503">
        <f t="shared" si="0"/>
        <v>-1</v>
      </c>
      <c r="E26" s="27">
        <f>整車!G26</f>
        <v>0</v>
      </c>
      <c r="F26" s="536">
        <v>3570</v>
      </c>
      <c r="G26" s="503">
        <f t="shared" si="1"/>
        <v>-1</v>
      </c>
      <c r="H26" s="86">
        <f t="shared" si="5"/>
        <v>0</v>
      </c>
      <c r="I26" s="87">
        <f t="shared" si="6"/>
        <v>396.66666666666669</v>
      </c>
      <c r="J26" s="503">
        <f t="shared" si="4"/>
        <v>-1</v>
      </c>
    </row>
    <row r="27" spans="1:10">
      <c r="A27" s="447" t="s">
        <v>205</v>
      </c>
      <c r="B27" s="27">
        <f>整車!E27</f>
        <v>2688</v>
      </c>
      <c r="C27" s="88">
        <v>933</v>
      </c>
      <c r="D27" s="503">
        <f t="shared" si="0"/>
        <v>1.8810289389067525</v>
      </c>
      <c r="E27" s="27">
        <f>整車!G27</f>
        <v>1456029</v>
      </c>
      <c r="F27" s="536">
        <v>785023</v>
      </c>
      <c r="G27" s="503">
        <f t="shared" si="1"/>
        <v>0.85475966946191384</v>
      </c>
      <c r="H27" s="86">
        <f t="shared" si="5"/>
        <v>541.67745535714289</v>
      </c>
      <c r="I27" s="87">
        <f t="shared" si="6"/>
        <v>841.39657020364416</v>
      </c>
      <c r="J27" s="503">
        <f t="shared" si="4"/>
        <v>-0.35621623080060799</v>
      </c>
    </row>
    <row r="28" spans="1:10">
      <c r="A28" s="447" t="s">
        <v>206</v>
      </c>
      <c r="B28" s="27">
        <f>整車!E28</f>
        <v>1566</v>
      </c>
      <c r="C28" s="88">
        <v>1351</v>
      </c>
      <c r="D28" s="503">
        <f t="shared" si="0"/>
        <v>0.15914137675795706</v>
      </c>
      <c r="E28" s="27">
        <f>整車!G28</f>
        <v>586045</v>
      </c>
      <c r="F28" s="536">
        <v>1059734</v>
      </c>
      <c r="G28" s="503">
        <f t="shared" si="1"/>
        <v>-0.44698858392766488</v>
      </c>
      <c r="H28" s="86">
        <f t="shared" si="5"/>
        <v>374.23052362707534</v>
      </c>
      <c r="I28" s="87">
        <f t="shared" si="6"/>
        <v>784.40710584752037</v>
      </c>
      <c r="J28" s="503">
        <f t="shared" si="4"/>
        <v>-0.52291288434628047</v>
      </c>
    </row>
    <row r="29" spans="1:10">
      <c r="A29" s="446" t="s">
        <v>207</v>
      </c>
      <c r="B29" s="27">
        <f>整車!E29</f>
        <v>778</v>
      </c>
      <c r="C29" s="88">
        <v>250</v>
      </c>
      <c r="D29" s="503">
        <f t="shared" si="0"/>
        <v>2.1120000000000001</v>
      </c>
      <c r="E29" s="27">
        <f>整車!G29</f>
        <v>452638</v>
      </c>
      <c r="F29" s="536">
        <v>190660</v>
      </c>
      <c r="G29" s="503">
        <f t="shared" si="1"/>
        <v>1.3740585335151578</v>
      </c>
      <c r="H29" s="86">
        <f t="shared" si="5"/>
        <v>581.79691516709511</v>
      </c>
      <c r="I29" s="87">
        <f t="shared" si="6"/>
        <v>762.64</v>
      </c>
      <c r="J29" s="503">
        <f t="shared" si="4"/>
        <v>-0.23712772059281559</v>
      </c>
    </row>
    <row r="30" spans="1:10">
      <c r="A30" s="446" t="s">
        <v>208</v>
      </c>
      <c r="B30" s="27">
        <f>整車!E30</f>
        <v>0</v>
      </c>
      <c r="C30" s="88">
        <v>0</v>
      </c>
      <c r="D30" s="503">
        <f t="shared" si="0"/>
        <v>0</v>
      </c>
      <c r="E30" s="27">
        <f>整車!G30</f>
        <v>0</v>
      </c>
      <c r="F30" s="536">
        <v>0</v>
      </c>
      <c r="G30" s="503">
        <f t="shared" si="1"/>
        <v>0</v>
      </c>
      <c r="H30" s="86">
        <f t="shared" si="5"/>
        <v>0</v>
      </c>
      <c r="I30" s="87">
        <f t="shared" si="6"/>
        <v>0</v>
      </c>
      <c r="J30" s="503">
        <f t="shared" si="4"/>
        <v>0</v>
      </c>
    </row>
    <row r="31" spans="1:10">
      <c r="A31" s="446" t="s">
        <v>16</v>
      </c>
      <c r="B31" s="27">
        <f>整車!E31</f>
        <v>0</v>
      </c>
      <c r="C31" s="88">
        <v>364</v>
      </c>
      <c r="D31" s="503">
        <f t="shared" si="0"/>
        <v>-1</v>
      </c>
      <c r="E31" s="381">
        <f>整車!G31</f>
        <v>0</v>
      </c>
      <c r="F31" s="536">
        <v>454288</v>
      </c>
      <c r="G31" s="503">
        <f t="shared" si="1"/>
        <v>-1</v>
      </c>
      <c r="H31" s="86">
        <f t="shared" si="5"/>
        <v>0</v>
      </c>
      <c r="I31" s="87">
        <f t="shared" si="6"/>
        <v>1248.0439560439561</v>
      </c>
      <c r="J31" s="503">
        <f t="shared" si="4"/>
        <v>-1</v>
      </c>
    </row>
    <row r="32" spans="1:10">
      <c r="A32" s="446" t="s">
        <v>17</v>
      </c>
      <c r="B32" s="27">
        <f>整車!E32</f>
        <v>245</v>
      </c>
      <c r="C32" s="88">
        <v>0</v>
      </c>
      <c r="D32" s="503">
        <f t="shared" si="0"/>
        <v>0</v>
      </c>
      <c r="E32" s="27">
        <f>整車!G32</f>
        <v>57583</v>
      </c>
      <c r="F32" s="536">
        <v>0</v>
      </c>
      <c r="G32" s="503">
        <f t="shared" si="1"/>
        <v>0</v>
      </c>
      <c r="H32" s="86">
        <f t="shared" si="5"/>
        <v>235.03265306122449</v>
      </c>
      <c r="I32" s="87">
        <f t="shared" si="6"/>
        <v>0</v>
      </c>
      <c r="J32" s="503">
        <f t="shared" si="4"/>
        <v>0</v>
      </c>
    </row>
    <row r="33" spans="1:10">
      <c r="A33" s="446" t="s">
        <v>209</v>
      </c>
      <c r="B33" s="27">
        <f>整車!E33</f>
        <v>277</v>
      </c>
      <c r="C33" s="88">
        <v>292</v>
      </c>
      <c r="D33" s="503">
        <f t="shared" si="0"/>
        <v>-5.1369863013698627E-2</v>
      </c>
      <c r="E33" s="27">
        <f>整車!G33</f>
        <v>91579</v>
      </c>
      <c r="F33" s="536">
        <v>60855</v>
      </c>
      <c r="G33" s="503">
        <f t="shared" si="1"/>
        <v>0.50487223728535047</v>
      </c>
      <c r="H33" s="86">
        <f t="shared" si="5"/>
        <v>330.61010830324909</v>
      </c>
      <c r="I33" s="87">
        <f t="shared" si="6"/>
        <v>208.40753424657535</v>
      </c>
      <c r="J33" s="503">
        <f t="shared" si="4"/>
        <v>0.58636351367264372</v>
      </c>
    </row>
    <row r="34" spans="1:10">
      <c r="A34" s="446" t="s">
        <v>210</v>
      </c>
      <c r="B34" s="27">
        <f>整車!E34</f>
        <v>234</v>
      </c>
      <c r="C34" s="88">
        <v>0</v>
      </c>
      <c r="D34" s="503">
        <f t="shared" si="0"/>
        <v>0</v>
      </c>
      <c r="E34" s="27">
        <f>整車!G34</f>
        <v>97131</v>
      </c>
      <c r="F34" s="536">
        <v>0</v>
      </c>
      <c r="G34" s="503">
        <f t="shared" si="1"/>
        <v>0</v>
      </c>
      <c r="H34" s="86">
        <f t="shared" si="5"/>
        <v>415.08974358974359</v>
      </c>
      <c r="I34" s="87">
        <f t="shared" si="6"/>
        <v>0</v>
      </c>
      <c r="J34" s="503">
        <f t="shared" si="4"/>
        <v>0</v>
      </c>
    </row>
    <row r="35" spans="1:10">
      <c r="A35" s="446" t="s">
        <v>211</v>
      </c>
      <c r="B35" s="27">
        <f>整車!E35</f>
        <v>101</v>
      </c>
      <c r="C35" s="88">
        <v>0</v>
      </c>
      <c r="D35" s="503">
        <f t="shared" si="0"/>
        <v>0</v>
      </c>
      <c r="E35" s="27">
        <f>整車!G35</f>
        <v>43057</v>
      </c>
      <c r="F35" s="536">
        <v>0</v>
      </c>
      <c r="G35" s="503">
        <f t="shared" si="1"/>
        <v>0</v>
      </c>
      <c r="H35" s="86">
        <f t="shared" si="5"/>
        <v>426.30693069306932</v>
      </c>
      <c r="I35" s="87">
        <f t="shared" si="6"/>
        <v>0</v>
      </c>
      <c r="J35" s="503">
        <f t="shared" si="4"/>
        <v>0</v>
      </c>
    </row>
    <row r="36" spans="1:10">
      <c r="A36" s="446" t="s">
        <v>212</v>
      </c>
      <c r="B36" s="27">
        <f>整車!E36</f>
        <v>0</v>
      </c>
      <c r="C36" s="88">
        <v>128</v>
      </c>
      <c r="D36" s="503">
        <f t="shared" si="0"/>
        <v>-1</v>
      </c>
      <c r="E36" s="27">
        <f>整車!G36</f>
        <v>0</v>
      </c>
      <c r="F36" s="536">
        <v>17159</v>
      </c>
      <c r="G36" s="503">
        <f t="shared" si="1"/>
        <v>-1</v>
      </c>
      <c r="H36" s="86">
        <f t="shared" si="5"/>
        <v>0</v>
      </c>
      <c r="I36" s="87">
        <f t="shared" si="6"/>
        <v>134.0546875</v>
      </c>
      <c r="J36" s="503">
        <f t="shared" si="4"/>
        <v>-1</v>
      </c>
    </row>
    <row r="37" spans="1:10">
      <c r="A37" s="446" t="s">
        <v>213</v>
      </c>
      <c r="B37" s="27">
        <f>整車!E37</f>
        <v>0</v>
      </c>
      <c r="C37" s="88">
        <v>0</v>
      </c>
      <c r="D37" s="503">
        <f t="shared" si="0"/>
        <v>0</v>
      </c>
      <c r="E37" s="27">
        <f>整車!G37</f>
        <v>0</v>
      </c>
      <c r="F37" s="536">
        <v>0</v>
      </c>
      <c r="G37" s="503">
        <f t="shared" si="1"/>
        <v>0</v>
      </c>
      <c r="H37" s="86">
        <f t="shared" si="5"/>
        <v>0</v>
      </c>
      <c r="I37" s="87">
        <f t="shared" si="6"/>
        <v>0</v>
      </c>
      <c r="J37" s="503">
        <f t="shared" si="4"/>
        <v>0</v>
      </c>
    </row>
    <row r="38" spans="1:10">
      <c r="A38" s="446" t="s">
        <v>214</v>
      </c>
      <c r="B38" s="27">
        <f>整車!E38</f>
        <v>0</v>
      </c>
      <c r="C38" s="88">
        <v>0</v>
      </c>
      <c r="D38" s="503">
        <f t="shared" si="0"/>
        <v>0</v>
      </c>
      <c r="E38" s="27">
        <f>整車!G38</f>
        <v>0</v>
      </c>
      <c r="F38" s="536">
        <v>0</v>
      </c>
      <c r="G38" s="503">
        <f t="shared" si="1"/>
        <v>0</v>
      </c>
      <c r="H38" s="86">
        <f t="shared" si="5"/>
        <v>0</v>
      </c>
      <c r="I38" s="87">
        <f t="shared" si="6"/>
        <v>0</v>
      </c>
      <c r="J38" s="503">
        <f t="shared" si="4"/>
        <v>0</v>
      </c>
    </row>
    <row r="39" spans="1:10">
      <c r="A39" s="446" t="s">
        <v>18</v>
      </c>
      <c r="B39" s="27">
        <f>整車!E39</f>
        <v>256</v>
      </c>
      <c r="C39" s="88">
        <v>0</v>
      </c>
      <c r="D39" s="503">
        <f t="shared" si="0"/>
        <v>0</v>
      </c>
      <c r="E39" s="27">
        <f>整車!G39</f>
        <v>67715</v>
      </c>
      <c r="F39" s="536">
        <v>0</v>
      </c>
      <c r="G39" s="503">
        <f t="shared" si="1"/>
        <v>0</v>
      </c>
      <c r="H39" s="86">
        <f t="shared" si="5"/>
        <v>264.51171875</v>
      </c>
      <c r="I39" s="87">
        <f t="shared" si="6"/>
        <v>0</v>
      </c>
      <c r="J39" s="503">
        <f t="shared" si="4"/>
        <v>0</v>
      </c>
    </row>
    <row r="40" spans="1:10">
      <c r="A40" s="30"/>
      <c r="B40" s="27"/>
      <c r="C40" s="89"/>
      <c r="D40" s="503"/>
      <c r="E40" s="27"/>
      <c r="F40" s="537"/>
      <c r="G40" s="503"/>
      <c r="H40" s="86"/>
      <c r="I40" s="87"/>
      <c r="J40" s="503"/>
    </row>
    <row r="41" spans="1:10" ht="16.149999999999999" customHeight="1">
      <c r="A41" s="36" t="s">
        <v>19</v>
      </c>
      <c r="B41" s="33">
        <f>SUM(B42:B45)</f>
        <v>3338</v>
      </c>
      <c r="C41" s="90">
        <v>6892</v>
      </c>
      <c r="D41" s="503">
        <f t="shared" si="0"/>
        <v>-0.51567034242600118</v>
      </c>
      <c r="E41" s="33">
        <f>SUM(E42:E45)</f>
        <v>2752946</v>
      </c>
      <c r="F41" s="538">
        <v>6750809</v>
      </c>
      <c r="G41" s="503">
        <f t="shared" si="1"/>
        <v>-0.59220502313130174</v>
      </c>
      <c r="H41" s="86">
        <f t="shared" si="5"/>
        <v>824.72917914919117</v>
      </c>
      <c r="I41" s="87">
        <f t="shared" si="6"/>
        <v>979.5137840975043</v>
      </c>
      <c r="J41" s="503">
        <f t="shared" si="4"/>
        <v>-0.158021875200998</v>
      </c>
    </row>
    <row r="42" spans="1:10">
      <c r="A42" s="445" t="s">
        <v>215</v>
      </c>
      <c r="B42" s="27">
        <f>整車!E42</f>
        <v>1775</v>
      </c>
      <c r="C42" s="88">
        <v>2308</v>
      </c>
      <c r="D42" s="503">
        <f t="shared" si="0"/>
        <v>-0.23093587521663778</v>
      </c>
      <c r="E42" s="27">
        <f>整車!G42</f>
        <v>1603844</v>
      </c>
      <c r="F42" s="536">
        <v>3671924</v>
      </c>
      <c r="G42" s="503">
        <f t="shared" si="1"/>
        <v>-0.56321427131934099</v>
      </c>
      <c r="H42" s="86">
        <f t="shared" si="5"/>
        <v>903.57408450704224</v>
      </c>
      <c r="I42" s="87">
        <f t="shared" si="6"/>
        <v>1590.9549393414211</v>
      </c>
      <c r="J42" s="503">
        <f t="shared" si="4"/>
        <v>-0.43205551448171214</v>
      </c>
    </row>
    <row r="43" spans="1:10">
      <c r="A43" s="445" t="s">
        <v>216</v>
      </c>
      <c r="B43" s="27">
        <f>整車!E43</f>
        <v>923</v>
      </c>
      <c r="C43" s="88">
        <v>4580</v>
      </c>
      <c r="D43" s="503">
        <f t="shared" si="0"/>
        <v>-0.79847161572052405</v>
      </c>
      <c r="E43" s="27">
        <f>整車!G43</f>
        <v>1053784</v>
      </c>
      <c r="F43" s="536">
        <v>3072350</v>
      </c>
      <c r="G43" s="503">
        <f t="shared" si="1"/>
        <v>-0.65701043175419471</v>
      </c>
      <c r="H43" s="86">
        <f t="shared" si="5"/>
        <v>1141.6944745395449</v>
      </c>
      <c r="I43" s="87">
        <f t="shared" si="6"/>
        <v>670.81877729257644</v>
      </c>
      <c r="J43" s="503">
        <f t="shared" si="4"/>
        <v>0.70194173625762546</v>
      </c>
    </row>
    <row r="44" spans="1:10">
      <c r="A44" s="445" t="s">
        <v>217</v>
      </c>
      <c r="B44" s="27">
        <f>整車!E44</f>
        <v>640</v>
      </c>
      <c r="C44" s="88">
        <v>4</v>
      </c>
      <c r="D44" s="503">
        <f t="shared" si="0"/>
        <v>159</v>
      </c>
      <c r="E44" s="27">
        <f>整車!G44</f>
        <v>95318</v>
      </c>
      <c r="F44" s="536">
        <v>6535</v>
      </c>
      <c r="G44" s="503">
        <f t="shared" si="1"/>
        <v>13.585768936495793</v>
      </c>
      <c r="H44" s="86">
        <f t="shared" si="5"/>
        <v>148.93437499999999</v>
      </c>
      <c r="I44" s="87">
        <f t="shared" si="6"/>
        <v>1633.75</v>
      </c>
      <c r="J44" s="503">
        <f t="shared" si="4"/>
        <v>-0.90883894414690125</v>
      </c>
    </row>
    <row r="45" spans="1:10">
      <c r="A45" s="30" t="s">
        <v>20</v>
      </c>
      <c r="B45" s="27">
        <f>整車!E45</f>
        <v>0</v>
      </c>
      <c r="C45" s="88">
        <v>0</v>
      </c>
      <c r="D45" s="503">
        <f t="shared" si="0"/>
        <v>0</v>
      </c>
      <c r="E45" s="27">
        <f>整車!G45</f>
        <v>0</v>
      </c>
      <c r="F45" s="536">
        <v>0</v>
      </c>
      <c r="G45" s="503">
        <f t="shared" si="1"/>
        <v>0</v>
      </c>
      <c r="H45" s="86">
        <f t="shared" si="5"/>
        <v>0</v>
      </c>
      <c r="I45" s="87">
        <f t="shared" si="6"/>
        <v>0</v>
      </c>
      <c r="J45" s="503">
        <f t="shared" si="4"/>
        <v>0</v>
      </c>
    </row>
    <row r="46" spans="1:10" ht="17.45" customHeight="1">
      <c r="A46" s="30"/>
      <c r="B46" s="27"/>
      <c r="C46" s="89"/>
      <c r="D46" s="503"/>
      <c r="E46" s="27"/>
      <c r="F46" s="537"/>
      <c r="G46" s="503"/>
      <c r="H46" s="86"/>
      <c r="I46" s="87"/>
      <c r="J46" s="503"/>
    </row>
    <row r="47" spans="1:10">
      <c r="A47" s="36" t="s">
        <v>21</v>
      </c>
      <c r="B47" s="33">
        <f>SUM(B48:B65)</f>
        <v>31139</v>
      </c>
      <c r="C47" s="90">
        <v>41073</v>
      </c>
      <c r="D47" s="503">
        <f t="shared" si="0"/>
        <v>-0.24186205049545931</v>
      </c>
      <c r="E47" s="33">
        <f>SUM(E48:E65)</f>
        <v>38002968</v>
      </c>
      <c r="F47" s="538">
        <v>49204992</v>
      </c>
      <c r="G47" s="503">
        <f t="shared" si="1"/>
        <v>-0.227660315441165</v>
      </c>
      <c r="H47" s="86">
        <f t="shared" si="5"/>
        <v>1220.4299431580976</v>
      </c>
      <c r="I47" s="87">
        <f t="shared" si="6"/>
        <v>1197.9887517347163</v>
      </c>
      <c r="J47" s="503">
        <f t="shared" si="4"/>
        <v>1.8732389090369912E-2</v>
      </c>
    </row>
    <row r="48" spans="1:10">
      <c r="A48" s="477" t="s">
        <v>158</v>
      </c>
      <c r="B48" s="27">
        <f>整車!E48</f>
        <v>8128</v>
      </c>
      <c r="C48" s="88">
        <v>7748</v>
      </c>
      <c r="D48" s="503">
        <f>IF(C48,(B48-C48)/C48,0)</f>
        <v>4.9044914816726896E-2</v>
      </c>
      <c r="E48" s="27">
        <f>整車!G48</f>
        <v>8498428</v>
      </c>
      <c r="F48" s="536">
        <v>8973117</v>
      </c>
      <c r="G48" s="503">
        <f t="shared" si="1"/>
        <v>-5.2901238220787718E-2</v>
      </c>
      <c r="H48" s="86">
        <f t="shared" si="5"/>
        <v>1045.5743110236222</v>
      </c>
      <c r="I48" s="87">
        <f>IF(C48,F48/C48,0)</f>
        <v>1158.1204181724315</v>
      </c>
      <c r="J48" s="503">
        <f t="shared" si="4"/>
        <v>-9.7179969701607041E-2</v>
      </c>
    </row>
    <row r="49" spans="1:10">
      <c r="A49" s="445" t="s">
        <v>218</v>
      </c>
      <c r="B49" s="27">
        <f>整車!E49</f>
        <v>2215</v>
      </c>
      <c r="C49" s="88">
        <v>5659</v>
      </c>
      <c r="D49" s="503">
        <f>IF(C49,(B49-C49)/C49,0)</f>
        <v>-0.60858808976851031</v>
      </c>
      <c r="E49" s="27">
        <f>整車!G49</f>
        <v>2118765</v>
      </c>
      <c r="F49" s="536">
        <v>4968611</v>
      </c>
      <c r="G49" s="503">
        <f t="shared" si="1"/>
        <v>-0.57356995747906203</v>
      </c>
      <c r="H49" s="86">
        <f t="shared" si="5"/>
        <v>956.55304740406325</v>
      </c>
      <c r="I49" s="87">
        <f>IF(C49,F49/C49,0)</f>
        <v>878.00159038699417</v>
      </c>
      <c r="J49" s="503">
        <f t="shared" si="4"/>
        <v>8.9466189898865886E-2</v>
      </c>
    </row>
    <row r="50" spans="1:10">
      <c r="A50" s="286" t="s">
        <v>219</v>
      </c>
      <c r="B50" s="27">
        <f>整車!E50</f>
        <v>460</v>
      </c>
      <c r="C50" s="88">
        <v>460</v>
      </c>
      <c r="D50" s="503">
        <f t="shared" si="0"/>
        <v>0</v>
      </c>
      <c r="E50" s="27">
        <f>整車!G50</f>
        <v>329732</v>
      </c>
      <c r="F50" s="536">
        <v>267796</v>
      </c>
      <c r="G50" s="503">
        <f t="shared" si="1"/>
        <v>0.2312805269682893</v>
      </c>
      <c r="H50" s="86">
        <f t="shared" si="5"/>
        <v>716.80869565217392</v>
      </c>
      <c r="I50" s="87">
        <f t="shared" si="6"/>
        <v>582.1652173913044</v>
      </c>
      <c r="J50" s="503">
        <f t="shared" si="4"/>
        <v>0.23128052696828921</v>
      </c>
    </row>
    <row r="51" spans="1:10">
      <c r="A51" s="445" t="s">
        <v>220</v>
      </c>
      <c r="B51" s="27">
        <f>整車!E51</f>
        <v>206</v>
      </c>
      <c r="C51" s="88">
        <v>500</v>
      </c>
      <c r="D51" s="503">
        <f t="shared" si="0"/>
        <v>-0.58799999999999997</v>
      </c>
      <c r="E51" s="27">
        <f>整車!G51</f>
        <v>403394</v>
      </c>
      <c r="F51" s="536">
        <v>715142</v>
      </c>
      <c r="G51" s="503">
        <f t="shared" si="1"/>
        <v>-0.43592461357324841</v>
      </c>
      <c r="H51" s="86">
        <f t="shared" si="5"/>
        <v>1958.2233009708739</v>
      </c>
      <c r="I51" s="87">
        <f t="shared" si="6"/>
        <v>1430.2840000000001</v>
      </c>
      <c r="J51" s="503">
        <f t="shared" si="4"/>
        <v>0.36911501559891163</v>
      </c>
    </row>
    <row r="52" spans="1:10">
      <c r="A52" s="446" t="s">
        <v>22</v>
      </c>
      <c r="B52" s="27">
        <f>整車!E52</f>
        <v>283</v>
      </c>
      <c r="C52" s="88">
        <v>182</v>
      </c>
      <c r="D52" s="503">
        <f t="shared" si="0"/>
        <v>0.55494505494505497</v>
      </c>
      <c r="E52" s="27">
        <f>整車!G52</f>
        <v>105768</v>
      </c>
      <c r="F52" s="536">
        <v>265585</v>
      </c>
      <c r="G52" s="503">
        <f t="shared" si="1"/>
        <v>-0.60175461716587908</v>
      </c>
      <c r="H52" s="86">
        <f t="shared" si="5"/>
        <v>373.73851590106005</v>
      </c>
      <c r="I52" s="87">
        <f t="shared" si="6"/>
        <v>1459.2582417582419</v>
      </c>
      <c r="J52" s="503">
        <f t="shared" si="4"/>
        <v>-0.7438845947851237</v>
      </c>
    </row>
    <row r="53" spans="1:10">
      <c r="A53" s="445" t="s">
        <v>221</v>
      </c>
      <c r="B53" s="27">
        <f>整車!E53</f>
        <v>207</v>
      </c>
      <c r="C53" s="88">
        <v>402</v>
      </c>
      <c r="D53" s="503">
        <f t="shared" si="0"/>
        <v>-0.48507462686567165</v>
      </c>
      <c r="E53" s="27">
        <f>整車!G53</f>
        <v>316490</v>
      </c>
      <c r="F53" s="536">
        <v>511227</v>
      </c>
      <c r="G53" s="503">
        <f t="shared" si="1"/>
        <v>-0.38092080426112079</v>
      </c>
      <c r="H53" s="86">
        <f t="shared" si="5"/>
        <v>1528.9371980676328</v>
      </c>
      <c r="I53" s="87">
        <f t="shared" si="6"/>
        <v>1271.7089552238806</v>
      </c>
      <c r="J53" s="503">
        <f t="shared" si="4"/>
        <v>0.20226974244941759</v>
      </c>
    </row>
    <row r="54" spans="1:10">
      <c r="A54" s="446" t="s">
        <v>222</v>
      </c>
      <c r="B54" s="27">
        <f>整車!E54</f>
        <v>6140</v>
      </c>
      <c r="C54" s="88">
        <v>4349</v>
      </c>
      <c r="D54" s="503">
        <f t="shared" si="0"/>
        <v>0.41181880892159117</v>
      </c>
      <c r="E54" s="27">
        <f>整車!G54</f>
        <v>5490371</v>
      </c>
      <c r="F54" s="536">
        <v>4914234</v>
      </c>
      <c r="G54" s="503">
        <f t="shared" si="1"/>
        <v>0.11723841396237948</v>
      </c>
      <c r="H54" s="86">
        <f t="shared" si="5"/>
        <v>894.19723127035832</v>
      </c>
      <c r="I54" s="87">
        <f t="shared" si="6"/>
        <v>1129.9687284433203</v>
      </c>
      <c r="J54" s="503">
        <f t="shared" si="4"/>
        <v>-0.20865311688560448</v>
      </c>
    </row>
    <row r="55" spans="1:10">
      <c r="A55" s="446" t="s">
        <v>23</v>
      </c>
      <c r="B55" s="27">
        <f>整車!E55</f>
        <v>460</v>
      </c>
      <c r="C55" s="88">
        <v>0</v>
      </c>
      <c r="D55" s="503">
        <f t="shared" si="0"/>
        <v>0</v>
      </c>
      <c r="E55" s="27">
        <f>整車!G55</f>
        <v>345790</v>
      </c>
      <c r="F55" s="536">
        <v>0</v>
      </c>
      <c r="G55" s="503">
        <f t="shared" si="1"/>
        <v>0</v>
      </c>
      <c r="H55" s="86">
        <f t="shared" si="5"/>
        <v>751.71739130434787</v>
      </c>
      <c r="I55" s="87">
        <f t="shared" si="6"/>
        <v>0</v>
      </c>
      <c r="J55" s="503">
        <f t="shared" si="4"/>
        <v>0</v>
      </c>
    </row>
    <row r="56" spans="1:10">
      <c r="A56" s="446" t="s">
        <v>223</v>
      </c>
      <c r="B56" s="27">
        <f>整車!E56</f>
        <v>8911</v>
      </c>
      <c r="C56" s="88">
        <v>17578</v>
      </c>
      <c r="D56" s="503">
        <f t="shared" si="0"/>
        <v>-0.49305950620093297</v>
      </c>
      <c r="E56" s="27">
        <f>整車!G56</f>
        <v>13597566</v>
      </c>
      <c r="F56" s="536">
        <v>22288368</v>
      </c>
      <c r="G56" s="503">
        <f t="shared" si="1"/>
        <v>-0.38992545349215341</v>
      </c>
      <c r="H56" s="86">
        <f t="shared" si="5"/>
        <v>1525.9304230726068</v>
      </c>
      <c r="I56" s="87">
        <f t="shared" si="6"/>
        <v>1267.9695073387188</v>
      </c>
      <c r="J56" s="503">
        <f t="shared" si="4"/>
        <v>0.20344410038322605</v>
      </c>
    </row>
    <row r="57" spans="1:10">
      <c r="A57" s="448" t="s">
        <v>224</v>
      </c>
      <c r="B57" s="27">
        <f>整車!E57</f>
        <v>1776</v>
      </c>
      <c r="C57" s="88">
        <v>1518</v>
      </c>
      <c r="D57" s="503">
        <f t="shared" si="0"/>
        <v>0.16996047430830039</v>
      </c>
      <c r="E57" s="27">
        <f>整車!G57</f>
        <v>3411481</v>
      </c>
      <c r="F57" s="536">
        <v>2654382</v>
      </c>
      <c r="G57" s="503">
        <f t="shared" si="1"/>
        <v>0.28522609029145013</v>
      </c>
      <c r="H57" s="86">
        <f t="shared" si="5"/>
        <v>1920.8789414414414</v>
      </c>
      <c r="I57" s="87">
        <f t="shared" si="6"/>
        <v>1748.604743083004</v>
      </c>
      <c r="J57" s="503">
        <f t="shared" si="4"/>
        <v>9.8520948796408339E-2</v>
      </c>
    </row>
    <row r="58" spans="1:10">
      <c r="A58" s="446" t="s">
        <v>24</v>
      </c>
      <c r="B58" s="27">
        <f>整車!E58</f>
        <v>580</v>
      </c>
      <c r="C58" s="88">
        <v>1126</v>
      </c>
      <c r="D58" s="503">
        <f t="shared" si="0"/>
        <v>-0.48490230905861459</v>
      </c>
      <c r="E58" s="27">
        <f>整車!G58</f>
        <v>201374</v>
      </c>
      <c r="F58" s="536">
        <v>1214600</v>
      </c>
      <c r="G58" s="503">
        <f t="shared" si="1"/>
        <v>-0.83420549975300506</v>
      </c>
      <c r="H58" s="86">
        <f t="shared" si="5"/>
        <v>347.19655172413792</v>
      </c>
      <c r="I58" s="87">
        <f t="shared" si="6"/>
        <v>1078.6856127886324</v>
      </c>
      <c r="J58" s="503">
        <f t="shared" si="4"/>
        <v>-0.67812998745152375</v>
      </c>
    </row>
    <row r="59" spans="1:10">
      <c r="A59" s="446" t="s">
        <v>25</v>
      </c>
      <c r="B59" s="27">
        <f>整車!E59</f>
        <v>0</v>
      </c>
      <c r="C59" s="88">
        <v>90</v>
      </c>
      <c r="D59" s="503">
        <f t="shared" si="0"/>
        <v>-1</v>
      </c>
      <c r="E59" s="27">
        <f>整車!G59</f>
        <v>0</v>
      </c>
      <c r="F59" s="536">
        <v>16677</v>
      </c>
      <c r="G59" s="503">
        <f t="shared" si="1"/>
        <v>-1</v>
      </c>
      <c r="H59" s="86">
        <f t="shared" si="5"/>
        <v>0</v>
      </c>
      <c r="I59" s="87">
        <f t="shared" si="6"/>
        <v>185.3</v>
      </c>
      <c r="J59" s="503">
        <f t="shared" si="4"/>
        <v>-1</v>
      </c>
    </row>
    <row r="60" spans="1:10">
      <c r="A60" s="446" t="s">
        <v>26</v>
      </c>
      <c r="B60" s="27">
        <f>整車!E60</f>
        <v>611</v>
      </c>
      <c r="C60" s="88">
        <v>446</v>
      </c>
      <c r="D60" s="503">
        <f t="shared" si="0"/>
        <v>0.36995515695067266</v>
      </c>
      <c r="E60" s="27">
        <f>整車!G60</f>
        <v>879445</v>
      </c>
      <c r="F60" s="536">
        <v>607846</v>
      </c>
      <c r="G60" s="503">
        <f t="shared" si="1"/>
        <v>0.44682205690257071</v>
      </c>
      <c r="H60" s="86">
        <f t="shared" si="5"/>
        <v>1439.353518821604</v>
      </c>
      <c r="I60" s="87">
        <f t="shared" si="6"/>
        <v>1362.8834080717488</v>
      </c>
      <c r="J60" s="503">
        <f t="shared" si="4"/>
        <v>5.6109062812678551E-2</v>
      </c>
    </row>
    <row r="61" spans="1:10">
      <c r="A61" s="447" t="s">
        <v>225</v>
      </c>
      <c r="B61" s="27">
        <f>整車!E61</f>
        <v>513</v>
      </c>
      <c r="C61" s="88">
        <v>306</v>
      </c>
      <c r="D61" s="503">
        <f t="shared" si="0"/>
        <v>0.67647058823529416</v>
      </c>
      <c r="E61" s="27">
        <f>整車!G61</f>
        <v>1099101</v>
      </c>
      <c r="F61" s="536">
        <v>642620</v>
      </c>
      <c r="G61" s="503">
        <f t="shared" si="1"/>
        <v>0.71034359341445952</v>
      </c>
      <c r="H61" s="86">
        <f t="shared" si="5"/>
        <v>2142.4970760233919</v>
      </c>
      <c r="I61" s="87">
        <f t="shared" si="6"/>
        <v>2100.0653594771243</v>
      </c>
      <c r="J61" s="503">
        <f t="shared" si="4"/>
        <v>2.020495045774778E-2</v>
      </c>
    </row>
    <row r="62" spans="1:10">
      <c r="A62" s="446" t="s">
        <v>27</v>
      </c>
      <c r="B62" s="27">
        <f>整車!E62</f>
        <v>545</v>
      </c>
      <c r="C62" s="88">
        <v>342</v>
      </c>
      <c r="D62" s="503">
        <f t="shared" si="0"/>
        <v>0.5935672514619883</v>
      </c>
      <c r="E62" s="27">
        <f>整車!G62</f>
        <v>1028592</v>
      </c>
      <c r="F62" s="536">
        <v>532628</v>
      </c>
      <c r="G62" s="503">
        <f t="shared" si="1"/>
        <v>0.93116396434284343</v>
      </c>
      <c r="H62" s="86">
        <f t="shared" si="5"/>
        <v>1887.3247706422019</v>
      </c>
      <c r="I62" s="87">
        <f t="shared" si="6"/>
        <v>1557.3918128654971</v>
      </c>
      <c r="J62" s="503">
        <f t="shared" si="4"/>
        <v>0.21184968037661003</v>
      </c>
    </row>
    <row r="63" spans="1:10">
      <c r="A63" s="289" t="s">
        <v>226</v>
      </c>
      <c r="B63" s="27">
        <f>整車!E63</f>
        <v>0</v>
      </c>
      <c r="C63" s="88">
        <v>32</v>
      </c>
      <c r="D63" s="503">
        <f t="shared" si="0"/>
        <v>-1</v>
      </c>
      <c r="E63" s="27">
        <f>整車!G63</f>
        <v>0</v>
      </c>
      <c r="F63" s="536">
        <v>17756</v>
      </c>
      <c r="G63" s="503">
        <f t="shared" si="1"/>
        <v>-1</v>
      </c>
      <c r="H63" s="86">
        <f t="shared" si="5"/>
        <v>0</v>
      </c>
      <c r="I63" s="87">
        <f t="shared" si="6"/>
        <v>554.875</v>
      </c>
      <c r="J63" s="503">
        <f t="shared" si="4"/>
        <v>-1</v>
      </c>
    </row>
    <row r="64" spans="1:10">
      <c r="A64" s="446" t="s">
        <v>28</v>
      </c>
      <c r="B64" s="27">
        <f>整車!E64</f>
        <v>22</v>
      </c>
      <c r="C64" s="88">
        <v>125</v>
      </c>
      <c r="D64" s="503">
        <f t="shared" si="0"/>
        <v>-0.82399999999999995</v>
      </c>
      <c r="E64" s="27">
        <f>整車!G64</f>
        <v>57343</v>
      </c>
      <c r="F64" s="536">
        <v>240413</v>
      </c>
      <c r="G64" s="503">
        <f t="shared" si="1"/>
        <v>-0.76148128428995099</v>
      </c>
      <c r="H64" s="86">
        <f t="shared" si="5"/>
        <v>2606.5</v>
      </c>
      <c r="I64" s="87">
        <f t="shared" si="6"/>
        <v>1923.3040000000001</v>
      </c>
      <c r="J64" s="503">
        <f t="shared" si="4"/>
        <v>0.35521997562527813</v>
      </c>
    </row>
    <row r="65" spans="1:10">
      <c r="A65" s="289" t="s">
        <v>227</v>
      </c>
      <c r="B65" s="27">
        <f>整車!E65</f>
        <v>82</v>
      </c>
      <c r="C65" s="88">
        <v>210</v>
      </c>
      <c r="D65" s="503">
        <f t="shared" si="0"/>
        <v>-0.60952380952380958</v>
      </c>
      <c r="E65" s="27">
        <f>整車!G65</f>
        <v>119328</v>
      </c>
      <c r="F65" s="536">
        <v>373990</v>
      </c>
      <c r="G65" s="503">
        <f t="shared" si="1"/>
        <v>-0.68093264525789454</v>
      </c>
      <c r="H65" s="86">
        <f t="shared" si="5"/>
        <v>1455.219512195122</v>
      </c>
      <c r="I65" s="87">
        <f t="shared" si="6"/>
        <v>1780.9047619047619</v>
      </c>
      <c r="J65" s="503">
        <f t="shared" si="4"/>
        <v>-0.18287628663607153</v>
      </c>
    </row>
    <row r="66" spans="1:10">
      <c r="A66" s="30" t="s">
        <v>29</v>
      </c>
      <c r="B66" s="27">
        <f>B67-B47-B41-B12-B7</f>
        <v>2499</v>
      </c>
      <c r="C66" s="88">
        <v>2120</v>
      </c>
      <c r="D66" s="503">
        <f t="shared" si="0"/>
        <v>0.17877358490566037</v>
      </c>
      <c r="E66" s="27">
        <f>E67-E47-E41-E12-E7</f>
        <v>3285420</v>
      </c>
      <c r="F66" s="537">
        <v>3006513</v>
      </c>
      <c r="G66" s="503">
        <f t="shared" si="1"/>
        <v>9.2767601537063038E-2</v>
      </c>
      <c r="H66" s="86">
        <f t="shared" si="5"/>
        <v>1314.6938775510205</v>
      </c>
      <c r="I66" s="87">
        <f t="shared" si="6"/>
        <v>1418.1665094339623</v>
      </c>
      <c r="J66" s="503">
        <f t="shared" si="4"/>
        <v>-7.2962258800090593E-2</v>
      </c>
    </row>
    <row r="67" spans="1:10">
      <c r="A67" s="32" t="s">
        <v>399</v>
      </c>
      <c r="B67" s="33">
        <f>整車!E67</f>
        <v>122337</v>
      </c>
      <c r="C67" s="88">
        <v>146041</v>
      </c>
      <c r="D67" s="503">
        <f t="shared" si="0"/>
        <v>-0.16231058401407825</v>
      </c>
      <c r="E67" s="33">
        <f>整車!G67</f>
        <v>122304093</v>
      </c>
      <c r="F67" s="536">
        <v>159681961</v>
      </c>
      <c r="G67" s="503">
        <f t="shared" si="1"/>
        <v>-0.23407696001428741</v>
      </c>
      <c r="H67" s="86">
        <f t="shared" ref="H67:I67" si="7">E67/B67</f>
        <v>999.73101351185664</v>
      </c>
      <c r="I67" s="87">
        <f t="shared" si="7"/>
        <v>1093.405009552112</v>
      </c>
      <c r="J67" s="503">
        <f t="shared" si="4"/>
        <v>-8.5671818970928931E-2</v>
      </c>
    </row>
    <row r="68" spans="1:10">
      <c r="A68" s="95"/>
      <c r="B68" s="96"/>
      <c r="C68" s="97"/>
      <c r="D68" s="98"/>
      <c r="E68" s="96"/>
      <c r="F68" s="97"/>
      <c r="G68" s="99"/>
      <c r="H68" s="93"/>
      <c r="I68" s="93"/>
      <c r="J68" s="94"/>
    </row>
    <row r="69" spans="1:10">
      <c r="A69" s="100" t="s">
        <v>149</v>
      </c>
      <c r="B69" s="101"/>
      <c r="C69" s="102"/>
      <c r="D69" s="103"/>
      <c r="E69" s="101"/>
      <c r="F69" s="102"/>
      <c r="G69" s="104"/>
      <c r="H69" s="93"/>
      <c r="I69" s="93"/>
      <c r="J69" s="94"/>
    </row>
    <row r="70" spans="1:10">
      <c r="A70" s="69" t="s">
        <v>494</v>
      </c>
      <c r="B70" s="8" t="s">
        <v>459</v>
      </c>
      <c r="C70" s="561" t="s">
        <v>469</v>
      </c>
      <c r="D70" s="71" t="s">
        <v>154</v>
      </c>
      <c r="E70" s="8" t="s">
        <v>459</v>
      </c>
      <c r="F70" s="70" t="s">
        <v>469</v>
      </c>
      <c r="G70" s="73" t="s">
        <v>155</v>
      </c>
      <c r="H70" s="8" t="s">
        <v>459</v>
      </c>
      <c r="I70" s="70" t="s">
        <v>461</v>
      </c>
      <c r="J70" s="74" t="s">
        <v>35</v>
      </c>
    </row>
    <row r="71" spans="1:10">
      <c r="A71" s="46"/>
      <c r="B71" s="105" t="s">
        <v>31</v>
      </c>
      <c r="C71" s="563" t="s">
        <v>31</v>
      </c>
      <c r="D71" s="442" t="s">
        <v>1</v>
      </c>
      <c r="E71" s="48" t="s">
        <v>32</v>
      </c>
      <c r="F71" s="106" t="s">
        <v>32</v>
      </c>
      <c r="G71" s="443" t="s">
        <v>1</v>
      </c>
      <c r="H71" s="77" t="s">
        <v>33</v>
      </c>
      <c r="I71" s="78" t="s">
        <v>107</v>
      </c>
      <c r="J71" s="442" t="s">
        <v>1</v>
      </c>
    </row>
    <row r="72" spans="1:10">
      <c r="A72" s="32" t="s">
        <v>30</v>
      </c>
      <c r="B72" s="33">
        <f>整車!E72</f>
        <v>2906</v>
      </c>
      <c r="C72" s="88">
        <v>2813</v>
      </c>
      <c r="D72" s="85">
        <f>(B72-C72)/C72</f>
        <v>3.3060789193032347E-2</v>
      </c>
      <c r="E72" s="33">
        <f>整車!G72</f>
        <v>1586393</v>
      </c>
      <c r="F72" s="88">
        <v>974367</v>
      </c>
      <c r="G72" s="92">
        <f>(E72-F72)/F72</f>
        <v>0.62812677358736491</v>
      </c>
      <c r="H72" s="86">
        <f>E72/B72</f>
        <v>545.90261527873361</v>
      </c>
      <c r="I72" s="512">
        <f>F72/C72</f>
        <v>346.38002132954142</v>
      </c>
      <c r="J72" s="91">
        <f>(H72-I72)/I72</f>
        <v>0.57602223472169889</v>
      </c>
    </row>
    <row r="73" spans="1:10" ht="7.5" customHeight="1">
      <c r="A73" s="107"/>
      <c r="B73" s="108"/>
      <c r="C73" s="39"/>
      <c r="D73" s="108"/>
      <c r="E73" s="108"/>
      <c r="F73" s="108"/>
      <c r="G73" s="108"/>
      <c r="H73" s="108"/>
      <c r="I73" s="108"/>
      <c r="J73" s="108"/>
    </row>
    <row r="74" spans="1:10" s="108" customFormat="1">
      <c r="A74" s="545" t="s">
        <v>463</v>
      </c>
      <c r="B74" s="13"/>
      <c r="C74" s="564"/>
      <c r="D74" s="59"/>
      <c r="E74" s="13"/>
      <c r="F74" s="58"/>
      <c r="G74" s="59"/>
      <c r="H74" s="5"/>
      <c r="I74" s="5"/>
      <c r="J74" s="5"/>
    </row>
  </sheetData>
  <phoneticPr fontId="3" type="noConversion"/>
  <conditionalFormatting sqref="D1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1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1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2" t="s">
        <v>148</v>
      </c>
      <c r="B1" s="383"/>
      <c r="C1" s="383"/>
      <c r="D1" s="383"/>
      <c r="E1" s="383"/>
      <c r="F1" s="383"/>
      <c r="G1" s="383"/>
      <c r="H1" s="383"/>
      <c r="I1" s="383"/>
      <c r="J1" s="384"/>
      <c r="K1" s="385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</row>
    <row r="2" spans="1:27">
      <c r="A2" s="386" t="s">
        <v>228</v>
      </c>
      <c r="B2" s="383"/>
      <c r="C2" s="383"/>
      <c r="D2" s="383"/>
      <c r="E2" s="383"/>
      <c r="F2" s="383"/>
      <c r="G2" s="383"/>
      <c r="H2" s="383"/>
      <c r="I2" s="383"/>
      <c r="J2" s="384"/>
      <c r="K2" s="385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</row>
    <row r="3" spans="1:27">
      <c r="A3" s="387" t="s">
        <v>117</v>
      </c>
      <c r="B3" s="383"/>
      <c r="C3" s="383"/>
      <c r="D3" s="383"/>
      <c r="E3" s="383"/>
      <c r="F3" s="383"/>
      <c r="G3" s="383"/>
      <c r="H3" s="383"/>
      <c r="I3" s="383"/>
      <c r="J3" s="384"/>
      <c r="K3" s="385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</row>
    <row r="4" spans="1:27">
      <c r="A4" s="387" t="s">
        <v>118</v>
      </c>
      <c r="B4" s="383"/>
      <c r="C4" s="383"/>
      <c r="D4" s="383"/>
      <c r="E4" s="383"/>
      <c r="F4" s="383"/>
      <c r="G4" s="383"/>
      <c r="H4" s="383"/>
      <c r="I4" s="383"/>
      <c r="J4" s="384"/>
      <c r="K4" s="385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</row>
    <row r="5" spans="1:27">
      <c r="A5" s="388" t="s">
        <v>119</v>
      </c>
      <c r="B5" s="383"/>
      <c r="C5" s="383"/>
      <c r="D5" s="383"/>
      <c r="E5" s="383"/>
      <c r="F5" s="383"/>
      <c r="G5" s="383"/>
      <c r="H5" s="383"/>
      <c r="I5" s="383"/>
      <c r="J5" s="384"/>
      <c r="K5" s="385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</row>
    <row r="6" spans="1:27">
      <c r="A6" s="389"/>
      <c r="B6" s="390" t="s">
        <v>120</v>
      </c>
      <c r="C6" s="391"/>
      <c r="D6" s="390" t="s">
        <v>121</v>
      </c>
      <c r="E6" s="391"/>
      <c r="F6" s="390" t="s">
        <v>122</v>
      </c>
      <c r="G6" s="391"/>
      <c r="H6" s="390" t="s">
        <v>123</v>
      </c>
      <c r="I6" s="391"/>
      <c r="J6" s="392" t="s">
        <v>124</v>
      </c>
      <c r="K6" s="393"/>
      <c r="L6" s="390" t="s">
        <v>125</v>
      </c>
      <c r="M6" s="391"/>
      <c r="N6" s="390" t="s">
        <v>126</v>
      </c>
      <c r="O6" s="391"/>
      <c r="P6" s="390" t="s">
        <v>127</v>
      </c>
      <c r="Q6" s="391"/>
      <c r="R6" s="390" t="s">
        <v>128</v>
      </c>
      <c r="S6" s="391"/>
      <c r="T6" s="390" t="s">
        <v>129</v>
      </c>
      <c r="U6" s="391"/>
      <c r="V6" s="390" t="s">
        <v>130</v>
      </c>
      <c r="W6" s="391"/>
      <c r="X6" s="390" t="s">
        <v>131</v>
      </c>
      <c r="Y6" s="391"/>
      <c r="Z6" s="390" t="s">
        <v>103</v>
      </c>
      <c r="AA6" s="391"/>
    </row>
    <row r="7" spans="1:27">
      <c r="A7" s="394" t="s">
        <v>132</v>
      </c>
      <c r="B7" s="395" t="s">
        <v>133</v>
      </c>
      <c r="C7" s="395" t="s">
        <v>134</v>
      </c>
      <c r="D7" s="395" t="s">
        <v>135</v>
      </c>
      <c r="E7" s="395" t="s">
        <v>136</v>
      </c>
      <c r="F7" s="395" t="s">
        <v>135</v>
      </c>
      <c r="G7" s="395" t="s">
        <v>136</v>
      </c>
      <c r="H7" s="395" t="s">
        <v>135</v>
      </c>
      <c r="I7" s="395" t="s">
        <v>136</v>
      </c>
      <c r="J7" s="396" t="s">
        <v>135</v>
      </c>
      <c r="K7" s="397" t="s">
        <v>136</v>
      </c>
      <c r="L7" s="395" t="s">
        <v>135</v>
      </c>
      <c r="M7" s="395" t="s">
        <v>136</v>
      </c>
      <c r="N7" s="395" t="s">
        <v>135</v>
      </c>
      <c r="O7" s="395" t="s">
        <v>136</v>
      </c>
      <c r="P7" s="395" t="s">
        <v>135</v>
      </c>
      <c r="Q7" s="395" t="s">
        <v>136</v>
      </c>
      <c r="R7" s="395" t="s">
        <v>135</v>
      </c>
      <c r="S7" s="395" t="s">
        <v>136</v>
      </c>
      <c r="T7" s="395" t="s">
        <v>135</v>
      </c>
      <c r="U7" s="395" t="s">
        <v>136</v>
      </c>
      <c r="V7" s="395" t="s">
        <v>135</v>
      </c>
      <c r="W7" s="395" t="s">
        <v>136</v>
      </c>
      <c r="X7" s="395" t="s">
        <v>135</v>
      </c>
      <c r="Y7" s="395" t="s">
        <v>136</v>
      </c>
      <c r="Z7" s="395" t="s">
        <v>135</v>
      </c>
      <c r="AA7" s="395" t="s">
        <v>136</v>
      </c>
    </row>
    <row r="8" spans="1:27">
      <c r="A8" s="398"/>
      <c r="B8" s="399"/>
      <c r="C8" s="399"/>
      <c r="D8" s="399"/>
      <c r="E8" s="399"/>
      <c r="F8" s="399"/>
      <c r="G8" s="399"/>
      <c r="H8" s="399"/>
      <c r="I8" s="399"/>
      <c r="J8" s="400"/>
      <c r="K8" s="401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</row>
    <row r="9" spans="1:27">
      <c r="A9" s="402" t="s">
        <v>103</v>
      </c>
      <c r="B9" s="403">
        <f t="shared" ref="B9:Y9" si="0">B11+B36+B85+B97+B102+B136+B151+B189</f>
        <v>149387</v>
      </c>
      <c r="C9" s="403">
        <f t="shared" si="0"/>
        <v>83642274</v>
      </c>
      <c r="D9" s="403">
        <f t="shared" si="0"/>
        <v>134859</v>
      </c>
      <c r="E9" s="403">
        <f t="shared" si="0"/>
        <v>77838400</v>
      </c>
      <c r="F9" s="403">
        <f t="shared" si="0"/>
        <v>116197</v>
      </c>
      <c r="G9" s="403">
        <f t="shared" si="0"/>
        <v>70981672</v>
      </c>
      <c r="H9" s="403">
        <f>H11+H36+H85+H97+H102+H136+H151+H189</f>
        <v>96180</v>
      </c>
      <c r="I9" s="403">
        <f t="shared" si="0"/>
        <v>53927495</v>
      </c>
      <c r="J9" s="404">
        <f t="shared" si="0"/>
        <v>135293</v>
      </c>
      <c r="K9" s="405">
        <f t="shared" si="0"/>
        <v>86108621</v>
      </c>
      <c r="L9" s="403">
        <f t="shared" si="0"/>
        <v>137464</v>
      </c>
      <c r="M9" s="403">
        <f t="shared" si="0"/>
        <v>97259100</v>
      </c>
      <c r="N9" s="403">
        <f t="shared" si="0"/>
        <v>135636</v>
      </c>
      <c r="O9" s="403">
        <f>O11+O36+O85+O97+O102+O136+O151+O189</f>
        <v>113137191</v>
      </c>
      <c r="P9" s="403">
        <f t="shared" ref="P9:Q9" si="1">P11+P36+P85+P97+P102+P136+P151+P189</f>
        <v>180175</v>
      </c>
      <c r="Q9" s="403">
        <f t="shared" si="1"/>
        <v>130469911</v>
      </c>
      <c r="R9" s="403">
        <f t="shared" si="0"/>
        <v>138272</v>
      </c>
      <c r="S9" s="403">
        <f t="shared" si="0"/>
        <v>91374787</v>
      </c>
      <c r="T9" s="403">
        <f t="shared" si="0"/>
        <v>158604</v>
      </c>
      <c r="U9" s="403">
        <f t="shared" si="0"/>
        <v>99046159</v>
      </c>
      <c r="V9" s="403">
        <f>V11+V36+V85+V97+V102+V136+V151+V189</f>
        <v>154200</v>
      </c>
      <c r="W9" s="403">
        <f>W11+W36+W85+W97+W102+W136+W151+W189</f>
        <v>91747985</v>
      </c>
      <c r="X9" s="403">
        <f t="shared" si="0"/>
        <v>162659</v>
      </c>
      <c r="Y9" s="403">
        <f t="shared" si="0"/>
        <v>102455347</v>
      </c>
      <c r="Z9" s="403">
        <f>SUM(B9,D9,F9,H9,J9,L9,N9,P9,R9,T9,V9,X9)</f>
        <v>1698926</v>
      </c>
      <c r="AA9" s="403">
        <f>SUM(C9,E9,G9,I9,K9,M9,O9,Q9,S9,U9,W9,Y9)</f>
        <v>1097988942</v>
      </c>
    </row>
    <row r="10" spans="1:27">
      <c r="A10" s="406"/>
      <c r="B10" s="407"/>
      <c r="C10" s="407"/>
      <c r="D10" s="407"/>
      <c r="E10" s="407"/>
      <c r="F10" s="407"/>
      <c r="G10" s="407"/>
      <c r="H10" s="407"/>
      <c r="I10" s="407"/>
      <c r="J10" s="400"/>
      <c r="K10" s="401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</row>
    <row r="11" spans="1:27">
      <c r="A11" s="408" t="s">
        <v>137</v>
      </c>
      <c r="B11" s="409">
        <f t="shared" ref="B11:Y11" si="2">SUM(B12:B34)</f>
        <v>9822</v>
      </c>
      <c r="C11" s="409">
        <f t="shared" si="2"/>
        <v>7689072</v>
      </c>
      <c r="D11" s="409">
        <f t="shared" si="2"/>
        <v>13182</v>
      </c>
      <c r="E11" s="409">
        <f t="shared" si="2"/>
        <v>9988636</v>
      </c>
      <c r="F11" s="409">
        <f t="shared" si="2"/>
        <v>12924</v>
      </c>
      <c r="G11" s="409">
        <f t="shared" si="2"/>
        <v>10303881</v>
      </c>
      <c r="H11" s="409">
        <f t="shared" si="2"/>
        <v>8794</v>
      </c>
      <c r="I11" s="409">
        <f t="shared" si="2"/>
        <v>7937732</v>
      </c>
      <c r="J11" s="410">
        <f t="shared" si="2"/>
        <v>14153</v>
      </c>
      <c r="K11" s="411">
        <f>SUM(K12:K34)</f>
        <v>9985367</v>
      </c>
      <c r="L11" s="409">
        <f t="shared" si="2"/>
        <v>13721</v>
      </c>
      <c r="M11" s="409">
        <f t="shared" si="2"/>
        <v>10777159</v>
      </c>
      <c r="N11" s="409">
        <f t="shared" si="2"/>
        <v>17223</v>
      </c>
      <c r="O11" s="409">
        <f t="shared" si="2"/>
        <v>14149868</v>
      </c>
      <c r="P11" s="409">
        <f t="shared" si="2"/>
        <v>16854</v>
      </c>
      <c r="Q11" s="409">
        <f t="shared" si="2"/>
        <v>16948467</v>
      </c>
      <c r="R11" s="409">
        <f t="shared" si="2"/>
        <v>13693</v>
      </c>
      <c r="S11" s="409">
        <f t="shared" si="2"/>
        <v>11152146</v>
      </c>
      <c r="T11" s="409">
        <f t="shared" si="2"/>
        <v>11159</v>
      </c>
      <c r="U11" s="409">
        <f t="shared" si="2"/>
        <v>10364638</v>
      </c>
      <c r="V11" s="409">
        <f>SUM(V12:V34)</f>
        <v>11101</v>
      </c>
      <c r="W11" s="409">
        <f>SUM(W12:W34)</f>
        <v>10615154</v>
      </c>
      <c r="X11" s="409">
        <f t="shared" si="2"/>
        <v>15058</v>
      </c>
      <c r="Y11" s="409">
        <f t="shared" si="2"/>
        <v>14072707</v>
      </c>
      <c r="Z11" s="409">
        <f t="shared" ref="Z11:Z34" si="3">SUM(B11,D11,F11,H11,J11,L11,N11,P11,R11,T11,V11,X11)</f>
        <v>157684</v>
      </c>
      <c r="AA11" s="409">
        <f t="shared" ref="AA11:AA34" si="4">SUM(C11,E11,G11,I11,K11,M11,O11,Q11,S11,U11,W11,Y11)</f>
        <v>133984827</v>
      </c>
    </row>
    <row r="12" spans="1:27">
      <c r="A12" s="412" t="s">
        <v>218</v>
      </c>
      <c r="B12" s="413">
        <v>6052</v>
      </c>
      <c r="C12" s="413">
        <v>4259214</v>
      </c>
      <c r="D12" s="413">
        <v>7754</v>
      </c>
      <c r="E12" s="413">
        <v>4910425</v>
      </c>
      <c r="F12" s="413">
        <v>5600</v>
      </c>
      <c r="G12" s="413">
        <v>3312180</v>
      </c>
      <c r="H12" s="413">
        <v>3341</v>
      </c>
      <c r="I12" s="413">
        <v>2434783</v>
      </c>
      <c r="J12" s="414">
        <v>6917</v>
      </c>
      <c r="K12" s="415">
        <v>3550152</v>
      </c>
      <c r="L12" s="413">
        <v>4508</v>
      </c>
      <c r="M12" s="413">
        <v>3172221</v>
      </c>
      <c r="N12" s="413">
        <v>8345</v>
      </c>
      <c r="O12" s="413">
        <v>5467381</v>
      </c>
      <c r="P12" s="413">
        <v>6542</v>
      </c>
      <c r="Q12" s="413">
        <v>5892377</v>
      </c>
      <c r="R12" s="413">
        <v>4607</v>
      </c>
      <c r="S12" s="413">
        <v>2424966</v>
      </c>
      <c r="T12" s="413">
        <v>3933</v>
      </c>
      <c r="U12" s="413">
        <v>2807435</v>
      </c>
      <c r="V12" s="413">
        <f>_xlfn.IFNA(VLOOKUP(A12,[3]進出口值表查詢結果!$C$11:$F$68,4,0),-[4]整車!$B$22)</f>
        <v>4019</v>
      </c>
      <c r="W12" s="413">
        <f>_xlfn.IFNA(VLOOKUP(A12,[3]進出口值表查詢結果!$C$11:$F$68,3,0),-[4]整車!$B$22)</f>
        <v>3259963</v>
      </c>
      <c r="X12" s="413">
        <f>_xlfn.IFNA(VLOOKUP(A12,[5]進出口值表查詢結果!$C$11:$F$68,4,0),-[4]整車!$B$22)</f>
        <v>5220</v>
      </c>
      <c r="Y12" s="413">
        <f>_xlfn.IFNA(VLOOKUP(A12,[5]進出口值表查詢結果!$C$11:$F$68,3,0),-[4]整車!$B$22)</f>
        <v>3196394</v>
      </c>
      <c r="Z12" s="407">
        <f t="shared" si="3"/>
        <v>66838</v>
      </c>
      <c r="AA12" s="407">
        <f t="shared" si="4"/>
        <v>44687491</v>
      </c>
    </row>
    <row r="13" spans="1:27">
      <c r="A13" s="412" t="s">
        <v>229</v>
      </c>
      <c r="B13" s="413">
        <v>179</v>
      </c>
      <c r="C13" s="413">
        <v>131656</v>
      </c>
      <c r="D13" s="413">
        <v>274</v>
      </c>
      <c r="E13" s="413">
        <v>366955</v>
      </c>
      <c r="F13" s="413">
        <v>379</v>
      </c>
      <c r="G13" s="413">
        <v>326020</v>
      </c>
      <c r="H13" s="413">
        <v>412</v>
      </c>
      <c r="I13" s="413">
        <v>690860</v>
      </c>
      <c r="J13" s="414">
        <v>564</v>
      </c>
      <c r="K13" s="415">
        <v>591178</v>
      </c>
      <c r="L13" s="413">
        <v>419</v>
      </c>
      <c r="M13" s="413">
        <v>628920</v>
      </c>
      <c r="N13" s="413">
        <v>900</v>
      </c>
      <c r="O13" s="413">
        <v>1147430</v>
      </c>
      <c r="P13" s="413">
        <v>1146</v>
      </c>
      <c r="Q13" s="413">
        <v>1244090</v>
      </c>
      <c r="R13" s="413">
        <v>1102</v>
      </c>
      <c r="S13" s="413">
        <v>984782</v>
      </c>
      <c r="T13" s="413">
        <v>754</v>
      </c>
      <c r="U13" s="413">
        <v>962823</v>
      </c>
      <c r="V13" s="413">
        <f>_xlfn.IFNA(VLOOKUP(A13,[3]進出口值表查詢結果!$C$11:$F$68,4,0),-[4]整車!$B$22)</f>
        <v>856</v>
      </c>
      <c r="W13" s="413">
        <f>_xlfn.IFNA(VLOOKUP(A13,[3]進出口值表查詢結果!$C$11:$F$68,3,0),-[4]整車!$B$22)</f>
        <v>955426</v>
      </c>
      <c r="X13" s="413">
        <f>_xlfn.IFNA(VLOOKUP(A13,[5]進出口值表查詢結果!$C$11:$F$68,4,0),-[4]整車!$B$22)</f>
        <v>1391</v>
      </c>
      <c r="Y13" s="413">
        <f>_xlfn.IFNA(VLOOKUP(A13,[5]進出口值表查詢結果!$C$11:$F$68,3,0),-[4]整車!$B$22)</f>
        <v>1781279</v>
      </c>
      <c r="Z13" s="407">
        <f t="shared" si="3"/>
        <v>8376</v>
      </c>
      <c r="AA13" s="407">
        <f t="shared" si="4"/>
        <v>9811419</v>
      </c>
    </row>
    <row r="14" spans="1:27">
      <c r="A14" s="449" t="s">
        <v>230</v>
      </c>
      <c r="B14" s="413">
        <v>524</v>
      </c>
      <c r="C14" s="413">
        <v>127658</v>
      </c>
      <c r="D14" s="413">
        <v>549</v>
      </c>
      <c r="E14" s="413">
        <v>126180</v>
      </c>
      <c r="F14" s="413">
        <v>710</v>
      </c>
      <c r="G14" s="413">
        <v>174742</v>
      </c>
      <c r="H14" s="413">
        <v>864</v>
      </c>
      <c r="I14" s="413">
        <v>362370</v>
      </c>
      <c r="J14" s="414">
        <v>1603</v>
      </c>
      <c r="K14" s="415">
        <v>677515</v>
      </c>
      <c r="L14" s="413">
        <v>1216</v>
      </c>
      <c r="M14" s="413">
        <v>120579</v>
      </c>
      <c r="N14" s="413">
        <v>1021</v>
      </c>
      <c r="O14" s="413">
        <v>611528</v>
      </c>
      <c r="P14" s="413">
        <v>1131</v>
      </c>
      <c r="Q14" s="413">
        <v>586618</v>
      </c>
      <c r="R14" s="413">
        <v>1515</v>
      </c>
      <c r="S14" s="413">
        <v>914097</v>
      </c>
      <c r="T14" s="413">
        <v>818</v>
      </c>
      <c r="U14" s="413">
        <v>265715</v>
      </c>
      <c r="V14" s="413">
        <f>_xlfn.IFNA(VLOOKUP(A14,[3]進出口值表查詢結果!$C$11:$F$68,4,0),-[4]整車!$B$22)</f>
        <v>695</v>
      </c>
      <c r="W14" s="413">
        <f>_xlfn.IFNA(VLOOKUP(A14,[3]進出口值表查詢結果!$C$11:$F$68,3,0),-[4]整車!$B$22)</f>
        <v>379724</v>
      </c>
      <c r="X14" s="413">
        <f>_xlfn.IFNA(VLOOKUP(A14,[5]進出口值表查詢結果!$C$11:$F$68,4,0),-[4]整車!$B$22)</f>
        <v>456</v>
      </c>
      <c r="Y14" s="413">
        <f>_xlfn.IFNA(VLOOKUP(A14,[5]進出口值表查詢結果!$C$11:$F$68,3,0),-[4]整車!$B$22)</f>
        <v>425334</v>
      </c>
      <c r="Z14" s="407">
        <f t="shared" si="3"/>
        <v>11102</v>
      </c>
      <c r="AA14" s="407">
        <f t="shared" si="4"/>
        <v>4772060</v>
      </c>
    </row>
    <row r="15" spans="1:27">
      <c r="A15" s="449" t="s">
        <v>167</v>
      </c>
      <c r="B15" s="413">
        <v>65</v>
      </c>
      <c r="C15" s="413">
        <v>102167</v>
      </c>
      <c r="D15" s="413">
        <v>153</v>
      </c>
      <c r="E15" s="413">
        <v>198502</v>
      </c>
      <c r="F15" s="413">
        <v>171</v>
      </c>
      <c r="G15" s="413">
        <v>186525</v>
      </c>
      <c r="H15" s="413">
        <v>62</v>
      </c>
      <c r="I15" s="413">
        <v>69195</v>
      </c>
      <c r="J15" s="414">
        <v>111</v>
      </c>
      <c r="K15" s="415">
        <v>71668</v>
      </c>
      <c r="L15" s="413">
        <v>156</v>
      </c>
      <c r="M15" s="413">
        <v>125402</v>
      </c>
      <c r="N15" s="413">
        <v>167</v>
      </c>
      <c r="O15" s="413">
        <v>258485</v>
      </c>
      <c r="P15" s="413">
        <v>211</v>
      </c>
      <c r="Q15" s="413">
        <v>238597</v>
      </c>
      <c r="R15" s="413">
        <v>601</v>
      </c>
      <c r="S15" s="413">
        <v>371230</v>
      </c>
      <c r="T15" s="413">
        <v>212</v>
      </c>
      <c r="U15" s="413">
        <v>237659</v>
      </c>
      <c r="V15" s="413">
        <f>_xlfn.IFNA(VLOOKUP(A15,[3]進出口值表查詢結果!$C$11:$F$68,4,0),-[4]整車!$B$22)</f>
        <v>156</v>
      </c>
      <c r="W15" s="413">
        <f>_xlfn.IFNA(VLOOKUP(A15,[3]進出口值表查詢結果!$C$11:$F$68,3,0),-[4]整車!$B$22)</f>
        <v>243778</v>
      </c>
      <c r="X15" s="413">
        <f>_xlfn.IFNA(VLOOKUP(A15,[5]進出口值表查詢結果!$C$11:$F$68,4,0),-[4]整車!$B$22)</f>
        <v>452</v>
      </c>
      <c r="Y15" s="413">
        <f>_xlfn.IFNA(VLOOKUP(A15,[5]進出口值表查詢結果!$C$11:$F$68,3,0),-[4]整車!$B$22)</f>
        <v>279986</v>
      </c>
      <c r="Z15" s="407">
        <f t="shared" si="3"/>
        <v>2517</v>
      </c>
      <c r="AA15" s="407">
        <f t="shared" si="4"/>
        <v>2383194</v>
      </c>
    </row>
    <row r="16" spans="1:27">
      <c r="A16" s="450" t="s">
        <v>173</v>
      </c>
      <c r="B16" s="413">
        <v>1307</v>
      </c>
      <c r="C16" s="413">
        <v>1817059</v>
      </c>
      <c r="D16" s="413">
        <v>1950</v>
      </c>
      <c r="E16" s="413">
        <v>2185577</v>
      </c>
      <c r="F16" s="413">
        <v>2367</v>
      </c>
      <c r="G16" s="413">
        <v>2674246</v>
      </c>
      <c r="H16" s="413">
        <v>2201</v>
      </c>
      <c r="I16" s="413">
        <v>1979400</v>
      </c>
      <c r="J16" s="414">
        <v>2682</v>
      </c>
      <c r="K16" s="415">
        <v>2461078</v>
      </c>
      <c r="L16" s="413">
        <v>2380</v>
      </c>
      <c r="M16" s="413">
        <v>2624768</v>
      </c>
      <c r="N16" s="413">
        <v>2747</v>
      </c>
      <c r="O16" s="413">
        <v>2999359</v>
      </c>
      <c r="P16" s="413">
        <v>3612</v>
      </c>
      <c r="Q16" s="413">
        <v>4516165</v>
      </c>
      <c r="R16" s="413">
        <v>2996</v>
      </c>
      <c r="S16" s="413">
        <v>3713824</v>
      </c>
      <c r="T16" s="413">
        <v>2056</v>
      </c>
      <c r="U16" s="413">
        <v>2891152</v>
      </c>
      <c r="V16" s="413">
        <f>_xlfn.IFNA(VLOOKUP(A16,[3]進出口值表查詢結果!$C$11:$F$68,4,0),-[4]整車!$B$22)</f>
        <v>1790</v>
      </c>
      <c r="W16" s="413">
        <f>_xlfn.IFNA(VLOOKUP(A16,[3]進出口值表查詢結果!$C$11:$F$68,3,0),-[4]整車!$B$22)</f>
        <v>2212342</v>
      </c>
      <c r="X16" s="413">
        <f>_xlfn.IFNA(VLOOKUP(A16,[5]進出口值表查詢結果!$C$11:$F$68,4,0),-[4]整車!$B$22)</f>
        <v>1546</v>
      </c>
      <c r="Y16" s="413">
        <f>_xlfn.IFNA(VLOOKUP(A16,[5]進出口值表查詢結果!$C$11:$F$68,3,0),-[4]整車!$B$22)</f>
        <v>1984044</v>
      </c>
      <c r="Z16" s="407">
        <f t="shared" si="3"/>
        <v>27634</v>
      </c>
      <c r="AA16" s="407">
        <f t="shared" si="4"/>
        <v>32059014</v>
      </c>
    </row>
    <row r="17" spans="1:27">
      <c r="A17" s="449" t="s">
        <v>176</v>
      </c>
      <c r="B17" s="413">
        <v>196</v>
      </c>
      <c r="C17" s="413">
        <v>159614</v>
      </c>
      <c r="D17" s="413">
        <v>25</v>
      </c>
      <c r="E17" s="413">
        <v>14125</v>
      </c>
      <c r="F17" s="413">
        <v>272</v>
      </c>
      <c r="G17" s="413">
        <v>324659</v>
      </c>
      <c r="H17" s="413">
        <v>6</v>
      </c>
      <c r="I17" s="413">
        <v>198</v>
      </c>
      <c r="J17" s="414">
        <v>392</v>
      </c>
      <c r="K17" s="415">
        <v>442301</v>
      </c>
      <c r="L17" s="413">
        <v>213</v>
      </c>
      <c r="M17" s="413">
        <v>334619</v>
      </c>
      <c r="N17" s="413">
        <v>471</v>
      </c>
      <c r="O17" s="413">
        <v>520823</v>
      </c>
      <c r="P17" s="413">
        <v>373</v>
      </c>
      <c r="Q17" s="413">
        <v>455099</v>
      </c>
      <c r="R17" s="413">
        <v>34</v>
      </c>
      <c r="S17" s="413">
        <v>38452</v>
      </c>
      <c r="T17" s="413">
        <v>10</v>
      </c>
      <c r="U17" s="413">
        <v>4200</v>
      </c>
      <c r="V17" s="413">
        <f>_xlfn.IFNA(VLOOKUP(A17,[3]進出口值表查詢結果!$C$11:$F$68,4,0),-[4]整車!$B$22)</f>
        <v>34</v>
      </c>
      <c r="W17" s="413">
        <f>_xlfn.IFNA(VLOOKUP(A17,[3]進出口值表查詢結果!$C$11:$F$68,3,0),-[4]整車!$B$22)</f>
        <v>42910</v>
      </c>
      <c r="X17" s="413">
        <f>_xlfn.IFNA(VLOOKUP(A17,[5]進出口值表查詢結果!$C$11:$F$68,4,0),-[4]整車!$B$22)</f>
        <v>823</v>
      </c>
      <c r="Y17" s="413">
        <f>_xlfn.IFNA(VLOOKUP(A17,[5]進出口值表查詢結果!$C$11:$F$68,3,0),-[4]整車!$B$22)</f>
        <v>958153</v>
      </c>
      <c r="Z17" s="407">
        <f t="shared" si="3"/>
        <v>2849</v>
      </c>
      <c r="AA17" s="407">
        <f t="shared" si="4"/>
        <v>3295153</v>
      </c>
    </row>
    <row r="18" spans="1:27">
      <c r="A18" s="449" t="s">
        <v>178</v>
      </c>
      <c r="B18" s="413">
        <v>246</v>
      </c>
      <c r="C18" s="413">
        <v>218428</v>
      </c>
      <c r="D18" s="413">
        <v>112</v>
      </c>
      <c r="E18" s="413">
        <v>127248</v>
      </c>
      <c r="F18" s="413">
        <v>145</v>
      </c>
      <c r="G18" s="413">
        <v>175938</v>
      </c>
      <c r="H18" s="413">
        <v>76</v>
      </c>
      <c r="I18" s="413">
        <v>84167</v>
      </c>
      <c r="J18" s="414">
        <v>231</v>
      </c>
      <c r="K18" s="415">
        <v>292647</v>
      </c>
      <c r="L18" s="413">
        <v>225</v>
      </c>
      <c r="M18" s="413">
        <v>233311</v>
      </c>
      <c r="N18" s="413">
        <v>442</v>
      </c>
      <c r="O18" s="413">
        <v>515923</v>
      </c>
      <c r="P18" s="413">
        <v>635</v>
      </c>
      <c r="Q18" s="413">
        <v>666047</v>
      </c>
      <c r="R18" s="413">
        <v>372</v>
      </c>
      <c r="S18" s="413">
        <v>415965</v>
      </c>
      <c r="T18" s="413">
        <v>793</v>
      </c>
      <c r="U18" s="413">
        <v>698930</v>
      </c>
      <c r="V18" s="413">
        <f>_xlfn.IFNA(VLOOKUP(A18,[3]進出口值表查詢結果!$C$11:$F$68,4,0),-[4]整車!$B$22)</f>
        <v>332</v>
      </c>
      <c r="W18" s="413">
        <f>_xlfn.IFNA(VLOOKUP(A18,[3]進出口值表查詢結果!$C$11:$F$68,3,0),-[4]整車!$B$22)</f>
        <v>417088</v>
      </c>
      <c r="X18" s="413">
        <f>_xlfn.IFNA(VLOOKUP(A18,[5]進出口值表查詢結果!$C$11:$F$68,4,0),-[4]整車!$B$22)</f>
        <v>830</v>
      </c>
      <c r="Y18" s="413">
        <f>_xlfn.IFNA(VLOOKUP(A18,[5]進出口值表查詢結果!$C$11:$F$68,3,0),-[4]整車!$B$22)</f>
        <v>1167495</v>
      </c>
      <c r="Z18" s="407">
        <f t="shared" si="3"/>
        <v>4439</v>
      </c>
      <c r="AA18" s="407">
        <f t="shared" si="4"/>
        <v>5013187</v>
      </c>
    </row>
    <row r="19" spans="1:27">
      <c r="A19" s="449" t="s">
        <v>177</v>
      </c>
      <c r="B19" s="413">
        <v>38</v>
      </c>
      <c r="C19" s="413">
        <v>34255</v>
      </c>
      <c r="D19" s="413">
        <v>114</v>
      </c>
      <c r="E19" s="413">
        <v>142072</v>
      </c>
      <c r="F19" s="413">
        <v>47</v>
      </c>
      <c r="G19" s="413">
        <v>88748</v>
      </c>
      <c r="H19" s="413">
        <v>116</v>
      </c>
      <c r="I19" s="413">
        <v>179464</v>
      </c>
      <c r="J19" s="414">
        <v>134</v>
      </c>
      <c r="K19" s="415">
        <v>160240</v>
      </c>
      <c r="L19" s="413">
        <v>114</v>
      </c>
      <c r="M19" s="413">
        <v>167091</v>
      </c>
      <c r="N19" s="413">
        <v>103</v>
      </c>
      <c r="O19" s="413">
        <v>156524</v>
      </c>
      <c r="P19" s="413">
        <v>60</v>
      </c>
      <c r="Q19" s="413">
        <v>89867</v>
      </c>
      <c r="R19" s="413">
        <v>291</v>
      </c>
      <c r="S19" s="413">
        <v>452957</v>
      </c>
      <c r="T19" s="413">
        <v>157</v>
      </c>
      <c r="U19" s="413">
        <v>198796</v>
      </c>
      <c r="V19" s="413">
        <f>_xlfn.IFNA(VLOOKUP(A19,[3]進出口值表查詢結果!$C$11:$F$68,4,0),-[4]整車!$B$22)</f>
        <v>161</v>
      </c>
      <c r="W19" s="413">
        <f>_xlfn.IFNA(VLOOKUP(A19,[3]進出口值表查詢結果!$C$11:$F$68,3,0),-[4]整車!$B$22)</f>
        <v>332513</v>
      </c>
      <c r="X19" s="413">
        <f>_xlfn.IFNA(VLOOKUP(A19,[5]進出口值表查詢結果!$C$11:$F$68,4,0),-[4]整車!$B$22)</f>
        <v>82</v>
      </c>
      <c r="Y19" s="413">
        <f>_xlfn.IFNA(VLOOKUP(A19,[5]進出口值表查詢結果!$C$11:$F$68,3,0),-[4]整車!$B$22)</f>
        <v>135445</v>
      </c>
      <c r="Z19" s="407">
        <f t="shared" si="3"/>
        <v>1417</v>
      </c>
      <c r="AA19" s="407">
        <f t="shared" si="4"/>
        <v>2137972</v>
      </c>
    </row>
    <row r="20" spans="1:27">
      <c r="A20" s="449" t="s">
        <v>232</v>
      </c>
      <c r="B20" s="413">
        <v>0</v>
      </c>
      <c r="C20" s="413">
        <v>0</v>
      </c>
      <c r="D20" s="413">
        <v>62</v>
      </c>
      <c r="E20" s="413">
        <v>80913</v>
      </c>
      <c r="F20" s="413">
        <v>0</v>
      </c>
      <c r="G20" s="413"/>
      <c r="H20" s="413">
        <v>0</v>
      </c>
      <c r="I20" s="413">
        <v>0</v>
      </c>
      <c r="J20" s="414">
        <v>14</v>
      </c>
      <c r="K20" s="415">
        <v>18143</v>
      </c>
      <c r="L20" s="413">
        <v>0</v>
      </c>
      <c r="M20" s="413">
        <v>0</v>
      </c>
      <c r="N20" s="413">
        <v>0</v>
      </c>
      <c r="O20" s="413">
        <v>0</v>
      </c>
      <c r="P20" s="413">
        <v>0</v>
      </c>
      <c r="Q20" s="413">
        <v>0</v>
      </c>
      <c r="R20" s="413">
        <v>0</v>
      </c>
      <c r="S20" s="413">
        <v>0</v>
      </c>
      <c r="T20" s="413"/>
      <c r="U20" s="413"/>
      <c r="V20" s="413">
        <f>_xlfn.IFNA(VLOOKUP(A20,[3]進出口值表查詢結果!$C$11:$F$68,4,0),-[4]整車!$B$22)</f>
        <v>0</v>
      </c>
      <c r="W20" s="413">
        <f>_xlfn.IFNA(VLOOKUP(A20,[3]進出口值表查詢結果!$C$11:$F$68,3,0),-[4]整車!$B$22)</f>
        <v>0</v>
      </c>
      <c r="X20" s="413">
        <f>_xlfn.IFNA(VLOOKUP(A20,[5]進出口值表查詢結果!$C$11:$F$68,4,0),-[4]整車!$B$22)</f>
        <v>0</v>
      </c>
      <c r="Y20" s="413">
        <f>_xlfn.IFNA(VLOOKUP(A20,[5]進出口值表查詢結果!$C$11:$F$68,3,0),-[4]整車!$B$22)</f>
        <v>0</v>
      </c>
      <c r="Z20" s="407">
        <f t="shared" si="3"/>
        <v>76</v>
      </c>
      <c r="AA20" s="407">
        <f t="shared" si="4"/>
        <v>99056</v>
      </c>
    </row>
    <row r="21" spans="1:27">
      <c r="A21" s="449" t="s">
        <v>188</v>
      </c>
      <c r="B21" s="413">
        <v>367</v>
      </c>
      <c r="C21" s="413">
        <v>213697</v>
      </c>
      <c r="D21" s="413">
        <v>458</v>
      </c>
      <c r="E21" s="413">
        <v>230710</v>
      </c>
      <c r="F21" s="413">
        <v>165</v>
      </c>
      <c r="G21" s="413">
        <v>82941</v>
      </c>
      <c r="H21" s="413">
        <v>35</v>
      </c>
      <c r="I21" s="413">
        <v>4203</v>
      </c>
      <c r="J21" s="414">
        <v>74</v>
      </c>
      <c r="K21" s="415">
        <v>16703</v>
      </c>
      <c r="L21" s="413">
        <v>938</v>
      </c>
      <c r="M21" s="413">
        <v>178622</v>
      </c>
      <c r="N21" s="413">
        <v>107</v>
      </c>
      <c r="O21" s="413">
        <v>7169</v>
      </c>
      <c r="P21" s="413">
        <v>364</v>
      </c>
      <c r="Q21" s="413">
        <v>13151</v>
      </c>
      <c r="R21" s="413">
        <v>211</v>
      </c>
      <c r="S21" s="413">
        <v>139301</v>
      </c>
      <c r="T21" s="413">
        <v>291</v>
      </c>
      <c r="U21" s="413">
        <v>151421</v>
      </c>
      <c r="V21" s="413">
        <f>_xlfn.IFNA(VLOOKUP(A21,[3]進出口值表查詢結果!$C$11:$F$68,4,0),-[4]整車!$B$22)</f>
        <v>884</v>
      </c>
      <c r="W21" s="413">
        <f>_xlfn.IFNA(VLOOKUP(A21,[3]進出口值表查詢結果!$C$11:$F$68,3,0),-[4]整車!$B$22)</f>
        <v>377477</v>
      </c>
      <c r="X21" s="413">
        <f>_xlfn.IFNA(VLOOKUP(A21,[5]進出口值表查詢結果!$C$11:$F$68,4,0),-[4]整車!$B$22)</f>
        <v>872</v>
      </c>
      <c r="Y21" s="413">
        <f>_xlfn.IFNA(VLOOKUP(A21,[5]進出口值表查詢結果!$C$11:$F$68,3,0),-[4]整車!$B$22)</f>
        <v>486108</v>
      </c>
      <c r="Z21" s="407">
        <f t="shared" si="3"/>
        <v>4766</v>
      </c>
      <c r="AA21" s="407">
        <f t="shared" si="4"/>
        <v>1901503</v>
      </c>
    </row>
    <row r="22" spans="1:27">
      <c r="A22" s="449" t="s">
        <v>233</v>
      </c>
      <c r="B22" s="413">
        <v>0</v>
      </c>
      <c r="C22" s="413">
        <v>0</v>
      </c>
      <c r="D22" s="413"/>
      <c r="E22" s="413"/>
      <c r="F22" s="413">
        <v>0</v>
      </c>
      <c r="G22" s="413"/>
      <c r="H22" s="413">
        <v>0</v>
      </c>
      <c r="I22" s="413">
        <v>0</v>
      </c>
      <c r="J22" s="414">
        <v>0</v>
      </c>
      <c r="K22" s="417" t="s">
        <v>57</v>
      </c>
      <c r="L22" s="413">
        <v>0</v>
      </c>
      <c r="M22" s="413">
        <v>0</v>
      </c>
      <c r="N22" s="413">
        <v>0</v>
      </c>
      <c r="O22" s="413">
        <v>0</v>
      </c>
      <c r="P22" s="413">
        <v>0</v>
      </c>
      <c r="Q22" s="413">
        <v>0</v>
      </c>
      <c r="R22" s="413">
        <v>0</v>
      </c>
      <c r="S22" s="413">
        <v>0</v>
      </c>
      <c r="T22" s="413"/>
      <c r="U22" s="413"/>
      <c r="V22" s="413">
        <f>_xlfn.IFNA(VLOOKUP(A22,[3]進出口值表查詢結果!$C$11:$F$68,4,0),-[4]整車!$B$22)</f>
        <v>0</v>
      </c>
      <c r="W22" s="413">
        <f>_xlfn.IFNA(VLOOKUP(A22,[3]進出口值表查詢結果!$C$11:$F$68,3,0),-[4]整車!$B$22)</f>
        <v>0</v>
      </c>
      <c r="X22" s="413">
        <f>_xlfn.IFNA(VLOOKUP(A22,[5]進出口值表查詢結果!$C$11:$F$68,4,0),-[4]整車!$B$22)</f>
        <v>0</v>
      </c>
      <c r="Y22" s="413">
        <f>_xlfn.IFNA(VLOOKUP(A22,[5]進出口值表查詢結果!$C$11:$F$68,3,0),-[4]整車!$B$22)</f>
        <v>0</v>
      </c>
      <c r="Z22" s="407">
        <f t="shared" si="3"/>
        <v>0</v>
      </c>
      <c r="AA22" s="407">
        <f t="shared" si="4"/>
        <v>0</v>
      </c>
    </row>
    <row r="23" spans="1:27">
      <c r="A23" s="449" t="s">
        <v>175</v>
      </c>
      <c r="B23" s="413">
        <v>4</v>
      </c>
      <c r="C23" s="413">
        <v>12662</v>
      </c>
      <c r="D23" s="413">
        <v>36</v>
      </c>
      <c r="E23" s="413">
        <v>33578</v>
      </c>
      <c r="F23" s="413">
        <v>0</v>
      </c>
      <c r="G23" s="413"/>
      <c r="H23" s="413">
        <v>0</v>
      </c>
      <c r="I23" s="413">
        <v>0</v>
      </c>
      <c r="J23" s="414" t="s">
        <v>57</v>
      </c>
      <c r="K23" s="417" t="s">
        <v>57</v>
      </c>
      <c r="L23" s="413">
        <v>12</v>
      </c>
      <c r="M23" s="413">
        <v>40985</v>
      </c>
      <c r="N23" s="413">
        <v>11</v>
      </c>
      <c r="O23" s="413">
        <v>18898</v>
      </c>
      <c r="P23" s="413">
        <v>15</v>
      </c>
      <c r="Q23" s="413">
        <v>18841</v>
      </c>
      <c r="R23" s="413">
        <v>0</v>
      </c>
      <c r="S23" s="413">
        <v>0</v>
      </c>
      <c r="T23" s="413">
        <v>4</v>
      </c>
      <c r="U23" s="413">
        <v>8709</v>
      </c>
      <c r="V23" s="413">
        <f>_xlfn.IFNA(VLOOKUP(A23,[3]進出口值表查詢結果!$C$11:$F$68,4,0),-[4]整車!$B$22)</f>
        <v>0</v>
      </c>
      <c r="W23" s="413">
        <f>_xlfn.IFNA(VLOOKUP(A23,[3]進出口值表查詢結果!$C$11:$F$68,3,0),-[4]整車!$B$22)</f>
        <v>0</v>
      </c>
      <c r="X23" s="413">
        <f>_xlfn.IFNA(VLOOKUP(A23,[5]進出口值表查詢結果!$C$11:$F$68,4,0),-[4]整車!$B$22)</f>
        <v>23</v>
      </c>
      <c r="Y23" s="413">
        <f>_xlfn.IFNA(VLOOKUP(A23,[5]進出口值表查詢結果!$C$11:$F$68,3,0),-[4]整車!$B$22)</f>
        <v>41742</v>
      </c>
      <c r="Z23" s="407">
        <f t="shared" si="3"/>
        <v>105</v>
      </c>
      <c r="AA23" s="407">
        <f t="shared" si="4"/>
        <v>175415</v>
      </c>
    </row>
    <row r="24" spans="1:27">
      <c r="A24" s="449" t="s">
        <v>234</v>
      </c>
      <c r="B24" s="413">
        <v>0</v>
      </c>
      <c r="C24" s="413">
        <v>0</v>
      </c>
      <c r="D24" s="413"/>
      <c r="E24" s="413"/>
      <c r="F24" s="413">
        <v>0</v>
      </c>
      <c r="G24" s="413"/>
      <c r="H24" s="413">
        <v>0</v>
      </c>
      <c r="I24" s="413">
        <v>0</v>
      </c>
      <c r="J24" s="414">
        <v>1</v>
      </c>
      <c r="K24" s="415">
        <v>2606</v>
      </c>
      <c r="L24" s="413">
        <v>0</v>
      </c>
      <c r="M24" s="407">
        <v>0</v>
      </c>
      <c r="N24" s="413">
        <v>0</v>
      </c>
      <c r="O24" s="413">
        <v>0</v>
      </c>
      <c r="P24" s="413">
        <v>0</v>
      </c>
      <c r="Q24" s="413">
        <v>0</v>
      </c>
      <c r="R24" s="413">
        <v>0</v>
      </c>
      <c r="S24" s="413">
        <v>0</v>
      </c>
      <c r="T24" s="413"/>
      <c r="U24" s="413"/>
      <c r="V24" s="413">
        <f>_xlfn.IFNA(VLOOKUP(A24,[3]進出口值表查詢結果!$C$11:$F$68,4,0),-[4]整車!$B$22)</f>
        <v>0</v>
      </c>
      <c r="W24" s="413">
        <f>_xlfn.IFNA(VLOOKUP(A24,[3]進出口值表查詢結果!$C$11:$F$68,3,0),-[4]整車!$B$22)</f>
        <v>0</v>
      </c>
      <c r="X24" s="413">
        <f>_xlfn.IFNA(VLOOKUP(A24,[5]進出口值表查詢結果!$C$11:$F$68,4,0),-[4]整車!$B$22)</f>
        <v>0</v>
      </c>
      <c r="Y24" s="413">
        <f>_xlfn.IFNA(VLOOKUP(A24,[5]進出口值表查詢結果!$C$11:$F$68,3,0),-[4]整車!$B$22)</f>
        <v>0</v>
      </c>
      <c r="Z24" s="407">
        <f t="shared" si="3"/>
        <v>1</v>
      </c>
      <c r="AA24" s="407">
        <f t="shared" si="4"/>
        <v>2606</v>
      </c>
    </row>
    <row r="25" spans="1:27">
      <c r="A25" s="449" t="s">
        <v>235</v>
      </c>
      <c r="B25" s="413">
        <v>0</v>
      </c>
      <c r="C25" s="413">
        <v>0</v>
      </c>
      <c r="D25" s="413"/>
      <c r="E25" s="413"/>
      <c r="F25" s="413">
        <v>0</v>
      </c>
      <c r="G25" s="413"/>
      <c r="H25" s="413">
        <v>0</v>
      </c>
      <c r="I25" s="413">
        <v>0</v>
      </c>
      <c r="J25" s="414" t="s">
        <v>57</v>
      </c>
      <c r="K25" s="417" t="s">
        <v>57</v>
      </c>
      <c r="L25" s="413">
        <v>0</v>
      </c>
      <c r="M25" s="413">
        <v>0</v>
      </c>
      <c r="N25" s="413">
        <v>0</v>
      </c>
      <c r="O25" s="413">
        <v>0</v>
      </c>
      <c r="P25" s="413">
        <v>0</v>
      </c>
      <c r="Q25" s="413">
        <v>0</v>
      </c>
      <c r="R25" s="413">
        <v>0</v>
      </c>
      <c r="S25" s="413">
        <v>0</v>
      </c>
      <c r="T25" s="413"/>
      <c r="U25" s="413"/>
      <c r="V25" s="413">
        <f>_xlfn.IFNA(VLOOKUP(A25,[3]進出口值表查詢結果!$C$11:$F$68,4,0),-[4]整車!$B$22)</f>
        <v>0</v>
      </c>
      <c r="W25" s="413">
        <f>_xlfn.IFNA(VLOOKUP(A25,[3]進出口值表查詢結果!$C$11:$F$68,3,0),-[4]整車!$B$22)</f>
        <v>0</v>
      </c>
      <c r="X25" s="413">
        <f>_xlfn.IFNA(VLOOKUP(A25,[5]進出口值表查詢結果!$C$11:$F$68,4,0),-[4]整車!$B$22)</f>
        <v>0</v>
      </c>
      <c r="Y25" s="413">
        <f>_xlfn.IFNA(VLOOKUP(A25,[5]進出口值表查詢結果!$C$11:$F$68,3,0),-[4]整車!$B$22)</f>
        <v>0</v>
      </c>
      <c r="Z25" s="407">
        <f t="shared" si="3"/>
        <v>0</v>
      </c>
      <c r="AA25" s="407">
        <f t="shared" si="4"/>
        <v>0</v>
      </c>
    </row>
    <row r="26" spans="1:27">
      <c r="A26" s="449" t="s">
        <v>236</v>
      </c>
      <c r="B26" s="413">
        <v>0</v>
      </c>
      <c r="C26" s="413">
        <v>0</v>
      </c>
      <c r="D26" s="413"/>
      <c r="E26" s="413"/>
      <c r="F26" s="413">
        <v>10</v>
      </c>
      <c r="G26" s="413">
        <v>9226</v>
      </c>
      <c r="H26" s="413">
        <v>0</v>
      </c>
      <c r="I26" s="413">
        <v>0</v>
      </c>
      <c r="J26" s="414" t="s">
        <v>57</v>
      </c>
      <c r="K26" s="417" t="s">
        <v>57</v>
      </c>
      <c r="L26" s="413">
        <v>2</v>
      </c>
      <c r="M26" s="413">
        <v>536</v>
      </c>
      <c r="N26" s="413">
        <v>0</v>
      </c>
      <c r="O26" s="413">
        <v>0</v>
      </c>
      <c r="P26" s="413">
        <v>34</v>
      </c>
      <c r="Q26" s="413">
        <v>17452</v>
      </c>
      <c r="R26" s="413">
        <v>0</v>
      </c>
      <c r="S26" s="413">
        <v>0</v>
      </c>
      <c r="T26" s="413">
        <v>10</v>
      </c>
      <c r="U26" s="413">
        <v>9501</v>
      </c>
      <c r="V26" s="413">
        <f>_xlfn.IFNA(VLOOKUP(A26,[3]進出口值表查詢結果!$C$11:$F$68,4,0),-[4]整車!$B$22)</f>
        <v>0</v>
      </c>
      <c r="W26" s="413">
        <f>_xlfn.IFNA(VLOOKUP(A26,[3]進出口值表查詢結果!$C$11:$F$68,3,0),-[4]整車!$B$22)</f>
        <v>0</v>
      </c>
      <c r="X26" s="413">
        <f>_xlfn.IFNA(VLOOKUP(A26,[5]進出口值表查詢結果!$C$11:$F$68,4,0),-[4]整車!$B$22)</f>
        <v>0</v>
      </c>
      <c r="Y26" s="413">
        <f>_xlfn.IFNA(VLOOKUP(A26,[5]進出口值表查詢結果!$C$11:$F$68,3,0),-[4]整車!$B$22)</f>
        <v>0</v>
      </c>
      <c r="Z26" s="407">
        <f t="shared" si="3"/>
        <v>56</v>
      </c>
      <c r="AA26" s="407">
        <f t="shared" si="4"/>
        <v>36715</v>
      </c>
    </row>
    <row r="27" spans="1:27">
      <c r="A27" s="449" t="s">
        <v>194</v>
      </c>
      <c r="B27" s="413">
        <v>12</v>
      </c>
      <c r="C27" s="413">
        <v>11363</v>
      </c>
      <c r="D27" s="413">
        <v>156</v>
      </c>
      <c r="E27" s="413">
        <v>136343</v>
      </c>
      <c r="F27" s="413">
        <v>53</v>
      </c>
      <c r="G27" s="413">
        <v>48024</v>
      </c>
      <c r="H27" s="413">
        <v>0</v>
      </c>
      <c r="I27" s="413">
        <v>0</v>
      </c>
      <c r="J27" s="414">
        <v>62</v>
      </c>
      <c r="K27" s="415">
        <v>51087</v>
      </c>
      <c r="L27" s="413">
        <v>0</v>
      </c>
      <c r="M27" s="413">
        <v>0</v>
      </c>
      <c r="N27" s="413">
        <v>53</v>
      </c>
      <c r="O27" s="413">
        <v>53415</v>
      </c>
      <c r="P27" s="413">
        <v>125</v>
      </c>
      <c r="Q27" s="413">
        <v>148830</v>
      </c>
      <c r="R27" s="413">
        <v>20</v>
      </c>
      <c r="S27" s="413">
        <v>19056</v>
      </c>
      <c r="T27" s="413">
        <v>26</v>
      </c>
      <c r="U27" s="413">
        <v>35077</v>
      </c>
      <c r="V27" s="413">
        <f>_xlfn.IFNA(VLOOKUP(A27,[3]進出口值表查詢結果!$C$11:$F$68,4,0),-[4]整車!$B$22)</f>
        <v>6</v>
      </c>
      <c r="W27" s="413">
        <f>_xlfn.IFNA(VLOOKUP(A27,[3]進出口值表查詢結果!$C$11:$F$68,3,0),-[4]整車!$B$22)</f>
        <v>6932</v>
      </c>
      <c r="X27" s="413">
        <f>_xlfn.IFNA(VLOOKUP(A27,[5]進出口值表查詢結果!$C$11:$F$68,4,0),-[4]整車!$B$22)</f>
        <v>211</v>
      </c>
      <c r="Y27" s="413">
        <f>_xlfn.IFNA(VLOOKUP(A27,[5]進出口值表查詢結果!$C$11:$F$68,3,0),-[4]整車!$B$22)</f>
        <v>156683</v>
      </c>
      <c r="Z27" s="407">
        <f t="shared" si="3"/>
        <v>724</v>
      </c>
      <c r="AA27" s="407">
        <f t="shared" si="4"/>
        <v>666810</v>
      </c>
    </row>
    <row r="28" spans="1:27">
      <c r="A28" s="449" t="s">
        <v>237</v>
      </c>
      <c r="B28" s="413">
        <v>0</v>
      </c>
      <c r="C28" s="413">
        <v>0</v>
      </c>
      <c r="D28" s="413"/>
      <c r="E28" s="413"/>
      <c r="F28" s="413">
        <v>0</v>
      </c>
      <c r="G28" s="413"/>
      <c r="H28" s="413">
        <v>0</v>
      </c>
      <c r="I28" s="413">
        <v>0</v>
      </c>
      <c r="J28" s="414" t="s">
        <v>57</v>
      </c>
      <c r="K28" s="417" t="s">
        <v>57</v>
      </c>
      <c r="L28" s="413">
        <v>0</v>
      </c>
      <c r="M28" s="413">
        <v>0</v>
      </c>
      <c r="N28" s="413">
        <v>0</v>
      </c>
      <c r="O28" s="413">
        <v>0</v>
      </c>
      <c r="P28" s="413">
        <v>0</v>
      </c>
      <c r="Q28" s="413">
        <v>0</v>
      </c>
      <c r="R28" s="413">
        <v>0</v>
      </c>
      <c r="S28" s="413">
        <v>0</v>
      </c>
      <c r="T28" s="413"/>
      <c r="U28" s="413"/>
      <c r="V28" s="413">
        <f>_xlfn.IFNA(VLOOKUP(A28,[3]進出口值表查詢結果!$C$11:$F$68,4,0),-[4]整車!$B$22)</f>
        <v>0</v>
      </c>
      <c r="W28" s="413">
        <f>_xlfn.IFNA(VLOOKUP(A28,[3]進出口值表查詢結果!$C$11:$F$68,3,0),-[4]整車!$B$22)</f>
        <v>0</v>
      </c>
      <c r="X28" s="413">
        <f>_xlfn.IFNA(VLOOKUP(A28,[5]進出口值表查詢結果!$C$11:$F$68,4,0),-[4]整車!$B$22)</f>
        <v>0</v>
      </c>
      <c r="Y28" s="413">
        <f>_xlfn.IFNA(VLOOKUP(A28,[5]進出口值表查詢結果!$C$11:$F$68,3,0),-[4]整車!$B$22)</f>
        <v>0</v>
      </c>
      <c r="Z28" s="407">
        <f t="shared" si="3"/>
        <v>0</v>
      </c>
      <c r="AA28" s="407">
        <f t="shared" si="4"/>
        <v>0</v>
      </c>
    </row>
    <row r="29" spans="1:27">
      <c r="A29" s="449" t="s">
        <v>164</v>
      </c>
      <c r="B29" s="413">
        <v>832</v>
      </c>
      <c r="C29" s="413">
        <v>601299</v>
      </c>
      <c r="D29" s="413">
        <v>1474</v>
      </c>
      <c r="E29" s="413">
        <v>1335375</v>
      </c>
      <c r="F29" s="413">
        <v>2575</v>
      </c>
      <c r="G29" s="413">
        <v>2824860</v>
      </c>
      <c r="H29" s="413">
        <v>1590</v>
      </c>
      <c r="I29" s="413">
        <v>2035410</v>
      </c>
      <c r="J29" s="414">
        <v>1368</v>
      </c>
      <c r="K29" s="417">
        <v>1650049</v>
      </c>
      <c r="L29" s="413">
        <v>3338</v>
      </c>
      <c r="M29" s="413">
        <v>3123497</v>
      </c>
      <c r="N29" s="413">
        <v>2847</v>
      </c>
      <c r="O29" s="413">
        <v>2378126</v>
      </c>
      <c r="P29" s="413">
        <v>2606</v>
      </c>
      <c r="Q29" s="413">
        <v>3061333</v>
      </c>
      <c r="R29" s="413">
        <v>1944</v>
      </c>
      <c r="S29" s="413">
        <v>1677516</v>
      </c>
      <c r="T29" s="413">
        <v>2095</v>
      </c>
      <c r="U29" s="413">
        <v>2093220</v>
      </c>
      <c r="V29" s="413">
        <f>_xlfn.IFNA(VLOOKUP(A29,[3]進出口值表查詢結果!$C$11:$F$68,4,0),-[4]整車!$B$22)</f>
        <v>2168</v>
      </c>
      <c r="W29" s="413">
        <f>_xlfn.IFNA(VLOOKUP(A29,[3]進出口值表查詢結果!$C$11:$F$68,3,0),-[4]整車!$B$22)</f>
        <v>2387001</v>
      </c>
      <c r="X29" s="413">
        <f>_xlfn.IFNA(VLOOKUP(A29,[5]進出口值表查詢結果!$C$11:$F$68,4,0),-[4]整車!$B$22)</f>
        <v>3104</v>
      </c>
      <c r="Y29" s="413">
        <f>_xlfn.IFNA(VLOOKUP(A29,[5]進出口值表查詢結果!$C$11:$F$68,3,0),-[4]整車!$B$22)</f>
        <v>3401926</v>
      </c>
      <c r="Z29" s="407">
        <f t="shared" si="3"/>
        <v>25941</v>
      </c>
      <c r="AA29" s="407">
        <f t="shared" si="4"/>
        <v>26569612</v>
      </c>
    </row>
    <row r="30" spans="1:27">
      <c r="A30" s="451" t="s">
        <v>239</v>
      </c>
      <c r="B30" s="407">
        <v>0</v>
      </c>
      <c r="C30" s="407">
        <v>0</v>
      </c>
      <c r="D30" s="407"/>
      <c r="E30" s="407"/>
      <c r="F30" s="407">
        <v>0</v>
      </c>
      <c r="G30" s="407"/>
      <c r="H30" s="407">
        <v>0</v>
      </c>
      <c r="I30" s="407">
        <v>0</v>
      </c>
      <c r="J30" s="400" t="s">
        <v>57</v>
      </c>
      <c r="K30" s="417" t="s">
        <v>57</v>
      </c>
      <c r="L30" s="407">
        <v>0</v>
      </c>
      <c r="M30" s="407">
        <v>0</v>
      </c>
      <c r="N30" s="407">
        <v>0</v>
      </c>
      <c r="O30" s="407">
        <v>0</v>
      </c>
      <c r="P30" s="407">
        <v>0</v>
      </c>
      <c r="Q30" s="407">
        <v>0</v>
      </c>
      <c r="R30" s="407">
        <v>0</v>
      </c>
      <c r="S30" s="407">
        <v>0</v>
      </c>
      <c r="T30" s="407"/>
      <c r="U30" s="407"/>
      <c r="V30" s="413">
        <f>_xlfn.IFNA(VLOOKUP(A30,[3]進出口值表查詢結果!$C$11:$F$68,4,0),-[4]整車!$B$22)</f>
        <v>0</v>
      </c>
      <c r="W30" s="413">
        <f>_xlfn.IFNA(VLOOKUP(A30,[3]進出口值表查詢結果!$C$11:$F$68,3,0),-[4]整車!$B$22)</f>
        <v>0</v>
      </c>
      <c r="X30" s="413">
        <f>_xlfn.IFNA(VLOOKUP(A30,[5]進出口值表查詢結果!$C$11:$F$68,4,0),-[4]整車!$B$22)</f>
        <v>0</v>
      </c>
      <c r="Y30" s="413">
        <f>_xlfn.IFNA(VLOOKUP(A30,[5]進出口值表查詢結果!$C$11:$F$68,3,0),-[4]整車!$B$22)</f>
        <v>0</v>
      </c>
      <c r="Z30" s="407">
        <f t="shared" si="3"/>
        <v>0</v>
      </c>
      <c r="AA30" s="407">
        <f t="shared" si="4"/>
        <v>0</v>
      </c>
    </row>
    <row r="31" spans="1:27">
      <c r="A31" s="449" t="s">
        <v>240</v>
      </c>
      <c r="B31" s="407">
        <v>0</v>
      </c>
      <c r="C31" s="407">
        <v>0</v>
      </c>
      <c r="D31" s="413"/>
      <c r="E31" s="413"/>
      <c r="F31" s="413">
        <v>0</v>
      </c>
      <c r="G31" s="413"/>
      <c r="H31" s="413">
        <v>0</v>
      </c>
      <c r="I31" s="413">
        <v>0</v>
      </c>
      <c r="J31" s="414"/>
      <c r="K31" s="417" t="s">
        <v>57</v>
      </c>
      <c r="L31" s="413">
        <v>0</v>
      </c>
      <c r="M31" s="413">
        <v>0</v>
      </c>
      <c r="N31" s="413">
        <v>0</v>
      </c>
      <c r="O31" s="413">
        <v>0</v>
      </c>
      <c r="P31" s="407">
        <v>0</v>
      </c>
      <c r="Q31" s="407">
        <v>0</v>
      </c>
      <c r="R31" s="407">
        <v>0</v>
      </c>
      <c r="S31" s="407">
        <v>0</v>
      </c>
      <c r="T31" s="413"/>
      <c r="U31" s="413"/>
      <c r="V31" s="413">
        <f>_xlfn.IFNA(VLOOKUP(A31,[3]進出口值表查詢結果!$C$11:$F$68,4,0),-[4]整車!$B$22)</f>
        <v>0</v>
      </c>
      <c r="W31" s="413">
        <f>_xlfn.IFNA(VLOOKUP(A31,[3]進出口值表查詢結果!$C$11:$F$68,3,0),-[4]整車!$B$22)</f>
        <v>0</v>
      </c>
      <c r="X31" s="413">
        <f>_xlfn.IFNA(VLOOKUP(A31,[5]進出口值表查詢結果!$C$11:$F$68,4,0),-[4]整車!$B$22)</f>
        <v>0</v>
      </c>
      <c r="Y31" s="413">
        <f>_xlfn.IFNA(VLOOKUP(A31,[5]進出口值表查詢結果!$C$11:$F$68,3,0),-[4]整車!$B$22)</f>
        <v>0</v>
      </c>
      <c r="Z31" s="407">
        <f t="shared" si="3"/>
        <v>0</v>
      </c>
      <c r="AA31" s="407">
        <f t="shared" si="4"/>
        <v>0</v>
      </c>
    </row>
    <row r="32" spans="1:27">
      <c r="A32" s="449" t="s">
        <v>241</v>
      </c>
      <c r="B32" s="407">
        <v>0</v>
      </c>
      <c r="C32" s="407">
        <v>0</v>
      </c>
      <c r="D32" s="413"/>
      <c r="E32" s="413"/>
      <c r="F32" s="413">
        <v>0</v>
      </c>
      <c r="G32" s="413"/>
      <c r="H32" s="413">
        <v>2</v>
      </c>
      <c r="I32" s="413">
        <v>3147</v>
      </c>
      <c r="J32" s="414" t="s">
        <v>57</v>
      </c>
      <c r="K32" s="417" t="s">
        <v>57</v>
      </c>
      <c r="L32" s="413">
        <v>0</v>
      </c>
      <c r="M32" s="413">
        <v>0</v>
      </c>
      <c r="N32" s="413">
        <v>9</v>
      </c>
      <c r="O32" s="413">
        <v>14807</v>
      </c>
      <c r="P32" s="407">
        <v>0</v>
      </c>
      <c r="Q32" s="407">
        <v>0</v>
      </c>
      <c r="R32" s="407">
        <v>0</v>
      </c>
      <c r="S32" s="407">
        <v>0</v>
      </c>
      <c r="T32" s="413"/>
      <c r="U32" s="413"/>
      <c r="V32" s="413">
        <f>_xlfn.IFNA(VLOOKUP(A32,[3]進出口值表查詢結果!$C$11:$F$68,4,0),-[4]整車!$B$22)</f>
        <v>0</v>
      </c>
      <c r="W32" s="413">
        <f>_xlfn.IFNA(VLOOKUP(A32,[3]進出口值表查詢結果!$C$11:$F$68,3,0),-[4]整車!$B$22)</f>
        <v>0</v>
      </c>
      <c r="X32" s="413">
        <f>_xlfn.IFNA(VLOOKUP(A32,[5]進出口值表查詢結果!$C$11:$F$68,4,0),-[4]整車!$B$22)</f>
        <v>12</v>
      </c>
      <c r="Y32" s="413">
        <f>_xlfn.IFNA(VLOOKUP(A32,[5]進出口值表查詢結果!$C$11:$F$68,3,0),-[4]整車!$B$22)</f>
        <v>16410</v>
      </c>
      <c r="Z32" s="407">
        <f t="shared" si="3"/>
        <v>23</v>
      </c>
      <c r="AA32" s="407">
        <f t="shared" si="4"/>
        <v>34364</v>
      </c>
    </row>
    <row r="33" spans="1:27">
      <c r="A33" s="449" t="s">
        <v>242</v>
      </c>
      <c r="B33" s="407">
        <v>0</v>
      </c>
      <c r="C33" s="407">
        <v>0</v>
      </c>
      <c r="D33" s="413">
        <v>65</v>
      </c>
      <c r="E33" s="413">
        <v>100633</v>
      </c>
      <c r="F33" s="407">
        <v>430</v>
      </c>
      <c r="G33" s="413">
        <v>75772</v>
      </c>
      <c r="H33" s="413">
        <v>89</v>
      </c>
      <c r="I33" s="413">
        <v>94535</v>
      </c>
      <c r="J33" s="414" t="s">
        <v>57</v>
      </c>
      <c r="K33" s="417" t="s">
        <v>57</v>
      </c>
      <c r="L33" s="413">
        <v>0</v>
      </c>
      <c r="M33" s="413">
        <v>0</v>
      </c>
      <c r="N33" s="413">
        <v>0</v>
      </c>
      <c r="O33" s="413">
        <v>0</v>
      </c>
      <c r="P33" s="407">
        <v>0</v>
      </c>
      <c r="Q33" s="407">
        <v>0</v>
      </c>
      <c r="R33" s="407">
        <v>0</v>
      </c>
      <c r="S33" s="407">
        <v>0</v>
      </c>
      <c r="T33" s="413"/>
      <c r="U33" s="413"/>
      <c r="V33" s="413">
        <f>_xlfn.IFNA(VLOOKUP(A33,[3]進出口值表查詢結果!$C$11:$F$68,4,0),-[4]整車!$B$22)</f>
        <v>0</v>
      </c>
      <c r="W33" s="413">
        <f>_xlfn.IFNA(VLOOKUP(A33,[3]進出口值表查詢結果!$C$11:$F$68,3,0),-[4]整車!$B$22)</f>
        <v>0</v>
      </c>
      <c r="X33" s="413">
        <f>_xlfn.IFNA(VLOOKUP(A33,[5]進出口值表查詢結果!$C$11:$F$68,4,0),-[4]整車!$B$22)</f>
        <v>36</v>
      </c>
      <c r="Y33" s="413">
        <f>_xlfn.IFNA(VLOOKUP(A33,[5]進出口值表查詢結果!$C$11:$F$68,3,0),-[4]整車!$B$22)</f>
        <v>41708</v>
      </c>
      <c r="Z33" s="413">
        <f t="shared" si="3"/>
        <v>620</v>
      </c>
      <c r="AA33" s="413">
        <f t="shared" si="4"/>
        <v>312648</v>
      </c>
    </row>
    <row r="34" spans="1:27">
      <c r="A34" s="449" t="s">
        <v>243</v>
      </c>
      <c r="B34" s="407">
        <v>0</v>
      </c>
      <c r="C34" s="407">
        <v>0</v>
      </c>
      <c r="D34" s="413"/>
      <c r="E34" s="413"/>
      <c r="F34" s="413">
        <v>0</v>
      </c>
      <c r="G34" s="413"/>
      <c r="H34" s="413">
        <v>0</v>
      </c>
      <c r="I34" s="413">
        <v>0</v>
      </c>
      <c r="J34" s="414" t="s">
        <v>57</v>
      </c>
      <c r="K34" s="417" t="s">
        <v>57</v>
      </c>
      <c r="L34" s="413">
        <v>200</v>
      </c>
      <c r="M34" s="413">
        <v>26608</v>
      </c>
      <c r="N34" s="413">
        <v>0</v>
      </c>
      <c r="O34" s="413">
        <v>0</v>
      </c>
      <c r="P34" s="407">
        <v>0</v>
      </c>
      <c r="Q34" s="407">
        <v>0</v>
      </c>
      <c r="R34" s="407">
        <v>0</v>
      </c>
      <c r="S34" s="407">
        <v>0</v>
      </c>
      <c r="T34" s="413"/>
      <c r="U34" s="413"/>
      <c r="V34" s="413">
        <f>_xlfn.IFNA(VLOOKUP(A34,[3]進出口值表查詢結果!$C$11:$F$68,4,0),-[4]整車!$B$22)</f>
        <v>0</v>
      </c>
      <c r="W34" s="413">
        <f>_xlfn.IFNA(VLOOKUP(A34,[3]進出口值表查詢結果!$C$11:$F$68,3,0),-[4]整車!$B$22)</f>
        <v>0</v>
      </c>
      <c r="X34" s="413">
        <f>_xlfn.IFNA(VLOOKUP(A34,[5]進出口值表查詢結果!$C$11:$F$68,4,0),-[4]整車!$B$22)</f>
        <v>0</v>
      </c>
      <c r="Y34" s="413">
        <f>_xlfn.IFNA(VLOOKUP(A34,[5]進出口值表查詢結果!$C$11:$F$68,3,0),-[4]整車!$B$22)</f>
        <v>0</v>
      </c>
      <c r="Z34" s="413">
        <f t="shared" si="3"/>
        <v>200</v>
      </c>
      <c r="AA34" s="413">
        <f t="shared" si="4"/>
        <v>26608</v>
      </c>
    </row>
    <row r="35" spans="1:27">
      <c r="A35" s="406"/>
      <c r="B35" s="407"/>
      <c r="C35" s="407"/>
      <c r="D35" s="407"/>
      <c r="E35" s="407"/>
      <c r="F35" s="407"/>
      <c r="G35" s="407"/>
      <c r="H35" s="407"/>
      <c r="I35" s="407"/>
      <c r="J35" s="400"/>
      <c r="K35" s="401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</row>
    <row r="36" spans="1:27">
      <c r="A36" s="419" t="s">
        <v>138</v>
      </c>
      <c r="B36" s="420">
        <f t="shared" ref="B36:Y36" si="5">B38+B68+B75</f>
        <v>79424</v>
      </c>
      <c r="C36" s="420">
        <f t="shared" si="5"/>
        <v>35612604</v>
      </c>
      <c r="D36" s="420">
        <f t="shared" si="5"/>
        <v>64213</v>
      </c>
      <c r="E36" s="420">
        <f t="shared" si="5"/>
        <v>30491608</v>
      </c>
      <c r="F36" s="420">
        <f t="shared" si="5"/>
        <v>54696</v>
      </c>
      <c r="G36" s="420">
        <f t="shared" si="5"/>
        <v>29542744</v>
      </c>
      <c r="H36" s="420">
        <f t="shared" si="5"/>
        <v>39009</v>
      </c>
      <c r="I36" s="420">
        <f t="shared" si="5"/>
        <v>19973565</v>
      </c>
      <c r="J36" s="421">
        <f t="shared" si="5"/>
        <v>44931</v>
      </c>
      <c r="K36" s="422">
        <f>K38+K68+K75</f>
        <v>28357229</v>
      </c>
      <c r="L36" s="420">
        <f t="shared" si="5"/>
        <v>51038</v>
      </c>
      <c r="M36" s="420">
        <f t="shared" si="5"/>
        <v>32305965</v>
      </c>
      <c r="N36" s="420">
        <f t="shared" si="5"/>
        <v>44856</v>
      </c>
      <c r="O36" s="420">
        <f t="shared" si="5"/>
        <v>35121669</v>
      </c>
      <c r="P36" s="420">
        <f t="shared" si="5"/>
        <v>69496</v>
      </c>
      <c r="Q36" s="420">
        <f t="shared" si="5"/>
        <v>46505146</v>
      </c>
      <c r="R36" s="420">
        <f t="shared" si="5"/>
        <v>46124</v>
      </c>
      <c r="S36" s="420">
        <f t="shared" si="5"/>
        <v>32297052</v>
      </c>
      <c r="T36" s="420">
        <f t="shared" si="5"/>
        <v>63488</v>
      </c>
      <c r="U36" s="420">
        <f t="shared" si="5"/>
        <v>38464858</v>
      </c>
      <c r="V36" s="420">
        <f>V38+V68+V75</f>
        <v>52331</v>
      </c>
      <c r="W36" s="420">
        <f>W38+W68+W75</f>
        <v>31078138</v>
      </c>
      <c r="X36" s="420">
        <f t="shared" si="5"/>
        <v>64845</v>
      </c>
      <c r="Y36" s="420">
        <f t="shared" si="5"/>
        <v>39655701</v>
      </c>
      <c r="Z36" s="420">
        <f>SUM(B36,D36,F36,H36,J36,L36,N36,P36,R36,T36,V36,X36)</f>
        <v>674451</v>
      </c>
      <c r="AA36" s="420">
        <f>SUM(C36,E36,G36,I36,K36,M36,O36,Q36,S36,U36,W36,Y36)</f>
        <v>399406279</v>
      </c>
    </row>
    <row r="37" spans="1:27">
      <c r="A37" s="406"/>
      <c r="B37" s="407"/>
      <c r="C37" s="407"/>
      <c r="D37" s="407"/>
      <c r="E37" s="407"/>
      <c r="F37" s="407"/>
      <c r="G37" s="407"/>
      <c r="H37" s="407"/>
      <c r="I37" s="407"/>
      <c r="J37" s="400"/>
      <c r="K37" s="401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</row>
    <row r="38" spans="1:27">
      <c r="A38" s="423" t="s">
        <v>8</v>
      </c>
      <c r="B38" s="424">
        <f t="shared" ref="B38:Y38" si="6">SUM(B39:B66)</f>
        <v>71602</v>
      </c>
      <c r="C38" s="424">
        <f t="shared" si="6"/>
        <v>31042061</v>
      </c>
      <c r="D38" s="424">
        <f t="shared" si="6"/>
        <v>57938</v>
      </c>
      <c r="E38" s="424">
        <f t="shared" si="6"/>
        <v>27066923</v>
      </c>
      <c r="F38" s="424">
        <f t="shared" si="6"/>
        <v>50036</v>
      </c>
      <c r="G38" s="424">
        <f t="shared" si="6"/>
        <v>26756451</v>
      </c>
      <c r="H38" s="424">
        <f t="shared" si="6"/>
        <v>35898</v>
      </c>
      <c r="I38" s="424">
        <f t="shared" si="6"/>
        <v>18239616</v>
      </c>
      <c r="J38" s="425">
        <f t="shared" si="6"/>
        <v>42641</v>
      </c>
      <c r="K38" s="426">
        <f>SUM(K39:K66)</f>
        <v>26690377</v>
      </c>
      <c r="L38" s="424">
        <f t="shared" si="6"/>
        <v>48143</v>
      </c>
      <c r="M38" s="424">
        <f t="shared" si="6"/>
        <v>30331535</v>
      </c>
      <c r="N38" s="424">
        <f t="shared" si="6"/>
        <v>41659</v>
      </c>
      <c r="O38" s="424">
        <f t="shared" si="6"/>
        <v>32356018</v>
      </c>
      <c r="P38" s="424">
        <f t="shared" si="6"/>
        <v>67372</v>
      </c>
      <c r="Q38" s="424">
        <f t="shared" si="6"/>
        <v>44304841</v>
      </c>
      <c r="R38" s="424">
        <f t="shared" si="6"/>
        <v>44242</v>
      </c>
      <c r="S38" s="424">
        <f t="shared" si="6"/>
        <v>30263800</v>
      </c>
      <c r="T38" s="424">
        <f t="shared" si="6"/>
        <v>58319</v>
      </c>
      <c r="U38" s="424">
        <f t="shared" si="6"/>
        <v>35452809</v>
      </c>
      <c r="V38" s="424">
        <f>SUM(V39:V66)</f>
        <v>49253</v>
      </c>
      <c r="W38" s="424">
        <f>SUM(W39:W66)</f>
        <v>28348880</v>
      </c>
      <c r="X38" s="424">
        <f t="shared" si="6"/>
        <v>58138</v>
      </c>
      <c r="Y38" s="424">
        <f t="shared" si="6"/>
        <v>33913506</v>
      </c>
      <c r="Z38" s="424">
        <f t="shared" ref="Z38:Z66" si="7">SUM(B38,D38,F38,H38,J38,L38,N38,P38,R38,T38,V38,X38)</f>
        <v>625241</v>
      </c>
      <c r="AA38" s="424">
        <f t="shared" ref="AA38:AA66" si="8">SUM(C38,E38,G38,I38,K38,M38,O38,Q38,S38,U38,W38,Y38)</f>
        <v>364766817</v>
      </c>
    </row>
    <row r="39" spans="1:27">
      <c r="A39" s="449" t="s">
        <v>157</v>
      </c>
      <c r="B39" s="413">
        <v>9455</v>
      </c>
      <c r="C39" s="413">
        <v>8098805</v>
      </c>
      <c r="D39" s="413">
        <v>5899</v>
      </c>
      <c r="E39" s="413">
        <v>4489009</v>
      </c>
      <c r="F39" s="413">
        <v>11184</v>
      </c>
      <c r="G39" s="413">
        <v>11101791</v>
      </c>
      <c r="H39" s="413">
        <v>7475</v>
      </c>
      <c r="I39" s="413">
        <v>8873601</v>
      </c>
      <c r="J39" s="414">
        <v>12869</v>
      </c>
      <c r="K39" s="415">
        <v>13913534</v>
      </c>
      <c r="L39" s="413">
        <v>14682</v>
      </c>
      <c r="M39" s="413">
        <v>14178313</v>
      </c>
      <c r="N39" s="413">
        <v>14082</v>
      </c>
      <c r="O39" s="413">
        <v>14946790</v>
      </c>
      <c r="P39" s="413">
        <v>17288</v>
      </c>
      <c r="Q39" s="413">
        <v>20932370</v>
      </c>
      <c r="R39" s="413">
        <v>13841</v>
      </c>
      <c r="S39" s="413">
        <v>14623372</v>
      </c>
      <c r="T39" s="413">
        <v>14781</v>
      </c>
      <c r="U39" s="413">
        <v>14961515</v>
      </c>
      <c r="V39" s="413">
        <f>_xlfn.IFNA(VLOOKUP(A39,[3]進出口值表查詢結果!$C$11:$F$68,4,0),-[4]整車!$B$22)</f>
        <v>14525</v>
      </c>
      <c r="W39" s="413">
        <f>_xlfn.IFNA(VLOOKUP(A39,[3]進出口值表查詢結果!$C$11:$F$68,3,0),-[4]整車!$B$22)</f>
        <v>13590883</v>
      </c>
      <c r="X39" s="413">
        <f>_xlfn.IFNA(VLOOKUP(A39,[5]進出口值表查詢結果!$C$11:$F$68,4,0),-[4]整車!$B$22)</f>
        <v>15792</v>
      </c>
      <c r="Y39" s="413">
        <f>_xlfn.IFNA(VLOOKUP(A39,[5]進出口值表查詢結果!$C$11:$F$68,3,0),-[4]整車!$B$22)</f>
        <v>15201155</v>
      </c>
      <c r="Z39" s="407">
        <f t="shared" si="7"/>
        <v>151873</v>
      </c>
      <c r="AA39" s="407">
        <f t="shared" si="8"/>
        <v>154911138</v>
      </c>
    </row>
    <row r="40" spans="1:27">
      <c r="A40" s="449" t="s">
        <v>160</v>
      </c>
      <c r="B40" s="413">
        <v>6408</v>
      </c>
      <c r="C40" s="413">
        <v>3502900</v>
      </c>
      <c r="D40" s="413">
        <v>12057</v>
      </c>
      <c r="E40" s="413">
        <v>3128315</v>
      </c>
      <c r="F40" s="413">
        <v>8271</v>
      </c>
      <c r="G40" s="413">
        <v>2563956</v>
      </c>
      <c r="H40" s="413">
        <v>4864</v>
      </c>
      <c r="I40" s="413">
        <v>1321695</v>
      </c>
      <c r="J40" s="414">
        <v>2458</v>
      </c>
      <c r="K40" s="415">
        <v>672571</v>
      </c>
      <c r="L40" s="413">
        <v>2556</v>
      </c>
      <c r="M40" s="413">
        <v>1168366</v>
      </c>
      <c r="N40" s="413">
        <v>4316</v>
      </c>
      <c r="O40" s="413">
        <v>1533943</v>
      </c>
      <c r="P40" s="413">
        <v>4965</v>
      </c>
      <c r="Q40" s="413">
        <v>2104096</v>
      </c>
      <c r="R40" s="413">
        <v>3366</v>
      </c>
      <c r="S40" s="413">
        <v>1847351</v>
      </c>
      <c r="T40" s="413">
        <v>3654</v>
      </c>
      <c r="U40" s="413">
        <v>1456075</v>
      </c>
      <c r="V40" s="413">
        <f>_xlfn.IFNA(VLOOKUP(A40,[3]進出口值表查詢結果!$C$11:$F$68,4,0),-[4]整車!$B$22)</f>
        <v>5797</v>
      </c>
      <c r="W40" s="413">
        <f>_xlfn.IFNA(VLOOKUP(A40,[3]進出口值表查詢結果!$C$11:$F$68,3,0),-[4]整車!$B$22)</f>
        <v>1411961</v>
      </c>
      <c r="X40" s="413">
        <f>_xlfn.IFNA(VLOOKUP(A40,[5]進出口值表查詢結果!$C$11:$F$68,4,0),-[4]整車!$B$22)</f>
        <v>5920</v>
      </c>
      <c r="Y40" s="413">
        <f>_xlfn.IFNA(VLOOKUP(A40,[5]進出口值表查詢結果!$C$11:$F$68,3,0),-[4]整車!$B$22)</f>
        <v>1991602</v>
      </c>
      <c r="Z40" s="407">
        <f t="shared" si="7"/>
        <v>64632</v>
      </c>
      <c r="AA40" s="407">
        <f t="shared" si="8"/>
        <v>22702831</v>
      </c>
    </row>
    <row r="41" spans="1:27">
      <c r="A41" s="449" t="s">
        <v>174</v>
      </c>
      <c r="B41" s="413">
        <v>1316</v>
      </c>
      <c r="C41" s="413">
        <v>717427</v>
      </c>
      <c r="D41" s="413">
        <v>911</v>
      </c>
      <c r="E41" s="413">
        <v>709326</v>
      </c>
      <c r="F41" s="413">
        <v>1777</v>
      </c>
      <c r="G41" s="413">
        <v>1217722</v>
      </c>
      <c r="H41" s="413">
        <v>547</v>
      </c>
      <c r="I41" s="413">
        <v>1236471</v>
      </c>
      <c r="J41" s="414">
        <v>504</v>
      </c>
      <c r="K41" s="415">
        <v>997393</v>
      </c>
      <c r="L41" s="413">
        <v>1828</v>
      </c>
      <c r="M41" s="413">
        <v>1782072</v>
      </c>
      <c r="N41" s="413">
        <v>858</v>
      </c>
      <c r="O41" s="413">
        <v>1473021</v>
      </c>
      <c r="P41" s="413">
        <v>1248</v>
      </c>
      <c r="Q41" s="413">
        <v>1567705</v>
      </c>
      <c r="R41" s="413">
        <v>1489</v>
      </c>
      <c r="S41" s="413">
        <v>1445890</v>
      </c>
      <c r="T41" s="413">
        <v>1319</v>
      </c>
      <c r="U41" s="413">
        <v>1108193</v>
      </c>
      <c r="V41" s="413">
        <f>_xlfn.IFNA(VLOOKUP(A41,[3]進出口值表查詢結果!$C$11:$F$68,4,0),-[4]整車!$B$22)</f>
        <v>1769</v>
      </c>
      <c r="W41" s="413">
        <f>_xlfn.IFNA(VLOOKUP(A41,[3]進出口值表查詢結果!$C$11:$F$68,3,0),-[4]整車!$B$22)</f>
        <v>798510</v>
      </c>
      <c r="X41" s="413">
        <f>_xlfn.IFNA(VLOOKUP(A41,[5]進出口值表查詢結果!$C$11:$F$68,4,0),-[4]整車!$B$22)</f>
        <v>2665</v>
      </c>
      <c r="Y41" s="413">
        <f>_xlfn.IFNA(VLOOKUP(A41,[5]進出口值表查詢結果!$C$11:$F$68,3,0),-[4]整車!$B$22)</f>
        <v>1213680</v>
      </c>
      <c r="Z41" s="407">
        <f t="shared" si="7"/>
        <v>16231</v>
      </c>
      <c r="AA41" s="407">
        <f t="shared" si="8"/>
        <v>14267410</v>
      </c>
    </row>
    <row r="42" spans="1:27">
      <c r="A42" s="449" t="s">
        <v>158</v>
      </c>
      <c r="B42" s="413">
        <v>17706</v>
      </c>
      <c r="C42" s="413">
        <v>5035525</v>
      </c>
      <c r="D42" s="413">
        <v>6240</v>
      </c>
      <c r="E42" s="413">
        <v>3784977</v>
      </c>
      <c r="F42" s="413">
        <v>9566</v>
      </c>
      <c r="G42" s="413">
        <v>2935879</v>
      </c>
      <c r="H42" s="413">
        <v>6503</v>
      </c>
      <c r="I42" s="413">
        <v>3044684</v>
      </c>
      <c r="J42" s="414">
        <v>5112</v>
      </c>
      <c r="K42" s="415">
        <v>3224993</v>
      </c>
      <c r="L42" s="413">
        <v>13471</v>
      </c>
      <c r="M42" s="413">
        <v>4417423</v>
      </c>
      <c r="N42" s="413">
        <v>11009</v>
      </c>
      <c r="O42" s="413">
        <v>4729278</v>
      </c>
      <c r="P42" s="413">
        <v>33998</v>
      </c>
      <c r="Q42" s="413">
        <v>11641642</v>
      </c>
      <c r="R42" s="413">
        <v>15962</v>
      </c>
      <c r="S42" s="413">
        <v>6253943</v>
      </c>
      <c r="T42" s="413">
        <v>18510</v>
      </c>
      <c r="U42" s="413">
        <v>8270668</v>
      </c>
      <c r="V42" s="413">
        <f>_xlfn.IFNA(VLOOKUP(A42,[3]進出口值表查詢結果!$C$11:$F$68,4,0),-[4]整車!$B$22)</f>
        <v>12194</v>
      </c>
      <c r="W42" s="413">
        <f>_xlfn.IFNA(VLOOKUP(A42,[3]進出口值表查詢結果!$C$11:$F$68,3,0),-[4]整車!$B$22)</f>
        <v>5955460</v>
      </c>
      <c r="X42" s="413">
        <f>_xlfn.IFNA(VLOOKUP(A42,[5]進出口值表查詢結果!$C$11:$F$68,4,0),-[4]整車!$B$22)</f>
        <v>14217</v>
      </c>
      <c r="Y42" s="413">
        <f>_xlfn.IFNA(VLOOKUP(A42,[5]進出口值表查詢結果!$C$11:$F$68,3,0),-[4]整車!$B$22)</f>
        <v>5372669</v>
      </c>
      <c r="Z42" s="407">
        <f t="shared" si="7"/>
        <v>164488</v>
      </c>
      <c r="AA42" s="407">
        <f t="shared" si="8"/>
        <v>64667141</v>
      </c>
    </row>
    <row r="43" spans="1:27">
      <c r="A43" s="449" t="s">
        <v>166</v>
      </c>
      <c r="B43" s="413">
        <v>1251</v>
      </c>
      <c r="C43" s="413">
        <v>1143718</v>
      </c>
      <c r="D43" s="413">
        <v>1214</v>
      </c>
      <c r="E43" s="413">
        <v>1514756</v>
      </c>
      <c r="F43" s="413">
        <v>1275</v>
      </c>
      <c r="G43" s="413">
        <v>1300366</v>
      </c>
      <c r="H43" s="413">
        <v>85</v>
      </c>
      <c r="I43" s="413">
        <v>106062</v>
      </c>
      <c r="J43" s="414">
        <v>889</v>
      </c>
      <c r="K43" s="415">
        <v>1214599</v>
      </c>
      <c r="L43" s="413">
        <v>1601</v>
      </c>
      <c r="M43" s="413">
        <v>1668970</v>
      </c>
      <c r="N43" s="413">
        <v>925</v>
      </c>
      <c r="O43" s="413">
        <v>1104904</v>
      </c>
      <c r="P43" s="413">
        <v>519</v>
      </c>
      <c r="Q43" s="413">
        <v>835276</v>
      </c>
      <c r="R43" s="413">
        <v>1150</v>
      </c>
      <c r="S43" s="413">
        <v>1209512</v>
      </c>
      <c r="T43" s="413">
        <v>2343</v>
      </c>
      <c r="U43" s="413">
        <v>2166095</v>
      </c>
      <c r="V43" s="413">
        <f>_xlfn.IFNA(VLOOKUP(A43,[3]進出口值表查詢結果!$C$11:$F$68,4,0),-[4]整車!$B$22)</f>
        <v>1094</v>
      </c>
      <c r="W43" s="413">
        <f>_xlfn.IFNA(VLOOKUP(A43,[3]進出口值表查詢結果!$C$11:$F$68,3,0),-[4]整車!$B$22)</f>
        <v>1193068</v>
      </c>
      <c r="X43" s="413">
        <f>_xlfn.IFNA(VLOOKUP(A43,[5]進出口值表查詢結果!$C$11:$F$68,4,0),-[4]整車!$B$22)</f>
        <v>680</v>
      </c>
      <c r="Y43" s="413">
        <f>_xlfn.IFNA(VLOOKUP(A43,[5]進出口值表查詢結果!$C$11:$F$68,3,0),-[4]整車!$B$22)</f>
        <v>895521</v>
      </c>
      <c r="Z43" s="407">
        <f t="shared" si="7"/>
        <v>13026</v>
      </c>
      <c r="AA43" s="407">
        <f t="shared" si="8"/>
        <v>14352847</v>
      </c>
    </row>
    <row r="44" spans="1:27">
      <c r="A44" s="412" t="s">
        <v>247</v>
      </c>
      <c r="B44" s="413">
        <v>1462</v>
      </c>
      <c r="C44" s="413">
        <v>1150648</v>
      </c>
      <c r="D44" s="413">
        <v>1170</v>
      </c>
      <c r="E44" s="413">
        <v>1065890</v>
      </c>
      <c r="F44" s="413">
        <v>328</v>
      </c>
      <c r="G44" s="413">
        <v>441720</v>
      </c>
      <c r="H44" s="413">
        <v>198</v>
      </c>
      <c r="I44" s="413">
        <v>604272</v>
      </c>
      <c r="J44" s="414">
        <v>824</v>
      </c>
      <c r="K44" s="415">
        <v>1298798</v>
      </c>
      <c r="L44" s="413">
        <v>1079</v>
      </c>
      <c r="M44" s="413">
        <v>1208211</v>
      </c>
      <c r="N44" s="413">
        <v>807</v>
      </c>
      <c r="O44" s="413">
        <v>1002195</v>
      </c>
      <c r="P44" s="413">
        <v>796</v>
      </c>
      <c r="Q44" s="413">
        <v>1264047</v>
      </c>
      <c r="R44" s="413">
        <v>605</v>
      </c>
      <c r="S44" s="413">
        <v>956624</v>
      </c>
      <c r="T44" s="413">
        <v>1343</v>
      </c>
      <c r="U44" s="413">
        <v>1450743</v>
      </c>
      <c r="V44" s="413">
        <f>_xlfn.IFNA(VLOOKUP(A44,[3]進出口值表查詢結果!$C$11:$F$68,4,0),-[4]整車!$B$22)</f>
        <v>1030</v>
      </c>
      <c r="W44" s="413">
        <f>_xlfn.IFNA(VLOOKUP(A44,[3]進出口值表查詢結果!$C$11:$F$68,3,0),-[4]整車!$B$22)</f>
        <v>1221871</v>
      </c>
      <c r="X44" s="413">
        <f>_xlfn.IFNA(VLOOKUP(A44,[5]進出口值表查詢結果!$C$11:$F$68,4,0),-[4]整車!$B$22)</f>
        <v>1914</v>
      </c>
      <c r="Y44" s="413">
        <f>_xlfn.IFNA(VLOOKUP(A44,[5]進出口值表查詢結果!$C$11:$F$68,3,0),-[4]整車!$B$22)</f>
        <v>2462982</v>
      </c>
      <c r="Z44" s="407">
        <f t="shared" si="7"/>
        <v>11556</v>
      </c>
      <c r="AA44" s="407">
        <f t="shared" si="8"/>
        <v>14128001</v>
      </c>
    </row>
    <row r="45" spans="1:27">
      <c r="A45" s="449" t="s">
        <v>184</v>
      </c>
      <c r="B45" s="413">
        <v>8259</v>
      </c>
      <c r="C45" s="413">
        <v>7055116</v>
      </c>
      <c r="D45" s="413">
        <v>7827</v>
      </c>
      <c r="E45" s="413">
        <v>8311625</v>
      </c>
      <c r="F45" s="413">
        <v>5451</v>
      </c>
      <c r="G45" s="413">
        <v>4815102</v>
      </c>
      <c r="H45" s="413">
        <v>1437</v>
      </c>
      <c r="I45" s="413">
        <v>897615</v>
      </c>
      <c r="J45" s="414">
        <v>6587</v>
      </c>
      <c r="K45" s="415">
        <v>3549849</v>
      </c>
      <c r="L45" s="413">
        <v>5956</v>
      </c>
      <c r="M45" s="413">
        <v>4372019</v>
      </c>
      <c r="N45" s="413">
        <v>6178</v>
      </c>
      <c r="O45" s="413">
        <v>5869574</v>
      </c>
      <c r="P45" s="413">
        <v>5911</v>
      </c>
      <c r="Q45" s="413">
        <v>4858793</v>
      </c>
      <c r="R45" s="413">
        <v>4741</v>
      </c>
      <c r="S45" s="413">
        <v>2750680</v>
      </c>
      <c r="T45" s="413">
        <v>8165</v>
      </c>
      <c r="U45" s="413">
        <v>3665783</v>
      </c>
      <c r="V45" s="413">
        <f>_xlfn.IFNA(VLOOKUP(A45,[3]進出口值表查詢結果!$C$11:$F$68,4,0),-[4]整車!$B$22)</f>
        <v>4599</v>
      </c>
      <c r="W45" s="413">
        <f>_xlfn.IFNA(VLOOKUP(A45,[3]進出口值表查詢結果!$C$11:$F$68,3,0),-[4]整車!$B$22)</f>
        <v>2448875</v>
      </c>
      <c r="X45" s="413">
        <f>_xlfn.IFNA(VLOOKUP(A45,[5]進出口值表查詢結果!$C$11:$F$68,4,0),-[4]整車!$B$22)</f>
        <v>6519</v>
      </c>
      <c r="Y45" s="413">
        <f>_xlfn.IFNA(VLOOKUP(A45,[5]進出口值表查詢結果!$C$11:$F$68,3,0),-[4]整車!$B$22)</f>
        <v>4708366</v>
      </c>
      <c r="Z45" s="407">
        <f t="shared" si="7"/>
        <v>71630</v>
      </c>
      <c r="AA45" s="407">
        <f t="shared" si="8"/>
        <v>53303397</v>
      </c>
    </row>
    <row r="46" spans="1:27">
      <c r="A46" s="449" t="s">
        <v>161</v>
      </c>
      <c r="B46" s="413">
        <v>2698</v>
      </c>
      <c r="C46" s="413">
        <v>337022</v>
      </c>
      <c r="D46" s="413">
        <v>4227</v>
      </c>
      <c r="E46" s="413">
        <v>590807</v>
      </c>
      <c r="F46" s="413">
        <v>1385</v>
      </c>
      <c r="G46" s="413">
        <v>364355</v>
      </c>
      <c r="H46" s="413">
        <v>2867</v>
      </c>
      <c r="I46" s="413">
        <v>160451</v>
      </c>
      <c r="J46" s="414">
        <v>493</v>
      </c>
      <c r="K46" s="415">
        <v>68059</v>
      </c>
      <c r="L46" s="413">
        <v>3511</v>
      </c>
      <c r="M46" s="413">
        <v>345274</v>
      </c>
      <c r="N46" s="427">
        <v>616</v>
      </c>
      <c r="O46" s="427">
        <v>145435</v>
      </c>
      <c r="P46" s="413">
        <v>252</v>
      </c>
      <c r="Q46" s="413">
        <v>50525</v>
      </c>
      <c r="R46" s="413">
        <v>1078</v>
      </c>
      <c r="S46" s="413">
        <v>229756</v>
      </c>
      <c r="T46" s="413">
        <v>2600</v>
      </c>
      <c r="U46" s="413">
        <v>425508</v>
      </c>
      <c r="V46" s="413">
        <f>_xlfn.IFNA(VLOOKUP(A46,[3]進出口值表查詢結果!$C$11:$F$68,4,0),-[4]整車!$B$22)</f>
        <v>2376</v>
      </c>
      <c r="W46" s="413">
        <f>_xlfn.IFNA(VLOOKUP(A46,[3]進出口值表查詢結果!$C$11:$F$68,3,0),-[4]整車!$B$22)</f>
        <v>357540</v>
      </c>
      <c r="X46" s="413">
        <f>_xlfn.IFNA(VLOOKUP(A46,[5]進出口值表查詢結果!$C$11:$F$68,4,0),-[4]整車!$B$22)</f>
        <v>3399</v>
      </c>
      <c r="Y46" s="413">
        <f>_xlfn.IFNA(VLOOKUP(A46,[5]進出口值表查詢結果!$C$11:$F$68,3,0),-[4]整車!$B$22)</f>
        <v>252100</v>
      </c>
      <c r="Z46" s="407">
        <f t="shared" si="7"/>
        <v>25502</v>
      </c>
      <c r="AA46" s="407">
        <f t="shared" si="8"/>
        <v>3326832</v>
      </c>
    </row>
    <row r="47" spans="1:27">
      <c r="A47" s="449" t="s">
        <v>187</v>
      </c>
      <c r="B47" s="413">
        <v>0</v>
      </c>
      <c r="C47" s="413">
        <v>0</v>
      </c>
      <c r="D47" s="413"/>
      <c r="E47" s="413"/>
      <c r="F47" s="413">
        <v>0</v>
      </c>
      <c r="G47" s="413"/>
      <c r="H47" s="413">
        <v>0</v>
      </c>
      <c r="I47" s="413">
        <v>0</v>
      </c>
      <c r="J47" s="414">
        <v>17</v>
      </c>
      <c r="K47" s="415">
        <v>30939</v>
      </c>
      <c r="L47" s="413">
        <v>0</v>
      </c>
      <c r="M47" s="413">
        <v>0</v>
      </c>
      <c r="N47" s="413">
        <v>0</v>
      </c>
      <c r="O47" s="413">
        <v>0</v>
      </c>
      <c r="P47" s="413">
        <v>0</v>
      </c>
      <c r="Q47" s="413">
        <v>0</v>
      </c>
      <c r="R47" s="413">
        <v>0</v>
      </c>
      <c r="S47" s="413">
        <v>0</v>
      </c>
      <c r="T47" s="413"/>
      <c r="U47" s="413"/>
      <c r="V47" s="413">
        <f>_xlfn.IFNA(VLOOKUP(A47,[3]進出口值表查詢結果!$C$11:$F$68,4,0),-[4]整車!$B$22)</f>
        <v>13</v>
      </c>
      <c r="W47" s="413">
        <f>_xlfn.IFNA(VLOOKUP(A47,[3]進出口值表查詢結果!$C$11:$F$68,3,0),-[4]整車!$B$22)</f>
        <v>30641</v>
      </c>
      <c r="X47" s="413">
        <f>_xlfn.IFNA(VLOOKUP(A47,[5]進出口值表查詢結果!$C$11:$F$68,4,0),-[4]整車!$B$22)</f>
        <v>0</v>
      </c>
      <c r="Y47" s="413">
        <f>_xlfn.IFNA(VLOOKUP(A47,[5]進出口值表查詢結果!$C$11:$F$68,3,0),-[4]整車!$B$22)</f>
        <v>0</v>
      </c>
      <c r="Z47" s="407">
        <f t="shared" si="7"/>
        <v>30</v>
      </c>
      <c r="AA47" s="407">
        <f t="shared" si="8"/>
        <v>61580</v>
      </c>
    </row>
    <row r="48" spans="1:27">
      <c r="A48" s="449" t="s">
        <v>250</v>
      </c>
      <c r="B48" s="413">
        <v>1496</v>
      </c>
      <c r="C48" s="413">
        <v>75974</v>
      </c>
      <c r="D48" s="413">
        <v>887</v>
      </c>
      <c r="E48" s="413">
        <v>76782</v>
      </c>
      <c r="F48" s="413">
        <v>282</v>
      </c>
      <c r="G48" s="413">
        <v>34683</v>
      </c>
      <c r="H48" s="413">
        <v>243</v>
      </c>
      <c r="I48" s="413">
        <v>59854</v>
      </c>
      <c r="J48" s="414">
        <v>2854</v>
      </c>
      <c r="K48" s="415">
        <v>111627</v>
      </c>
      <c r="L48" s="413">
        <v>292</v>
      </c>
      <c r="M48" s="413">
        <v>40717</v>
      </c>
      <c r="N48" s="427">
        <v>50</v>
      </c>
      <c r="O48" s="427">
        <v>7437</v>
      </c>
      <c r="P48" s="413">
        <v>0</v>
      </c>
      <c r="Q48" s="413">
        <v>0</v>
      </c>
      <c r="R48" s="413">
        <v>63</v>
      </c>
      <c r="S48" s="413">
        <v>7337</v>
      </c>
      <c r="T48" s="413">
        <v>110</v>
      </c>
      <c r="U48" s="413">
        <v>19242</v>
      </c>
      <c r="V48" s="413">
        <f>_xlfn.IFNA(VLOOKUP(A48,[3]進出口值表查詢結果!$C$11:$F$68,4,0),-[4]整車!$B$22)</f>
        <v>2810</v>
      </c>
      <c r="W48" s="413">
        <f>_xlfn.IFNA(VLOOKUP(A48,[3]進出口值表查詢結果!$C$11:$F$68,3,0),-[4]整車!$B$22)</f>
        <v>115217</v>
      </c>
      <c r="X48" s="413">
        <f>_xlfn.IFNA(VLOOKUP(A48,[5]進出口值表查詢結果!$C$11:$F$68,4,0),-[4]整車!$B$22)</f>
        <v>233</v>
      </c>
      <c r="Y48" s="413">
        <f>_xlfn.IFNA(VLOOKUP(A48,[5]進出口值表查詢結果!$C$11:$F$68,3,0),-[4]整車!$B$22)</f>
        <v>49405</v>
      </c>
      <c r="Z48" s="407">
        <f t="shared" si="7"/>
        <v>9320</v>
      </c>
      <c r="AA48" s="407">
        <f t="shared" si="8"/>
        <v>598275</v>
      </c>
    </row>
    <row r="49" spans="1:27">
      <c r="A49" s="449" t="s">
        <v>190</v>
      </c>
      <c r="B49" s="413">
        <v>0</v>
      </c>
      <c r="C49" s="413">
        <v>0</v>
      </c>
      <c r="D49" s="413"/>
      <c r="E49" s="413"/>
      <c r="F49" s="413">
        <v>0</v>
      </c>
      <c r="G49" s="413"/>
      <c r="H49" s="413">
        <v>0</v>
      </c>
      <c r="I49" s="413">
        <v>0</v>
      </c>
      <c r="J49" s="414" t="s">
        <v>57</v>
      </c>
      <c r="K49" s="417" t="s">
        <v>57</v>
      </c>
      <c r="L49" s="413">
        <v>0</v>
      </c>
      <c r="M49" s="413">
        <v>0</v>
      </c>
      <c r="N49" s="413">
        <v>0</v>
      </c>
      <c r="O49" s="413">
        <v>0</v>
      </c>
      <c r="P49" s="413">
        <v>1103</v>
      </c>
      <c r="Q49" s="413">
        <v>149812</v>
      </c>
      <c r="R49" s="413">
        <v>0</v>
      </c>
      <c r="S49" s="413">
        <v>0</v>
      </c>
      <c r="T49" s="413">
        <v>1020</v>
      </c>
      <c r="U49" s="413">
        <v>82719</v>
      </c>
      <c r="V49" s="413">
        <f>_xlfn.IFNA(VLOOKUP(A49,[3]進出口值表查詢結果!$C$11:$F$68,4,0),-[4]整車!$B$22)</f>
        <v>250</v>
      </c>
      <c r="W49" s="413">
        <f>_xlfn.IFNA(VLOOKUP(A49,[3]進出口值表查詢結果!$C$11:$F$68,3,0),-[4]整車!$B$22)</f>
        <v>40485</v>
      </c>
      <c r="X49" s="413">
        <f>_xlfn.IFNA(VLOOKUP(A49,[5]進出口值表查詢結果!$C$11:$F$68,4,0),-[4]整車!$B$22)</f>
        <v>0</v>
      </c>
      <c r="Y49" s="413">
        <f>_xlfn.IFNA(VLOOKUP(A49,[5]進出口值表查詢結果!$C$11:$F$68,3,0),-[4]整車!$B$22)</f>
        <v>0</v>
      </c>
      <c r="Z49" s="407">
        <f t="shared" si="7"/>
        <v>2373</v>
      </c>
      <c r="AA49" s="407">
        <f t="shared" si="8"/>
        <v>273016</v>
      </c>
    </row>
    <row r="50" spans="1:27">
      <c r="A50" s="449" t="s">
        <v>251</v>
      </c>
      <c r="B50" s="413">
        <v>0</v>
      </c>
      <c r="C50" s="413">
        <v>0</v>
      </c>
      <c r="D50" s="413"/>
      <c r="E50" s="413"/>
      <c r="F50" s="413">
        <v>41</v>
      </c>
      <c r="G50" s="413">
        <v>46233</v>
      </c>
      <c r="H50" s="413">
        <v>0</v>
      </c>
      <c r="I50" s="413">
        <v>0</v>
      </c>
      <c r="J50" s="414">
        <v>78</v>
      </c>
      <c r="K50" s="417">
        <v>136719</v>
      </c>
      <c r="L50" s="413">
        <v>73</v>
      </c>
      <c r="M50" s="413">
        <v>111226</v>
      </c>
      <c r="N50" s="427">
        <v>42</v>
      </c>
      <c r="O50" s="427">
        <v>82995</v>
      </c>
      <c r="P50" s="413">
        <v>76</v>
      </c>
      <c r="Q50" s="413">
        <v>189800</v>
      </c>
      <c r="R50" s="413">
        <v>3</v>
      </c>
      <c r="S50" s="413">
        <v>18037</v>
      </c>
      <c r="T50" s="413"/>
      <c r="U50" s="413"/>
      <c r="V50" s="413">
        <f>_xlfn.IFNA(VLOOKUP(A50,[3]進出口值表查詢結果!$C$11:$F$68,4,0),-[4]整車!$B$22)</f>
        <v>0</v>
      </c>
      <c r="W50" s="413">
        <f>_xlfn.IFNA(VLOOKUP(A50,[3]進出口值表查詢結果!$C$11:$F$68,3,0),-[4]整車!$B$22)</f>
        <v>0</v>
      </c>
      <c r="X50" s="413">
        <f>_xlfn.IFNA(VLOOKUP(A50,[5]進出口值表查詢結果!$C$11:$F$68,4,0),-[4]整車!$B$22)</f>
        <v>0</v>
      </c>
      <c r="Y50" s="413">
        <f>_xlfn.IFNA(VLOOKUP(A50,[5]進出口值表查詢結果!$C$11:$F$68,3,0),-[4]整車!$B$22)</f>
        <v>0</v>
      </c>
      <c r="Z50" s="407">
        <f t="shared" si="7"/>
        <v>313</v>
      </c>
      <c r="AA50" s="407">
        <f t="shared" si="8"/>
        <v>585010</v>
      </c>
    </row>
    <row r="51" spans="1:27">
      <c r="A51" s="449" t="s">
        <v>182</v>
      </c>
      <c r="B51" s="413">
        <v>201</v>
      </c>
      <c r="C51" s="413">
        <v>272709</v>
      </c>
      <c r="D51" s="413"/>
      <c r="E51" s="413"/>
      <c r="F51" s="413">
        <v>0</v>
      </c>
      <c r="G51" s="413"/>
      <c r="H51" s="413">
        <v>32</v>
      </c>
      <c r="I51" s="413">
        <v>33620</v>
      </c>
      <c r="J51" s="414">
        <v>101</v>
      </c>
      <c r="K51" s="417">
        <v>102138</v>
      </c>
      <c r="L51" s="413">
        <v>63</v>
      </c>
      <c r="M51" s="413">
        <v>100302</v>
      </c>
      <c r="N51" s="427">
        <v>9</v>
      </c>
      <c r="O51" s="427">
        <v>13320</v>
      </c>
      <c r="P51" s="413">
        <v>0</v>
      </c>
      <c r="Q51" s="413">
        <v>0</v>
      </c>
      <c r="R51" s="413">
        <v>78</v>
      </c>
      <c r="S51" s="413">
        <v>157745</v>
      </c>
      <c r="T51" s="413"/>
      <c r="U51" s="413"/>
      <c r="V51" s="413">
        <f>_xlfn.IFNA(VLOOKUP(A51,[3]進出口值表查詢結果!$C$11:$F$68,4,0),-[4]整車!$B$22)</f>
        <v>149</v>
      </c>
      <c r="W51" s="413">
        <f>_xlfn.IFNA(VLOOKUP(A51,[3]進出口值表查詢結果!$C$11:$F$68,3,0),-[4]整車!$B$22)</f>
        <v>101179</v>
      </c>
      <c r="X51" s="413">
        <f>_xlfn.IFNA(VLOOKUP(A51,[5]進出口值表查詢結果!$C$11:$F$68,4,0),-[4]整車!$B$22)</f>
        <v>177</v>
      </c>
      <c r="Y51" s="413">
        <f>_xlfn.IFNA(VLOOKUP(A51,[5]進出口值表查詢結果!$C$11:$F$68,3,0),-[4]整車!$B$22)</f>
        <v>208957</v>
      </c>
      <c r="Z51" s="407">
        <f t="shared" si="7"/>
        <v>810</v>
      </c>
      <c r="AA51" s="407">
        <f t="shared" si="8"/>
        <v>989970</v>
      </c>
    </row>
    <row r="52" spans="1:27">
      <c r="A52" s="449" t="s">
        <v>253</v>
      </c>
      <c r="B52" s="413">
        <v>14850</v>
      </c>
      <c r="C52" s="413">
        <v>1819825</v>
      </c>
      <c r="D52" s="413">
        <v>10994</v>
      </c>
      <c r="E52" s="413">
        <v>1791539</v>
      </c>
      <c r="F52" s="413">
        <v>5163</v>
      </c>
      <c r="G52" s="413">
        <v>792431</v>
      </c>
      <c r="H52" s="413">
        <v>8731</v>
      </c>
      <c r="I52" s="413">
        <v>1291818</v>
      </c>
      <c r="J52" s="414">
        <v>8229</v>
      </c>
      <c r="K52" s="415">
        <v>909253</v>
      </c>
      <c r="L52" s="413">
        <v>1974</v>
      </c>
      <c r="M52" s="413">
        <v>362668</v>
      </c>
      <c r="N52" s="427">
        <v>1030</v>
      </c>
      <c r="O52" s="427">
        <v>144084</v>
      </c>
      <c r="P52" s="413">
        <v>637</v>
      </c>
      <c r="Q52" s="413">
        <v>148186</v>
      </c>
      <c r="R52" s="413">
        <v>0</v>
      </c>
      <c r="S52" s="413">
        <v>0</v>
      </c>
      <c r="T52" s="413">
        <v>492</v>
      </c>
      <c r="U52" s="413">
        <v>276110</v>
      </c>
      <c r="V52" s="413">
        <f>_xlfn.IFNA(VLOOKUP(A52,[3]進出口值表查詢結果!$C$11:$F$68,4,0),-[4]整車!$B$22)</f>
        <v>373</v>
      </c>
      <c r="W52" s="413">
        <f>_xlfn.IFNA(VLOOKUP(A52,[3]進出口值表查詢結果!$C$11:$F$68,3,0),-[4]整車!$B$22)</f>
        <v>210711</v>
      </c>
      <c r="X52" s="413">
        <f>_xlfn.IFNA(VLOOKUP(A52,[5]進出口值表查詢結果!$C$11:$F$68,4,0),-[4]整車!$B$22)</f>
        <v>255</v>
      </c>
      <c r="Y52" s="413">
        <f>_xlfn.IFNA(VLOOKUP(A52,[5]進出口值表查詢結果!$C$11:$F$68,3,0),-[4]整車!$B$22)</f>
        <v>121134</v>
      </c>
      <c r="Z52" s="407">
        <f t="shared" si="7"/>
        <v>52728</v>
      </c>
      <c r="AA52" s="407">
        <f t="shared" si="8"/>
        <v>7867759</v>
      </c>
    </row>
    <row r="53" spans="1:27">
      <c r="A53" s="449" t="s">
        <v>165</v>
      </c>
      <c r="B53" s="413">
        <v>415</v>
      </c>
      <c r="C53" s="413">
        <v>138854</v>
      </c>
      <c r="D53" s="413">
        <v>347</v>
      </c>
      <c r="E53" s="413">
        <v>89541</v>
      </c>
      <c r="F53" s="413">
        <v>168</v>
      </c>
      <c r="G53" s="413">
        <v>63590</v>
      </c>
      <c r="H53" s="413">
        <v>91</v>
      </c>
      <c r="I53" s="413">
        <v>41073</v>
      </c>
      <c r="J53" s="414" t="s">
        <v>57</v>
      </c>
      <c r="K53" s="417" t="s">
        <v>57</v>
      </c>
      <c r="L53" s="413">
        <v>192</v>
      </c>
      <c r="M53" s="413">
        <v>38137</v>
      </c>
      <c r="N53" s="427">
        <v>565</v>
      </c>
      <c r="O53" s="427">
        <v>326470</v>
      </c>
      <c r="P53" s="413">
        <v>55</v>
      </c>
      <c r="Q53" s="413">
        <v>37445</v>
      </c>
      <c r="R53" s="413">
        <v>12</v>
      </c>
      <c r="S53" s="413">
        <v>17120</v>
      </c>
      <c r="T53" s="413">
        <v>3</v>
      </c>
      <c r="U53" s="413">
        <v>1549</v>
      </c>
      <c r="V53" s="413">
        <f>_xlfn.IFNA(VLOOKUP(A53,[3]進出口值表查詢結果!$C$11:$F$68,4,0),-[4]整車!$B$22)</f>
        <v>6</v>
      </c>
      <c r="W53" s="413">
        <f>_xlfn.IFNA(VLOOKUP(A53,[3]進出口值表查詢結果!$C$11:$F$68,3,0),-[4]整車!$B$22)</f>
        <v>1837</v>
      </c>
      <c r="X53" s="413">
        <f>_xlfn.IFNA(VLOOKUP(A53,[5]進出口值表查詢結果!$C$11:$F$68,4,0),-[4]整車!$B$22)</f>
        <v>0</v>
      </c>
      <c r="Y53" s="413">
        <f>_xlfn.IFNA(VLOOKUP(A53,[5]進出口值表查詢結果!$C$11:$F$68,3,0),-[4]整車!$B$22)</f>
        <v>0</v>
      </c>
      <c r="Z53" s="407">
        <f t="shared" si="7"/>
        <v>1854</v>
      </c>
      <c r="AA53" s="407">
        <f t="shared" si="8"/>
        <v>755616</v>
      </c>
    </row>
    <row r="54" spans="1:27">
      <c r="A54" s="449" t="s">
        <v>172</v>
      </c>
      <c r="B54" s="413">
        <v>2701</v>
      </c>
      <c r="C54" s="413">
        <v>1013330</v>
      </c>
      <c r="D54" s="413">
        <v>526</v>
      </c>
      <c r="E54" s="413">
        <v>174316</v>
      </c>
      <c r="F54" s="413">
        <v>871</v>
      </c>
      <c r="G54" s="413">
        <v>261235</v>
      </c>
      <c r="H54" s="413">
        <v>560</v>
      </c>
      <c r="I54" s="413">
        <v>111328</v>
      </c>
      <c r="J54" s="414">
        <v>122</v>
      </c>
      <c r="K54" s="417">
        <v>126429</v>
      </c>
      <c r="L54" s="413">
        <v>437</v>
      </c>
      <c r="M54" s="413">
        <v>340350</v>
      </c>
      <c r="N54" s="427">
        <v>995</v>
      </c>
      <c r="O54" s="427">
        <v>812171</v>
      </c>
      <c r="P54" s="413">
        <v>393</v>
      </c>
      <c r="Q54" s="413">
        <v>427618</v>
      </c>
      <c r="R54" s="413">
        <v>1762</v>
      </c>
      <c r="S54" s="413">
        <v>731590</v>
      </c>
      <c r="T54" s="413">
        <v>2871</v>
      </c>
      <c r="U54" s="413">
        <v>1163960</v>
      </c>
      <c r="V54" s="413">
        <f>_xlfn.IFNA(VLOOKUP(A54,[3]進出口值表查詢結果!$C$11:$F$68,4,0),-[4]整車!$B$22)</f>
        <v>2077</v>
      </c>
      <c r="W54" s="413">
        <f>_xlfn.IFNA(VLOOKUP(A54,[3]進出口值表查詢結果!$C$11:$F$68,3,0),-[4]整車!$B$22)</f>
        <v>695253</v>
      </c>
      <c r="X54" s="413">
        <f>_xlfn.IFNA(VLOOKUP(A54,[5]進出口值表查詢結果!$C$11:$F$68,4,0),-[4]整車!$B$22)</f>
        <v>2420</v>
      </c>
      <c r="Y54" s="413">
        <f>_xlfn.IFNA(VLOOKUP(A54,[5]進出口值表查詢結果!$C$11:$F$68,3,0),-[4]整車!$B$22)</f>
        <v>651295</v>
      </c>
      <c r="Z54" s="407">
        <f t="shared" si="7"/>
        <v>15735</v>
      </c>
      <c r="AA54" s="407">
        <f t="shared" si="8"/>
        <v>6508875</v>
      </c>
    </row>
    <row r="55" spans="1:27">
      <c r="A55" s="449" t="s">
        <v>162</v>
      </c>
      <c r="B55" s="413">
        <v>184</v>
      </c>
      <c r="C55" s="413">
        <v>65445</v>
      </c>
      <c r="D55" s="413">
        <v>384</v>
      </c>
      <c r="E55" s="413">
        <v>270420</v>
      </c>
      <c r="F55" s="413">
        <v>117</v>
      </c>
      <c r="G55" s="413">
        <v>125456</v>
      </c>
      <c r="H55" s="413">
        <v>125</v>
      </c>
      <c r="I55" s="413">
        <v>79330</v>
      </c>
      <c r="J55" s="414">
        <v>112</v>
      </c>
      <c r="K55" s="417">
        <v>53759</v>
      </c>
      <c r="L55" s="413">
        <v>191</v>
      </c>
      <c r="M55" s="413">
        <v>102112</v>
      </c>
      <c r="N55" s="427">
        <v>97</v>
      </c>
      <c r="O55" s="427">
        <v>124577</v>
      </c>
      <c r="P55" s="413">
        <v>96</v>
      </c>
      <c r="Q55" s="413">
        <v>91901</v>
      </c>
      <c r="R55" s="413">
        <v>1</v>
      </c>
      <c r="S55" s="413">
        <v>4144</v>
      </c>
      <c r="T55" s="413">
        <v>262</v>
      </c>
      <c r="U55" s="413">
        <v>270569</v>
      </c>
      <c r="V55" s="413">
        <f>_xlfn.IFNA(VLOOKUP(A55,[3]進出口值表查詢結果!$C$11:$F$68,4,0),-[4]整車!$B$22)</f>
        <v>124</v>
      </c>
      <c r="W55" s="413">
        <f>_xlfn.IFNA(VLOOKUP(A55,[3]進出口值表查詢結果!$C$11:$F$68,3,0),-[4]整車!$B$22)</f>
        <v>163570</v>
      </c>
      <c r="X55" s="413">
        <f>_xlfn.IFNA(VLOOKUP(A55,[5]進出口值表查詢結果!$C$11:$F$68,4,0),-[4]整車!$B$22)</f>
        <v>2983</v>
      </c>
      <c r="Y55" s="413">
        <f>_xlfn.IFNA(VLOOKUP(A55,[5]進出口值表查詢結果!$C$11:$F$68,3,0),-[4]整車!$B$22)</f>
        <v>600700</v>
      </c>
      <c r="Z55" s="407">
        <f t="shared" si="7"/>
        <v>4676</v>
      </c>
      <c r="AA55" s="407">
        <f t="shared" si="8"/>
        <v>1951983</v>
      </c>
    </row>
    <row r="56" spans="1:27">
      <c r="A56" s="449" t="s">
        <v>168</v>
      </c>
      <c r="B56" s="413">
        <v>1004</v>
      </c>
      <c r="C56" s="413">
        <v>51950</v>
      </c>
      <c r="D56" s="413">
        <v>726</v>
      </c>
      <c r="E56" s="413">
        <v>56062</v>
      </c>
      <c r="F56" s="413">
        <v>1874</v>
      </c>
      <c r="G56" s="413">
        <v>133920</v>
      </c>
      <c r="H56" s="413">
        <v>806</v>
      </c>
      <c r="I56" s="413">
        <v>75224</v>
      </c>
      <c r="J56" s="414" t="s">
        <v>57</v>
      </c>
      <c r="K56" s="417" t="s">
        <v>57</v>
      </c>
      <c r="L56" s="413">
        <v>52</v>
      </c>
      <c r="M56" s="413">
        <v>5931</v>
      </c>
      <c r="N56" s="413">
        <v>0</v>
      </c>
      <c r="O56" s="413">
        <v>0</v>
      </c>
      <c r="P56" s="413">
        <v>0</v>
      </c>
      <c r="Q56" s="413">
        <v>0</v>
      </c>
      <c r="R56" s="413">
        <v>0</v>
      </c>
      <c r="S56" s="413">
        <v>0</v>
      </c>
      <c r="T56" s="413">
        <v>70</v>
      </c>
      <c r="U56" s="413">
        <v>11429</v>
      </c>
      <c r="V56" s="413">
        <f>_xlfn.IFNA(VLOOKUP(A56,[3]進出口值表查詢結果!$C$11:$F$68,4,0),-[4]整車!$B$22)</f>
        <v>13</v>
      </c>
      <c r="W56" s="413">
        <f>_xlfn.IFNA(VLOOKUP(A56,[3]進出口值表查詢結果!$C$11:$F$68,3,0),-[4]整車!$B$22)</f>
        <v>1698</v>
      </c>
      <c r="X56" s="413">
        <f>_xlfn.IFNA(VLOOKUP(A56,[5]進出口值表查詢結果!$C$11:$F$68,4,0),-[4]整車!$B$22)</f>
        <v>55</v>
      </c>
      <c r="Y56" s="413">
        <f>_xlfn.IFNA(VLOOKUP(A56,[5]進出口值表查詢結果!$C$11:$F$68,3,0),-[4]整車!$B$22)</f>
        <v>5808</v>
      </c>
      <c r="Z56" s="407">
        <f t="shared" si="7"/>
        <v>4600</v>
      </c>
      <c r="AA56" s="407">
        <f t="shared" si="8"/>
        <v>342022</v>
      </c>
    </row>
    <row r="57" spans="1:27">
      <c r="A57" s="449" t="s">
        <v>259</v>
      </c>
      <c r="B57" s="413">
        <v>0</v>
      </c>
      <c r="C57" s="413">
        <v>0</v>
      </c>
      <c r="D57" s="413">
        <v>40</v>
      </c>
      <c r="E57" s="413">
        <v>6163</v>
      </c>
      <c r="F57" s="413">
        <v>0</v>
      </c>
      <c r="G57" s="413"/>
      <c r="H57" s="413">
        <v>0</v>
      </c>
      <c r="I57" s="413">
        <v>0</v>
      </c>
      <c r="J57" s="414" t="s">
        <v>57</v>
      </c>
      <c r="K57" s="417" t="s">
        <v>57</v>
      </c>
      <c r="L57" s="413">
        <v>0</v>
      </c>
      <c r="M57" s="413">
        <v>0</v>
      </c>
      <c r="N57" s="413">
        <v>0</v>
      </c>
      <c r="O57" s="413">
        <v>0</v>
      </c>
      <c r="P57" s="413">
        <v>0</v>
      </c>
      <c r="Q57" s="413">
        <v>0</v>
      </c>
      <c r="R57" s="413">
        <v>0</v>
      </c>
      <c r="S57" s="413">
        <v>0</v>
      </c>
      <c r="T57" s="413"/>
      <c r="U57" s="413"/>
      <c r="V57" s="413">
        <f>_xlfn.IFNA(VLOOKUP(A57,[3]進出口值表查詢結果!$C$11:$F$68,4,0),-[4]整車!$B$22)</f>
        <v>0</v>
      </c>
      <c r="W57" s="413">
        <f>_xlfn.IFNA(VLOOKUP(A57,[3]進出口值表查詢結果!$C$11:$F$68,3,0),-[4]整車!$B$22)</f>
        <v>0</v>
      </c>
      <c r="X57" s="413">
        <f>_xlfn.IFNA(VLOOKUP(A57,[5]進出口值表查詢結果!$C$11:$F$68,4,0),-[4]整車!$B$22)</f>
        <v>0</v>
      </c>
      <c r="Y57" s="413">
        <f>_xlfn.IFNA(VLOOKUP(A57,[5]進出口值表查詢結果!$C$11:$F$68,3,0),-[4]整車!$B$22)</f>
        <v>0</v>
      </c>
      <c r="Z57" s="407">
        <f t="shared" si="7"/>
        <v>40</v>
      </c>
      <c r="AA57" s="407">
        <f t="shared" si="8"/>
        <v>6163</v>
      </c>
    </row>
    <row r="58" spans="1:27">
      <c r="A58" s="452" t="s">
        <v>261</v>
      </c>
      <c r="B58" s="413">
        <v>696</v>
      </c>
      <c r="C58" s="413">
        <v>253916</v>
      </c>
      <c r="D58" s="413">
        <v>1323</v>
      </c>
      <c r="E58" s="413">
        <v>281646</v>
      </c>
      <c r="F58" s="413">
        <v>898</v>
      </c>
      <c r="G58" s="413">
        <v>263987</v>
      </c>
      <c r="H58" s="413">
        <v>276</v>
      </c>
      <c r="I58" s="413">
        <v>95595</v>
      </c>
      <c r="J58" s="414">
        <v>767</v>
      </c>
      <c r="K58" s="417">
        <v>158803</v>
      </c>
      <c r="L58" s="413">
        <v>0</v>
      </c>
      <c r="M58" s="413">
        <v>0</v>
      </c>
      <c r="N58" s="427">
        <v>80</v>
      </c>
      <c r="O58" s="427">
        <v>39824</v>
      </c>
      <c r="P58" s="413">
        <v>0</v>
      </c>
      <c r="Q58" s="413">
        <v>0</v>
      </c>
      <c r="R58" s="413">
        <v>0</v>
      </c>
      <c r="S58" s="413">
        <v>0</v>
      </c>
      <c r="T58" s="413">
        <v>169</v>
      </c>
      <c r="U58" s="413">
        <v>44957</v>
      </c>
      <c r="V58" s="413">
        <f>_xlfn.IFNA(VLOOKUP(A58,[3]進出口值表查詢結果!$C$11:$F$68,4,0),-[4]整車!$B$22)</f>
        <v>0</v>
      </c>
      <c r="W58" s="413">
        <f>_xlfn.IFNA(VLOOKUP(A58,[3]進出口值表查詢結果!$C$11:$F$68,3,0),-[4]整車!$B$22)</f>
        <v>0</v>
      </c>
      <c r="X58" s="413">
        <f>_xlfn.IFNA(VLOOKUP(A58,[5]進出口值表查詢結果!$C$11:$F$68,4,0),-[4]整車!$B$22)</f>
        <v>0</v>
      </c>
      <c r="Y58" s="413">
        <f>_xlfn.IFNA(VLOOKUP(A58,[5]進出口值表查詢結果!$C$11:$F$68,3,0),-[4]整車!$B$22)</f>
        <v>0</v>
      </c>
      <c r="Z58" s="407">
        <f t="shared" si="7"/>
        <v>4209</v>
      </c>
      <c r="AA58" s="407">
        <f t="shared" si="8"/>
        <v>1138728</v>
      </c>
    </row>
    <row r="59" spans="1:27">
      <c r="A59" s="453" t="s">
        <v>17</v>
      </c>
      <c r="B59" s="413">
        <v>0</v>
      </c>
      <c r="C59" s="413">
        <v>0</v>
      </c>
      <c r="D59" s="413"/>
      <c r="E59" s="413"/>
      <c r="F59" s="413">
        <v>0</v>
      </c>
      <c r="G59" s="413"/>
      <c r="H59" s="413">
        <v>0</v>
      </c>
      <c r="I59" s="413">
        <v>0</v>
      </c>
      <c r="J59" s="414">
        <v>50</v>
      </c>
      <c r="K59" s="417">
        <v>5012</v>
      </c>
      <c r="L59" s="413">
        <v>0</v>
      </c>
      <c r="M59" s="413">
        <v>0</v>
      </c>
      <c r="N59" s="413">
        <v>0</v>
      </c>
      <c r="O59" s="413">
        <v>0</v>
      </c>
      <c r="P59" s="413">
        <v>0</v>
      </c>
      <c r="Q59" s="413">
        <v>0</v>
      </c>
      <c r="R59" s="413">
        <v>0</v>
      </c>
      <c r="S59" s="413">
        <v>0</v>
      </c>
      <c r="T59" s="413">
        <v>440</v>
      </c>
      <c r="U59" s="413">
        <v>55250</v>
      </c>
      <c r="V59" s="413">
        <f>_xlfn.IFNA(VLOOKUP(A59,[3]進出口值表查詢結果!$C$11:$F$68,4,0),-[4]整車!$B$22)</f>
        <v>0</v>
      </c>
      <c r="W59" s="413">
        <f>_xlfn.IFNA(VLOOKUP(A59,[3]進出口值表查詢結果!$C$11:$F$68,3,0),-[4]整車!$B$22)</f>
        <v>0</v>
      </c>
      <c r="X59" s="413">
        <f>_xlfn.IFNA(VLOOKUP(A59,[5]進出口值表查詢結果!$C$11:$F$68,4,0),-[4]整車!$B$22)</f>
        <v>0</v>
      </c>
      <c r="Y59" s="413">
        <f>_xlfn.IFNA(VLOOKUP(A59,[5]進出口值表查詢結果!$C$11:$F$68,3,0),-[4]整車!$B$22)</f>
        <v>0</v>
      </c>
      <c r="Z59" s="407">
        <f t="shared" si="7"/>
        <v>490</v>
      </c>
      <c r="AA59" s="407">
        <f t="shared" si="8"/>
        <v>60262</v>
      </c>
    </row>
    <row r="60" spans="1:27">
      <c r="A60" s="449" t="s">
        <v>264</v>
      </c>
      <c r="B60" s="413">
        <v>0</v>
      </c>
      <c r="C60" s="413">
        <v>0</v>
      </c>
      <c r="D60" s="413">
        <v>523</v>
      </c>
      <c r="E60" s="413">
        <v>150033</v>
      </c>
      <c r="F60" s="413">
        <v>813</v>
      </c>
      <c r="G60" s="413">
        <v>183637</v>
      </c>
      <c r="H60" s="413">
        <v>317</v>
      </c>
      <c r="I60" s="413">
        <v>63199</v>
      </c>
      <c r="J60" s="414" t="s">
        <v>57</v>
      </c>
      <c r="K60" s="417" t="s">
        <v>57</v>
      </c>
      <c r="L60" s="413">
        <v>160</v>
      </c>
      <c r="M60" s="413">
        <v>66421</v>
      </c>
      <c r="N60" s="413">
        <v>0</v>
      </c>
      <c r="O60" s="413">
        <v>0</v>
      </c>
      <c r="P60" s="413">
        <v>0</v>
      </c>
      <c r="Q60" s="413">
        <v>0</v>
      </c>
      <c r="R60" s="413">
        <v>0</v>
      </c>
      <c r="S60" s="413">
        <v>0</v>
      </c>
      <c r="T60" s="413"/>
      <c r="U60" s="413"/>
      <c r="V60" s="413">
        <f>_xlfn.IFNA(VLOOKUP(A60,[3]進出口值表查詢結果!$C$11:$F$68,4,0),-[4]整車!$B$22)</f>
        <v>0</v>
      </c>
      <c r="W60" s="413">
        <f>_xlfn.IFNA(VLOOKUP(A60,[3]進出口值表查詢結果!$C$11:$F$68,3,0),-[4]整車!$B$22)</f>
        <v>0</v>
      </c>
      <c r="X60" s="413">
        <f>_xlfn.IFNA(VLOOKUP(A60,[5]進出口值表查詢結果!$C$11:$F$68,4,0),-[4]整車!$B$22)</f>
        <v>0</v>
      </c>
      <c r="Y60" s="413">
        <f>_xlfn.IFNA(VLOOKUP(A60,[5]進出口值表查詢結果!$C$11:$F$68,3,0),-[4]整車!$B$22)</f>
        <v>0</v>
      </c>
      <c r="Z60" s="407">
        <f t="shared" si="7"/>
        <v>1813</v>
      </c>
      <c r="AA60" s="407">
        <f t="shared" si="8"/>
        <v>463290</v>
      </c>
    </row>
    <row r="61" spans="1:27">
      <c r="A61" s="412" t="s">
        <v>265</v>
      </c>
      <c r="B61" s="413">
        <v>1370</v>
      </c>
      <c r="C61" s="413">
        <v>251116</v>
      </c>
      <c r="D61" s="413">
        <v>1982</v>
      </c>
      <c r="E61" s="413">
        <v>436276</v>
      </c>
      <c r="F61" s="413">
        <v>324</v>
      </c>
      <c r="G61" s="413">
        <v>53469</v>
      </c>
      <c r="H61" s="413">
        <v>496</v>
      </c>
      <c r="I61" s="413">
        <v>109871</v>
      </c>
      <c r="J61" s="414">
        <v>113</v>
      </c>
      <c r="K61" s="428">
        <v>38322</v>
      </c>
      <c r="L61" s="413">
        <v>0</v>
      </c>
      <c r="M61" s="413">
        <v>0</v>
      </c>
      <c r="N61" s="413">
        <v>0</v>
      </c>
      <c r="O61" s="413">
        <v>0</v>
      </c>
      <c r="P61" s="413">
        <v>0</v>
      </c>
      <c r="Q61" s="413">
        <v>0</v>
      </c>
      <c r="R61" s="413">
        <v>0</v>
      </c>
      <c r="S61" s="413">
        <v>0</v>
      </c>
      <c r="T61" s="413"/>
      <c r="U61" s="413"/>
      <c r="V61" s="413">
        <f>_xlfn.IFNA(VLOOKUP(A61,[3]進出口值表查詢結果!$C$11:$F$68,4,0),-[4]整車!$B$22)</f>
        <v>0</v>
      </c>
      <c r="W61" s="413">
        <f>_xlfn.IFNA(VLOOKUP(A61,[3]進出口值表查詢結果!$C$11:$F$68,3,0),-[4]整車!$B$22)</f>
        <v>0</v>
      </c>
      <c r="X61" s="413">
        <f>_xlfn.IFNA(VLOOKUP(A61,[5]進出口值表查詢結果!$C$11:$F$68,4,0),-[4]整車!$B$22)</f>
        <v>214</v>
      </c>
      <c r="Y61" s="413">
        <f>_xlfn.IFNA(VLOOKUP(A61,[5]進出口值表查詢結果!$C$11:$F$68,3,0),-[4]整車!$B$22)</f>
        <v>33520</v>
      </c>
      <c r="Z61" s="407">
        <f t="shared" si="7"/>
        <v>4499</v>
      </c>
      <c r="AA61" s="407">
        <f t="shared" si="8"/>
        <v>922574</v>
      </c>
    </row>
    <row r="62" spans="1:27">
      <c r="A62" s="449" t="s">
        <v>267</v>
      </c>
      <c r="B62" s="413">
        <v>70</v>
      </c>
      <c r="C62" s="413">
        <v>43452</v>
      </c>
      <c r="D62" s="413">
        <v>261</v>
      </c>
      <c r="E62" s="413">
        <v>64456</v>
      </c>
      <c r="F62" s="413">
        <v>18</v>
      </c>
      <c r="G62" s="413">
        <v>17756</v>
      </c>
      <c r="H62" s="413">
        <v>0</v>
      </c>
      <c r="I62" s="413">
        <v>0</v>
      </c>
      <c r="J62" s="414" t="s">
        <v>57</v>
      </c>
      <c r="K62" s="417" t="s">
        <v>57</v>
      </c>
      <c r="L62" s="413">
        <v>25</v>
      </c>
      <c r="M62" s="413">
        <v>23023</v>
      </c>
      <c r="N62" s="413">
        <v>0</v>
      </c>
      <c r="O62" s="413">
        <v>0</v>
      </c>
      <c r="P62" s="413">
        <v>0</v>
      </c>
      <c r="Q62" s="413">
        <v>0</v>
      </c>
      <c r="R62" s="413">
        <v>0</v>
      </c>
      <c r="S62" s="413">
        <v>0</v>
      </c>
      <c r="T62" s="413"/>
      <c r="U62" s="413"/>
      <c r="V62" s="413">
        <f>_xlfn.IFNA(VLOOKUP(A62,[3]進出口值表查詢結果!$C$11:$F$68,4,0),-[4]整車!$B$22)</f>
        <v>1</v>
      </c>
      <c r="W62" s="413">
        <f>_xlfn.IFNA(VLOOKUP(A62,[3]進出口值表查詢結果!$C$11:$F$68,3,0),-[4]整車!$B$22)</f>
        <v>3951</v>
      </c>
      <c r="X62" s="413">
        <f>_xlfn.IFNA(VLOOKUP(A62,[5]進出口值表查詢結果!$C$11:$F$68,4,0),-[4]整車!$B$22)</f>
        <v>355</v>
      </c>
      <c r="Y62" s="413">
        <f>_xlfn.IFNA(VLOOKUP(A62,[5]進出口值表查詢結果!$C$11:$F$68,3,0),-[4]整車!$B$22)</f>
        <v>93772</v>
      </c>
      <c r="Z62" s="407">
        <f t="shared" si="7"/>
        <v>730</v>
      </c>
      <c r="AA62" s="407">
        <f t="shared" si="8"/>
        <v>246410</v>
      </c>
    </row>
    <row r="63" spans="1:27">
      <c r="A63" s="452" t="s">
        <v>403</v>
      </c>
      <c r="B63" s="413">
        <v>0</v>
      </c>
      <c r="C63" s="413">
        <v>0</v>
      </c>
      <c r="D63" s="413"/>
      <c r="E63" s="413"/>
      <c r="F63" s="413">
        <v>80</v>
      </c>
      <c r="G63" s="413">
        <v>11981</v>
      </c>
      <c r="H63" s="413">
        <v>125</v>
      </c>
      <c r="I63" s="413">
        <v>14310</v>
      </c>
      <c r="J63" s="414">
        <v>100</v>
      </c>
      <c r="K63" s="417">
        <v>16037</v>
      </c>
      <c r="L63" s="413">
        <v>0</v>
      </c>
      <c r="M63" s="413">
        <v>0</v>
      </c>
      <c r="N63" s="413">
        <v>0</v>
      </c>
      <c r="O63" s="413">
        <v>0</v>
      </c>
      <c r="P63" s="413">
        <v>0</v>
      </c>
      <c r="Q63" s="413">
        <v>0</v>
      </c>
      <c r="R63" s="413">
        <v>0</v>
      </c>
      <c r="S63" s="413">
        <v>0</v>
      </c>
      <c r="T63" s="413">
        <v>125</v>
      </c>
      <c r="U63" s="413">
        <v>16317</v>
      </c>
      <c r="V63" s="413">
        <f>_xlfn.IFNA(VLOOKUP(A63,[3]進出口值表查詢結果!$C$11:$F$68,4,0),-[4]整車!$B$22)</f>
        <v>0</v>
      </c>
      <c r="W63" s="413">
        <f>_xlfn.IFNA(VLOOKUP(A63,[3]進出口值表查詢結果!$C$11:$F$68,3,0),-[4]整車!$B$22)</f>
        <v>0</v>
      </c>
      <c r="X63" s="413">
        <f>_xlfn.IFNA(VLOOKUP(A63,[5]進出口值表查詢結果!$C$11:$F$68,4,0),-[4]整車!$B$22)</f>
        <v>340</v>
      </c>
      <c r="Y63" s="413">
        <f>_xlfn.IFNA(VLOOKUP(A63,[5]進出口值表查詢結果!$C$11:$F$68,3,0),-[4]整車!$B$22)</f>
        <v>50840</v>
      </c>
      <c r="Z63" s="407">
        <f t="shared" si="7"/>
        <v>770</v>
      </c>
      <c r="AA63" s="407">
        <f t="shared" si="8"/>
        <v>109485</v>
      </c>
    </row>
    <row r="64" spans="1:27">
      <c r="A64" s="449" t="s">
        <v>186</v>
      </c>
      <c r="B64" s="413">
        <v>44</v>
      </c>
      <c r="C64" s="413">
        <v>6265</v>
      </c>
      <c r="D64" s="413"/>
      <c r="E64" s="413"/>
      <c r="F64" s="413">
        <v>0</v>
      </c>
      <c r="G64" s="413"/>
      <c r="H64" s="413">
        <v>0</v>
      </c>
      <c r="I64" s="413">
        <v>0</v>
      </c>
      <c r="J64" s="414">
        <v>74</v>
      </c>
      <c r="K64" s="417">
        <v>8920</v>
      </c>
      <c r="L64" s="413">
        <v>0</v>
      </c>
      <c r="M64" s="413">
        <v>0</v>
      </c>
      <c r="N64" s="413">
        <v>0</v>
      </c>
      <c r="O64" s="413">
        <v>0</v>
      </c>
      <c r="P64" s="413">
        <v>35</v>
      </c>
      <c r="Q64" s="413">
        <v>5625</v>
      </c>
      <c r="R64" s="413">
        <v>45</v>
      </c>
      <c r="S64" s="413">
        <v>4959</v>
      </c>
      <c r="T64" s="413">
        <v>42</v>
      </c>
      <c r="U64" s="413">
        <v>6127</v>
      </c>
      <c r="V64" s="413">
        <f>_xlfn.IFNA(VLOOKUP(A64,[3]進出口值表查詢結果!$C$11:$F$68,4,0),-[4]整車!$B$22)</f>
        <v>0</v>
      </c>
      <c r="W64" s="413">
        <f>_xlfn.IFNA(VLOOKUP(A64,[3]進出口值表查詢結果!$C$11:$F$68,3,0),-[4]整車!$B$22)</f>
        <v>0</v>
      </c>
      <c r="X64" s="413">
        <f>_xlfn.IFNA(VLOOKUP(A64,[5]進出口值表查詢結果!$C$11:$F$68,4,0),-[4]整車!$B$22)</f>
        <v>0</v>
      </c>
      <c r="Y64" s="413">
        <f>_xlfn.IFNA(VLOOKUP(A64,[5]進出口值表查詢結果!$C$11:$F$68,3,0),-[4]整車!$B$22)</f>
        <v>0</v>
      </c>
      <c r="Z64" s="407">
        <f t="shared" si="7"/>
        <v>240</v>
      </c>
      <c r="AA64" s="407">
        <f t="shared" si="8"/>
        <v>31896</v>
      </c>
    </row>
    <row r="65" spans="1:27">
      <c r="A65" s="449" t="s">
        <v>181</v>
      </c>
      <c r="B65" s="413">
        <v>0</v>
      </c>
      <c r="C65" s="413">
        <v>0</v>
      </c>
      <c r="D65" s="413"/>
      <c r="E65" s="413"/>
      <c r="F65" s="413">
        <v>20</v>
      </c>
      <c r="G65" s="413">
        <v>7667</v>
      </c>
      <c r="H65" s="413">
        <v>0</v>
      </c>
      <c r="I65" s="413">
        <v>0</v>
      </c>
      <c r="J65" s="414">
        <v>53</v>
      </c>
      <c r="K65" s="417">
        <v>6883</v>
      </c>
      <c r="L65" s="413">
        <v>0</v>
      </c>
      <c r="M65" s="413">
        <v>0</v>
      </c>
      <c r="N65" s="413">
        <v>0</v>
      </c>
      <c r="O65" s="413">
        <v>0</v>
      </c>
      <c r="P65" s="413">
        <v>0</v>
      </c>
      <c r="Q65" s="413">
        <v>0</v>
      </c>
      <c r="R65" s="413">
        <v>46</v>
      </c>
      <c r="S65" s="413">
        <v>5740</v>
      </c>
      <c r="T65" s="413"/>
      <c r="U65" s="413"/>
      <c r="V65" s="413">
        <f>_xlfn.IFNA(VLOOKUP(A65,[3]進出口值表查詢結果!$C$11:$F$68,4,0),-[4]整車!$B$22)</f>
        <v>53</v>
      </c>
      <c r="W65" s="413">
        <f>_xlfn.IFNA(VLOOKUP(A65,[3]進出口值表查詢結果!$C$11:$F$68,3,0),-[4]整車!$B$22)</f>
        <v>6170</v>
      </c>
      <c r="X65" s="413">
        <f>_xlfn.IFNA(VLOOKUP(A65,[5]進出口值表查詢結果!$C$11:$F$68,4,0),-[4]整車!$B$22)</f>
        <v>0</v>
      </c>
      <c r="Y65" s="413">
        <f>_xlfn.IFNA(VLOOKUP(A65,[5]進出口值表查詢結果!$C$11:$F$68,3,0),-[4]整車!$B$22)</f>
        <v>0</v>
      </c>
      <c r="Z65" s="407">
        <f t="shared" si="7"/>
        <v>172</v>
      </c>
      <c r="AA65" s="407">
        <f t="shared" si="8"/>
        <v>26460</v>
      </c>
    </row>
    <row r="66" spans="1:27">
      <c r="A66" s="449" t="s">
        <v>271</v>
      </c>
      <c r="B66" s="413">
        <v>16</v>
      </c>
      <c r="C66" s="413">
        <v>8064</v>
      </c>
      <c r="D66" s="413">
        <v>400</v>
      </c>
      <c r="E66" s="413">
        <v>74984</v>
      </c>
      <c r="F66" s="413">
        <v>130</v>
      </c>
      <c r="G66" s="413">
        <v>19515</v>
      </c>
      <c r="H66" s="413">
        <v>120</v>
      </c>
      <c r="I66" s="413">
        <v>19543</v>
      </c>
      <c r="J66" s="414">
        <v>235</v>
      </c>
      <c r="K66" s="417">
        <v>45740</v>
      </c>
      <c r="L66" s="413">
        <v>0</v>
      </c>
      <c r="M66" s="413">
        <v>0</v>
      </c>
      <c r="N66" s="413">
        <v>0</v>
      </c>
      <c r="O66" s="413">
        <v>0</v>
      </c>
      <c r="P66" s="413">
        <v>0</v>
      </c>
      <c r="Q66" s="413">
        <v>0</v>
      </c>
      <c r="R66" s="413">
        <v>0</v>
      </c>
      <c r="S66" s="413">
        <v>0</v>
      </c>
      <c r="T66" s="413"/>
      <c r="U66" s="413"/>
      <c r="V66" s="413">
        <f>_xlfn.IFNA(VLOOKUP(A66,[3]進出口值表查詢結果!$C$11:$F$68,4,0),-[4]整車!$B$22)</f>
        <v>0</v>
      </c>
      <c r="W66" s="413">
        <f>_xlfn.IFNA(VLOOKUP(A66,[3]進出口值表查詢結果!$C$11:$F$68,3,0),-[4]整車!$B$22)</f>
        <v>0</v>
      </c>
      <c r="X66" s="413">
        <f>_xlfn.IFNA(VLOOKUP(A66,[5]進出口值表查詢結果!$C$11:$F$68,4,0),-[4]整車!$B$22)</f>
        <v>0</v>
      </c>
      <c r="Y66" s="413">
        <f>_xlfn.IFNA(VLOOKUP(A66,[5]進出口值表查詢結果!$C$11:$F$68,3,0),-[4]整車!$B$22)</f>
        <v>0</v>
      </c>
      <c r="Z66" s="407">
        <f t="shared" si="7"/>
        <v>901</v>
      </c>
      <c r="AA66" s="407">
        <f t="shared" si="8"/>
        <v>167846</v>
      </c>
    </row>
    <row r="67" spans="1:27">
      <c r="A67" s="416"/>
      <c r="B67" s="413"/>
      <c r="C67" s="413"/>
      <c r="D67" s="413"/>
      <c r="E67" s="413"/>
      <c r="F67" s="413"/>
      <c r="G67" s="413"/>
      <c r="H67" s="413"/>
      <c r="I67" s="413"/>
      <c r="J67" s="414"/>
      <c r="K67" s="415"/>
      <c r="L67" s="413"/>
      <c r="M67" s="413"/>
      <c r="N67" s="413"/>
      <c r="O67" s="413"/>
      <c r="P67" s="413"/>
      <c r="Q67" s="413"/>
      <c r="R67" s="413"/>
      <c r="S67" s="413"/>
      <c r="T67" s="413"/>
      <c r="U67" s="413"/>
      <c r="V67" s="413"/>
      <c r="W67" s="413"/>
      <c r="X67" s="413"/>
      <c r="Y67" s="413"/>
      <c r="Z67" s="407"/>
      <c r="AA67" s="407"/>
    </row>
    <row r="68" spans="1:27">
      <c r="A68" s="429" t="s">
        <v>19</v>
      </c>
      <c r="B68" s="430">
        <f t="shared" ref="B68:G68" si="9">SUM(B69:B73)</f>
        <v>6047</v>
      </c>
      <c r="C68" s="430">
        <f t="shared" si="9"/>
        <v>3779240</v>
      </c>
      <c r="D68" s="430">
        <f t="shared" si="9"/>
        <v>4374</v>
      </c>
      <c r="E68" s="430">
        <f t="shared" si="9"/>
        <v>2793538</v>
      </c>
      <c r="F68" s="430">
        <f t="shared" si="9"/>
        <v>3335</v>
      </c>
      <c r="G68" s="430">
        <f t="shared" si="9"/>
        <v>1866843</v>
      </c>
      <c r="H68" s="430">
        <f>SUM(H69:H73)</f>
        <v>2480</v>
      </c>
      <c r="I68" s="430">
        <f>SUM(I69:I73)</f>
        <v>1512983</v>
      </c>
      <c r="J68" s="431">
        <f t="shared" ref="J68:O68" si="10">SUM(J69:J73)</f>
        <v>1816</v>
      </c>
      <c r="K68" s="432">
        <f t="shared" si="10"/>
        <v>1480084</v>
      </c>
      <c r="L68" s="430">
        <f t="shared" si="10"/>
        <v>1849</v>
      </c>
      <c r="M68" s="430">
        <f t="shared" si="10"/>
        <v>1617191</v>
      </c>
      <c r="N68" s="430">
        <f t="shared" si="10"/>
        <v>1838</v>
      </c>
      <c r="O68" s="430">
        <f t="shared" si="10"/>
        <v>1928770</v>
      </c>
      <c r="P68" s="430">
        <f>SUM(P69:P73)</f>
        <v>1960</v>
      </c>
      <c r="Q68" s="430">
        <f>SUM(Q69:Q73)</f>
        <v>1999119</v>
      </c>
      <c r="R68" s="430">
        <f t="shared" ref="R68:Y68" si="11">SUM(R69:R73)</f>
        <v>1097</v>
      </c>
      <c r="S68" s="430">
        <f t="shared" si="11"/>
        <v>1708965</v>
      </c>
      <c r="T68" s="430">
        <f t="shared" si="11"/>
        <v>2389</v>
      </c>
      <c r="U68" s="430">
        <f t="shared" si="11"/>
        <v>2156903</v>
      </c>
      <c r="V68" s="430">
        <f>SUM(V69:V73)</f>
        <v>1149</v>
      </c>
      <c r="W68" s="430">
        <f>SUM(W69:W73)</f>
        <v>1843745</v>
      </c>
      <c r="X68" s="430">
        <f t="shared" si="11"/>
        <v>3615</v>
      </c>
      <c r="Y68" s="430">
        <f t="shared" si="11"/>
        <v>4337331</v>
      </c>
      <c r="Z68" s="424">
        <f t="shared" ref="Z68:AA73" si="12">SUM(B68,D68,F68,H68,J68,L68,N68,P68,R68,T68,V68,X68)</f>
        <v>31949</v>
      </c>
      <c r="AA68" s="424">
        <f t="shared" si="12"/>
        <v>27024712</v>
      </c>
    </row>
    <row r="69" spans="1:27">
      <c r="A69" s="449" t="s">
        <v>179</v>
      </c>
      <c r="B69" s="413">
        <v>1857</v>
      </c>
      <c r="C69" s="413">
        <v>2017794</v>
      </c>
      <c r="D69" s="413">
        <v>1373</v>
      </c>
      <c r="E69" s="413">
        <v>1011526</v>
      </c>
      <c r="F69" s="413">
        <v>425</v>
      </c>
      <c r="G69" s="413">
        <v>428146</v>
      </c>
      <c r="H69" s="413">
        <v>671</v>
      </c>
      <c r="I69" s="413">
        <v>699536</v>
      </c>
      <c r="J69" s="414">
        <v>587</v>
      </c>
      <c r="K69" s="415">
        <v>1041998</v>
      </c>
      <c r="L69" s="413">
        <v>1055</v>
      </c>
      <c r="M69" s="413">
        <v>1243264</v>
      </c>
      <c r="N69" s="427">
        <v>947</v>
      </c>
      <c r="O69" s="427">
        <v>1493476</v>
      </c>
      <c r="P69" s="413">
        <v>1258</v>
      </c>
      <c r="Q69" s="413">
        <v>1726838</v>
      </c>
      <c r="R69" s="413">
        <v>988</v>
      </c>
      <c r="S69" s="413">
        <v>1565929</v>
      </c>
      <c r="T69" s="413">
        <v>2202</v>
      </c>
      <c r="U69" s="413">
        <v>2043237</v>
      </c>
      <c r="V69" s="413">
        <f>_xlfn.IFNA(VLOOKUP(A69,[3]進出口值表查詢結果!$C$11:$F$68,4,0),-[4]整車!$B$22)</f>
        <v>835</v>
      </c>
      <c r="W69" s="413">
        <f>_xlfn.IFNA(VLOOKUP(A69,[3]進出口值表查詢結果!$C$11:$F$68,3,0),-[4]整車!$B$22)</f>
        <v>1325166</v>
      </c>
      <c r="X69" s="413">
        <f>_xlfn.IFNA(VLOOKUP(A69,[5]進出口值表查詢結果!$C$11:$F$68,4,0),-[4]整車!$B$22)</f>
        <v>2736</v>
      </c>
      <c r="Y69" s="413">
        <f>_xlfn.IFNA(VLOOKUP(A69,[5]進出口值表查詢結果!$C$11:$F$68,3,0),-[4]整車!$B$22)</f>
        <v>3402098</v>
      </c>
      <c r="Z69" s="407">
        <f t="shared" si="12"/>
        <v>14934</v>
      </c>
      <c r="AA69" s="407">
        <f t="shared" si="12"/>
        <v>17999008</v>
      </c>
    </row>
    <row r="70" spans="1:27">
      <c r="A70" s="449" t="s">
        <v>272</v>
      </c>
      <c r="B70" s="413">
        <v>4127</v>
      </c>
      <c r="C70" s="413">
        <v>1691969</v>
      </c>
      <c r="D70" s="413">
        <v>2950</v>
      </c>
      <c r="E70" s="413">
        <v>1716256</v>
      </c>
      <c r="F70" s="413">
        <v>2760</v>
      </c>
      <c r="G70" s="413">
        <v>1417688</v>
      </c>
      <c r="H70" s="413">
        <v>1808</v>
      </c>
      <c r="I70" s="413">
        <v>811327</v>
      </c>
      <c r="J70" s="414">
        <v>1210</v>
      </c>
      <c r="K70" s="415">
        <v>402504</v>
      </c>
      <c r="L70" s="413">
        <v>780</v>
      </c>
      <c r="M70" s="413">
        <v>350268</v>
      </c>
      <c r="N70" s="427">
        <v>875</v>
      </c>
      <c r="O70" s="427">
        <v>407876</v>
      </c>
      <c r="P70" s="413">
        <v>700</v>
      </c>
      <c r="Q70" s="413">
        <v>267943</v>
      </c>
      <c r="R70" s="413">
        <v>108</v>
      </c>
      <c r="S70" s="413">
        <v>140862</v>
      </c>
      <c r="T70" s="413">
        <v>186</v>
      </c>
      <c r="U70" s="413">
        <v>111463</v>
      </c>
      <c r="V70" s="413">
        <f>_xlfn.IFNA(VLOOKUP(A70,[3]進出口值表查詢結果!$C$11:$F$68,4,0),-[4]整車!$B$22)</f>
        <v>314</v>
      </c>
      <c r="W70" s="413">
        <f>_xlfn.IFNA(VLOOKUP(A70,[3]進出口值表查詢結果!$C$11:$F$68,3,0),-[4]整車!$B$22)</f>
        <v>518579</v>
      </c>
      <c r="X70" s="413">
        <f>_xlfn.IFNA(VLOOKUP(A70,[5]進出口值表查詢結果!$C$11:$F$68,4,0),-[4]整車!$B$22)</f>
        <v>838</v>
      </c>
      <c r="Y70" s="413">
        <f>_xlfn.IFNA(VLOOKUP(A70,[5]進出口值表查詢結果!$C$11:$F$68,3,0),-[4]整車!$B$22)</f>
        <v>906262</v>
      </c>
      <c r="Z70" s="407">
        <f t="shared" si="12"/>
        <v>16656</v>
      </c>
      <c r="AA70" s="407">
        <f t="shared" si="12"/>
        <v>8742997</v>
      </c>
    </row>
    <row r="71" spans="1:27">
      <c r="A71" s="449" t="s">
        <v>273</v>
      </c>
      <c r="B71" s="413">
        <v>63</v>
      </c>
      <c r="C71" s="413">
        <v>69477</v>
      </c>
      <c r="D71" s="413">
        <v>51</v>
      </c>
      <c r="E71" s="413">
        <v>65756</v>
      </c>
      <c r="F71" s="413">
        <v>150</v>
      </c>
      <c r="G71" s="413">
        <v>21009</v>
      </c>
      <c r="H71" s="413">
        <v>1</v>
      </c>
      <c r="I71" s="413">
        <v>2120</v>
      </c>
      <c r="J71" s="414">
        <v>19</v>
      </c>
      <c r="K71" s="415">
        <v>35582</v>
      </c>
      <c r="L71" s="413">
        <v>14</v>
      </c>
      <c r="M71" s="413">
        <v>23659</v>
      </c>
      <c r="N71" s="427">
        <v>16</v>
      </c>
      <c r="O71" s="427">
        <v>27418</v>
      </c>
      <c r="P71" s="413">
        <v>2</v>
      </c>
      <c r="Q71" s="413">
        <v>4338</v>
      </c>
      <c r="R71" s="413">
        <v>1</v>
      </c>
      <c r="S71" s="413">
        <v>2174</v>
      </c>
      <c r="T71" s="413">
        <v>1</v>
      </c>
      <c r="U71" s="413">
        <v>2203</v>
      </c>
      <c r="V71" s="413">
        <f>_xlfn.IFNA(VLOOKUP(A71,[3]進出口值表查詢結果!$C$11:$F$68,4,0),-[4]整車!$B$22)</f>
        <v>0</v>
      </c>
      <c r="W71" s="413">
        <f>_xlfn.IFNA(VLOOKUP(A71,[3]進出口值表查詢結果!$C$11:$F$68,3,0),-[4]整車!$B$22)</f>
        <v>0</v>
      </c>
      <c r="X71" s="413">
        <f>_xlfn.IFNA(VLOOKUP(A71,[5]進出口值表查詢結果!$C$11:$F$68,4,0),-[4]整車!$B$22)</f>
        <v>41</v>
      </c>
      <c r="Y71" s="413">
        <f>_xlfn.IFNA(VLOOKUP(A71,[5]進出口值表查詢結果!$C$11:$F$68,3,0),-[4]整車!$B$22)</f>
        <v>28971</v>
      </c>
      <c r="Z71" s="407">
        <f t="shared" si="12"/>
        <v>359</v>
      </c>
      <c r="AA71" s="407">
        <f t="shared" si="12"/>
        <v>282707</v>
      </c>
    </row>
    <row r="72" spans="1:27">
      <c r="A72" s="449" t="s">
        <v>275</v>
      </c>
      <c r="B72" s="413">
        <v>0</v>
      </c>
      <c r="C72" s="413">
        <v>0</v>
      </c>
      <c r="D72" s="413"/>
      <c r="E72" s="413"/>
      <c r="F72" s="413">
        <v>0</v>
      </c>
      <c r="G72" s="413"/>
      <c r="H72" s="413">
        <v>0</v>
      </c>
      <c r="I72" s="413">
        <v>0</v>
      </c>
      <c r="J72" s="414" t="s">
        <v>57</v>
      </c>
      <c r="K72" s="417" t="s">
        <v>57</v>
      </c>
      <c r="L72" s="413">
        <v>0</v>
      </c>
      <c r="M72" s="413">
        <v>0</v>
      </c>
      <c r="N72" s="413">
        <v>0</v>
      </c>
      <c r="O72" s="413">
        <v>0</v>
      </c>
      <c r="P72" s="413">
        <v>0</v>
      </c>
      <c r="Q72" s="413">
        <v>0</v>
      </c>
      <c r="R72" s="413">
        <v>0</v>
      </c>
      <c r="S72" s="413">
        <v>0</v>
      </c>
      <c r="T72" s="413"/>
      <c r="U72" s="413"/>
      <c r="V72" s="413">
        <f>_xlfn.IFNA(VLOOKUP(A72,[3]進出口值表查詢結果!$C$11:$F$68,4,0),-[4]整車!$B$22)</f>
        <v>0</v>
      </c>
      <c r="W72" s="413">
        <f>_xlfn.IFNA(VLOOKUP(A72,[3]進出口值表查詢結果!$C$11:$F$68,3,0),-[4]整車!$B$22)</f>
        <v>0</v>
      </c>
      <c r="X72" s="413">
        <f>_xlfn.IFNA(VLOOKUP(A72,[5]進出口值表查詢結果!$C$11:$F$68,4,0),-[4]整車!$B$22)</f>
        <v>0</v>
      </c>
      <c r="Y72" s="413">
        <f>_xlfn.IFNA(VLOOKUP(A72,[5]進出口值表查詢結果!$C$11:$F$68,3,0),-[4]整車!$B$22)</f>
        <v>0</v>
      </c>
      <c r="Z72" s="407">
        <f t="shared" si="12"/>
        <v>0</v>
      </c>
      <c r="AA72" s="407">
        <f t="shared" si="12"/>
        <v>0</v>
      </c>
    </row>
    <row r="73" spans="1:27">
      <c r="A73" s="449" t="s">
        <v>274</v>
      </c>
      <c r="B73" s="413">
        <v>0</v>
      </c>
      <c r="C73" s="413">
        <v>0</v>
      </c>
      <c r="D73" s="413"/>
      <c r="E73" s="413"/>
      <c r="F73" s="413">
        <v>0</v>
      </c>
      <c r="G73" s="413"/>
      <c r="H73" s="413">
        <v>0</v>
      </c>
      <c r="I73" s="413">
        <v>0</v>
      </c>
      <c r="J73" s="414" t="s">
        <v>57</v>
      </c>
      <c r="K73" s="417" t="s">
        <v>57</v>
      </c>
      <c r="L73" s="413">
        <v>0</v>
      </c>
      <c r="M73" s="413">
        <v>0</v>
      </c>
      <c r="N73" s="413">
        <v>0</v>
      </c>
      <c r="O73" s="413">
        <v>0</v>
      </c>
      <c r="P73" s="413">
        <v>0</v>
      </c>
      <c r="Q73" s="413">
        <v>0</v>
      </c>
      <c r="R73" s="413">
        <v>0</v>
      </c>
      <c r="S73" s="413">
        <v>0</v>
      </c>
      <c r="T73" s="413"/>
      <c r="U73" s="413"/>
      <c r="V73" s="413">
        <f>_xlfn.IFNA(VLOOKUP(A73,[3]進出口值表查詢結果!$C$11:$F$68,4,0),-[4]整車!$B$22)</f>
        <v>0</v>
      </c>
      <c r="W73" s="413">
        <f>_xlfn.IFNA(VLOOKUP(A73,[3]進出口值表查詢結果!$C$11:$F$68,3,0),-[4]整車!$B$22)</f>
        <v>0</v>
      </c>
      <c r="X73" s="413">
        <f>_xlfn.IFNA(VLOOKUP(A73,[5]進出口值表查詢結果!$C$11:$F$68,4,0),-[4]整車!$B$22)</f>
        <v>0</v>
      </c>
      <c r="Y73" s="413">
        <f>_xlfn.IFNA(VLOOKUP(A73,[5]進出口值表查詢結果!$C$11:$F$68,3,0),-[4]整車!$B$22)</f>
        <v>0</v>
      </c>
      <c r="Z73" s="407">
        <f t="shared" si="12"/>
        <v>0</v>
      </c>
      <c r="AA73" s="407">
        <f t="shared" si="12"/>
        <v>0</v>
      </c>
    </row>
    <row r="74" spans="1:27">
      <c r="A74" s="416"/>
      <c r="B74" s="413"/>
      <c r="C74" s="413"/>
      <c r="D74" s="413"/>
      <c r="E74" s="413"/>
      <c r="F74" s="413"/>
      <c r="G74" s="413"/>
      <c r="H74" s="413"/>
      <c r="I74" s="413"/>
      <c r="J74" s="414"/>
      <c r="K74" s="415"/>
      <c r="L74" s="413"/>
      <c r="M74" s="413"/>
      <c r="N74" s="413"/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07"/>
      <c r="AA74" s="407"/>
    </row>
    <row r="75" spans="1:27">
      <c r="A75" s="429" t="s">
        <v>139</v>
      </c>
      <c r="B75" s="430">
        <f t="shared" ref="B75:Y75" si="13">SUM(B76:B83)</f>
        <v>1775</v>
      </c>
      <c r="C75" s="430">
        <f t="shared" si="13"/>
        <v>791303</v>
      </c>
      <c r="D75" s="430">
        <f t="shared" si="13"/>
        <v>1901</v>
      </c>
      <c r="E75" s="430">
        <f t="shared" si="13"/>
        <v>631147</v>
      </c>
      <c r="F75" s="430">
        <f t="shared" si="13"/>
        <v>1325</v>
      </c>
      <c r="G75" s="430">
        <f t="shared" si="13"/>
        <v>919450</v>
      </c>
      <c r="H75" s="430">
        <f t="shared" si="13"/>
        <v>631</v>
      </c>
      <c r="I75" s="430">
        <f>SUM(I76:I83)</f>
        <v>220966</v>
      </c>
      <c r="J75" s="431">
        <f t="shared" si="13"/>
        <v>474</v>
      </c>
      <c r="K75" s="432">
        <f>SUM(K76:K83)</f>
        <v>186768</v>
      </c>
      <c r="L75" s="430">
        <f t="shared" si="13"/>
        <v>1046</v>
      </c>
      <c r="M75" s="430">
        <f t="shared" si="13"/>
        <v>357239</v>
      </c>
      <c r="N75" s="430">
        <f t="shared" si="13"/>
        <v>1359</v>
      </c>
      <c r="O75" s="430">
        <f t="shared" si="13"/>
        <v>836881</v>
      </c>
      <c r="P75" s="430">
        <f t="shared" si="13"/>
        <v>164</v>
      </c>
      <c r="Q75" s="430">
        <f t="shared" si="13"/>
        <v>201186</v>
      </c>
      <c r="R75" s="430">
        <f t="shared" si="13"/>
        <v>785</v>
      </c>
      <c r="S75" s="430">
        <f t="shared" si="13"/>
        <v>324287</v>
      </c>
      <c r="T75" s="430">
        <f t="shared" si="13"/>
        <v>2780</v>
      </c>
      <c r="U75" s="430">
        <f t="shared" si="13"/>
        <v>855146</v>
      </c>
      <c r="V75" s="430">
        <f>SUM(V76:V83)</f>
        <v>1929</v>
      </c>
      <c r="W75" s="430">
        <f>SUM(W76:W83)</f>
        <v>885513</v>
      </c>
      <c r="X75" s="430">
        <f t="shared" si="13"/>
        <v>3092</v>
      </c>
      <c r="Y75" s="430">
        <f t="shared" si="13"/>
        <v>1404864</v>
      </c>
      <c r="Z75" s="424">
        <f t="shared" ref="Z75:Z83" si="14">SUM(B75,D75,F75,H75,J75,L75,N75,P75,R75,T75,V75,X75)</f>
        <v>17261</v>
      </c>
      <c r="AA75" s="424">
        <f t="shared" ref="AA75:AA83" si="15">SUM(C75,E75,G75,I75,K75,M75,O75,Q75,S75,U75,W75,Y75)</f>
        <v>7614750</v>
      </c>
    </row>
    <row r="76" spans="1:27">
      <c r="A76" s="449" t="s">
        <v>277</v>
      </c>
      <c r="B76" s="413">
        <v>1579</v>
      </c>
      <c r="C76" s="413">
        <v>669877</v>
      </c>
      <c r="D76" s="413">
        <v>1436</v>
      </c>
      <c r="E76" s="413">
        <v>495570</v>
      </c>
      <c r="F76" s="413">
        <v>931</v>
      </c>
      <c r="G76" s="413">
        <v>702788</v>
      </c>
      <c r="H76" s="413">
        <v>631</v>
      </c>
      <c r="I76" s="413">
        <v>220966</v>
      </c>
      <c r="J76" s="414">
        <v>324</v>
      </c>
      <c r="K76" s="428">
        <v>164549</v>
      </c>
      <c r="L76" s="413">
        <v>815</v>
      </c>
      <c r="M76" s="413">
        <v>323962</v>
      </c>
      <c r="N76" s="427">
        <v>822</v>
      </c>
      <c r="O76" s="427">
        <v>518255</v>
      </c>
      <c r="P76" s="413">
        <v>119</v>
      </c>
      <c r="Q76" s="413">
        <v>179634</v>
      </c>
      <c r="R76" s="413">
        <v>495</v>
      </c>
      <c r="S76" s="413">
        <v>221230</v>
      </c>
      <c r="T76" s="413">
        <v>2780</v>
      </c>
      <c r="U76" s="413">
        <v>855146</v>
      </c>
      <c r="V76" s="413">
        <f>_xlfn.IFNA(VLOOKUP(A76,[3]進出口值表查詢結果!$C$11:$F$68,4,0),-[4]整車!$B$22)</f>
        <v>1812</v>
      </c>
      <c r="W76" s="413">
        <f>_xlfn.IFNA(VLOOKUP(A76,[3]進出口值表查詢結果!$C$11:$F$68,3,0),-[4]整車!$B$22)</f>
        <v>779724</v>
      </c>
      <c r="X76" s="413">
        <f>_xlfn.IFNA(VLOOKUP(A76,[5]進出口值表查詢結果!$C$11:$F$68,4,0),-[4]整車!$B$22)</f>
        <v>2631</v>
      </c>
      <c r="Y76" s="413">
        <f>_xlfn.IFNA(VLOOKUP(A76,[5]進出口值表查詢結果!$C$11:$F$68,3,0),-[4]整車!$B$22)</f>
        <v>1193493</v>
      </c>
      <c r="Z76" s="407">
        <f t="shared" si="14"/>
        <v>14375</v>
      </c>
      <c r="AA76" s="407">
        <f t="shared" si="15"/>
        <v>6325194</v>
      </c>
    </row>
    <row r="77" spans="1:27">
      <c r="A77" s="449" t="s">
        <v>278</v>
      </c>
      <c r="B77" s="413">
        <v>0</v>
      </c>
      <c r="C77" s="413">
        <v>0</v>
      </c>
      <c r="D77" s="413"/>
      <c r="E77" s="413"/>
      <c r="F77" s="413">
        <v>0</v>
      </c>
      <c r="G77" s="413"/>
      <c r="H77" s="413">
        <v>0</v>
      </c>
      <c r="I77" s="413">
        <v>0</v>
      </c>
      <c r="J77" s="414" t="s">
        <v>57</v>
      </c>
      <c r="K77" s="417" t="s">
        <v>57</v>
      </c>
      <c r="L77" s="413">
        <v>0</v>
      </c>
      <c r="M77" s="413">
        <v>0</v>
      </c>
      <c r="N77" s="413">
        <v>0</v>
      </c>
      <c r="O77" s="413">
        <v>0</v>
      </c>
      <c r="P77" s="413">
        <v>0</v>
      </c>
      <c r="Q77" s="413">
        <v>0</v>
      </c>
      <c r="R77" s="413">
        <v>0</v>
      </c>
      <c r="S77" s="413">
        <v>0</v>
      </c>
      <c r="T77" s="413"/>
      <c r="U77" s="413"/>
      <c r="V77" s="413">
        <f>_xlfn.IFNA(VLOOKUP(A77,[3]進出口值表查詢結果!$C$11:$F$68,4,0),-[4]整車!$B$22)</f>
        <v>0</v>
      </c>
      <c r="W77" s="413">
        <f>_xlfn.IFNA(VLOOKUP(A77,[3]進出口值表查詢結果!$C$11:$F$68,3,0),-[4]整車!$B$22)</f>
        <v>0</v>
      </c>
      <c r="X77" s="413">
        <f>_xlfn.IFNA(VLOOKUP(A77,[5]進出口值表查詢結果!$C$11:$F$68,4,0),-[4]整車!$B$22)</f>
        <v>0</v>
      </c>
      <c r="Y77" s="413">
        <f>_xlfn.IFNA(VLOOKUP(A77,[5]進出口值表查詢結果!$C$11:$F$68,3,0),-[4]整車!$B$22)</f>
        <v>0</v>
      </c>
      <c r="Z77" s="407">
        <f t="shared" si="14"/>
        <v>0</v>
      </c>
      <c r="AA77" s="407">
        <f t="shared" si="15"/>
        <v>0</v>
      </c>
    </row>
    <row r="78" spans="1:27">
      <c r="A78" s="449" t="s">
        <v>279</v>
      </c>
      <c r="B78" s="413"/>
      <c r="C78" s="413"/>
      <c r="D78" s="413"/>
      <c r="E78" s="413"/>
      <c r="F78" s="413">
        <v>0</v>
      </c>
      <c r="G78" s="413"/>
      <c r="H78" s="413">
        <v>0</v>
      </c>
      <c r="I78" s="413">
        <v>0</v>
      </c>
      <c r="J78" s="414" t="s">
        <v>57</v>
      </c>
      <c r="K78" s="417" t="s">
        <v>57</v>
      </c>
      <c r="L78" s="413">
        <v>0</v>
      </c>
      <c r="M78" s="413">
        <v>0</v>
      </c>
      <c r="N78" s="413">
        <v>0</v>
      </c>
      <c r="O78" s="413">
        <v>0</v>
      </c>
      <c r="P78" s="413">
        <v>0</v>
      </c>
      <c r="Q78" s="413">
        <v>0</v>
      </c>
      <c r="R78" s="413">
        <v>0</v>
      </c>
      <c r="S78" s="413">
        <v>0</v>
      </c>
      <c r="T78" s="413"/>
      <c r="U78" s="413"/>
      <c r="V78" s="413">
        <f>_xlfn.IFNA(VLOOKUP(A78,[3]進出口值表查詢結果!$C$11:$F$68,4,0),-[4]整車!$B$22)</f>
        <v>0</v>
      </c>
      <c r="W78" s="413">
        <f>_xlfn.IFNA(VLOOKUP(A78,[3]進出口值表查詢結果!$C$11:$F$68,3,0),-[4]整車!$B$22)</f>
        <v>0</v>
      </c>
      <c r="X78" s="413">
        <f>_xlfn.IFNA(VLOOKUP(A78,[5]進出口值表查詢結果!$C$11:$F$68,4,0),-[4]整車!$B$22)</f>
        <v>0</v>
      </c>
      <c r="Y78" s="413">
        <f>_xlfn.IFNA(VLOOKUP(A78,[5]進出口值表查詢結果!$C$11:$F$68,3,0),-[4]整車!$B$22)</f>
        <v>0</v>
      </c>
      <c r="Z78" s="407">
        <f t="shared" si="14"/>
        <v>0</v>
      </c>
      <c r="AA78" s="407">
        <f t="shared" si="15"/>
        <v>0</v>
      </c>
    </row>
    <row r="79" spans="1:27">
      <c r="A79" s="449" t="s">
        <v>280</v>
      </c>
      <c r="B79" s="413"/>
      <c r="C79" s="413"/>
      <c r="D79" s="413"/>
      <c r="E79" s="413"/>
      <c r="F79" s="413">
        <v>0</v>
      </c>
      <c r="G79" s="413"/>
      <c r="H79" s="413">
        <v>0</v>
      </c>
      <c r="I79" s="413">
        <v>0</v>
      </c>
      <c r="J79" s="414" t="s">
        <v>57</v>
      </c>
      <c r="K79" s="417" t="s">
        <v>57</v>
      </c>
      <c r="L79" s="413">
        <v>0</v>
      </c>
      <c r="M79" s="413">
        <v>0</v>
      </c>
      <c r="N79" s="413">
        <v>0</v>
      </c>
      <c r="O79" s="413">
        <v>0</v>
      </c>
      <c r="P79" s="413">
        <v>0</v>
      </c>
      <c r="Q79" s="413">
        <v>0</v>
      </c>
      <c r="R79" s="413">
        <v>0</v>
      </c>
      <c r="S79" s="413">
        <v>0</v>
      </c>
      <c r="T79" s="413"/>
      <c r="U79" s="413"/>
      <c r="V79" s="413">
        <f>_xlfn.IFNA(VLOOKUP(A79,[3]進出口值表查詢結果!$C$11:$F$68,4,0),-[4]整車!$B$22)</f>
        <v>0</v>
      </c>
      <c r="W79" s="413">
        <f>_xlfn.IFNA(VLOOKUP(A79,[3]進出口值表查詢結果!$C$11:$F$68,3,0),-[4]整車!$B$22)</f>
        <v>0</v>
      </c>
      <c r="X79" s="413">
        <f>_xlfn.IFNA(VLOOKUP(A79,[5]進出口值表查詢結果!$C$11:$F$68,4,0),-[4]整車!$B$22)</f>
        <v>0</v>
      </c>
      <c r="Y79" s="413">
        <f>_xlfn.IFNA(VLOOKUP(A79,[5]進出口值表查詢結果!$C$11:$F$68,3,0),-[4]整車!$B$22)</f>
        <v>0</v>
      </c>
      <c r="Z79" s="407">
        <f t="shared" si="14"/>
        <v>0</v>
      </c>
      <c r="AA79" s="407">
        <f t="shared" si="15"/>
        <v>0</v>
      </c>
    </row>
    <row r="80" spans="1:27">
      <c r="A80" s="449" t="s">
        <v>282</v>
      </c>
      <c r="B80" s="413">
        <v>196</v>
      </c>
      <c r="C80" s="413">
        <v>121426</v>
      </c>
      <c r="D80" s="413">
        <v>465</v>
      </c>
      <c r="E80" s="413">
        <v>135577</v>
      </c>
      <c r="F80" s="413">
        <v>339</v>
      </c>
      <c r="G80" s="413">
        <v>203320</v>
      </c>
      <c r="H80" s="413">
        <v>0</v>
      </c>
      <c r="I80" s="413">
        <v>0</v>
      </c>
      <c r="J80" s="414">
        <v>150</v>
      </c>
      <c r="K80" s="428">
        <v>22219</v>
      </c>
      <c r="L80" s="413">
        <v>231</v>
      </c>
      <c r="M80" s="413">
        <v>33277</v>
      </c>
      <c r="N80" s="427">
        <v>537</v>
      </c>
      <c r="O80" s="427">
        <v>318626</v>
      </c>
      <c r="P80" s="413">
        <v>0</v>
      </c>
      <c r="Q80" s="413">
        <v>0</v>
      </c>
      <c r="R80" s="413">
        <v>290</v>
      </c>
      <c r="S80" s="413">
        <v>103057</v>
      </c>
      <c r="T80" s="413"/>
      <c r="U80" s="413"/>
      <c r="V80" s="413">
        <f>_xlfn.IFNA(VLOOKUP(A80,[3]進出口值表查詢結果!$C$11:$F$68,4,0),-[4]整車!$B$22)</f>
        <v>117</v>
      </c>
      <c r="W80" s="413">
        <f>_xlfn.IFNA(VLOOKUP(A80,[3]進出口值表查詢結果!$C$11:$F$68,3,0),-[4]整車!$B$22)</f>
        <v>105789</v>
      </c>
      <c r="X80" s="413">
        <f>_xlfn.IFNA(VLOOKUP(A80,[5]進出口值表查詢結果!$C$11:$F$68,4,0),-[4]整車!$B$22)</f>
        <v>461</v>
      </c>
      <c r="Y80" s="413">
        <f>_xlfn.IFNA(VLOOKUP(A80,[5]進出口值表查詢結果!$C$11:$F$68,3,0),-[4]整車!$B$22)</f>
        <v>211371</v>
      </c>
      <c r="Z80" s="407">
        <f t="shared" si="14"/>
        <v>2786</v>
      </c>
      <c r="AA80" s="407">
        <f t="shared" si="15"/>
        <v>1254662</v>
      </c>
    </row>
    <row r="81" spans="1:27">
      <c r="A81" s="449" t="s">
        <v>284</v>
      </c>
      <c r="B81" s="413"/>
      <c r="C81" s="413"/>
      <c r="D81" s="413"/>
      <c r="E81" s="413"/>
      <c r="F81" s="413">
        <v>55</v>
      </c>
      <c r="G81" s="413">
        <v>13342</v>
      </c>
      <c r="H81" s="413">
        <v>0</v>
      </c>
      <c r="I81" s="413">
        <v>0</v>
      </c>
      <c r="J81" s="414" t="s">
        <v>57</v>
      </c>
      <c r="K81" s="417" t="s">
        <v>57</v>
      </c>
      <c r="L81" s="413">
        <v>0</v>
      </c>
      <c r="M81" s="413">
        <v>0</v>
      </c>
      <c r="N81" s="413">
        <v>0</v>
      </c>
      <c r="O81" s="413">
        <v>0</v>
      </c>
      <c r="P81" s="413">
        <v>45</v>
      </c>
      <c r="Q81" s="413">
        <v>21552</v>
      </c>
      <c r="R81" s="413">
        <v>0</v>
      </c>
      <c r="S81" s="413">
        <v>0</v>
      </c>
      <c r="T81" s="413"/>
      <c r="U81" s="413"/>
      <c r="V81" s="413">
        <f>_xlfn.IFNA(VLOOKUP(A81,[3]進出口值表查詢結果!$C$11:$F$68,4,0),-[4]整車!$B$22)</f>
        <v>0</v>
      </c>
      <c r="W81" s="413">
        <f>_xlfn.IFNA(VLOOKUP(A81,[3]進出口值表查詢結果!$C$11:$F$68,3,0),-[4]整車!$B$22)</f>
        <v>0</v>
      </c>
      <c r="X81" s="413">
        <f>_xlfn.IFNA(VLOOKUP(A81,[5]進出口值表查詢結果!$C$11:$F$68,4,0),-[4]整車!$B$22)</f>
        <v>0</v>
      </c>
      <c r="Y81" s="413">
        <f>_xlfn.IFNA(VLOOKUP(A81,[5]進出口值表查詢結果!$C$11:$F$68,3,0),-[4]整車!$B$22)</f>
        <v>0</v>
      </c>
      <c r="Z81" s="407">
        <f t="shared" si="14"/>
        <v>100</v>
      </c>
      <c r="AA81" s="407">
        <f t="shared" si="15"/>
        <v>34894</v>
      </c>
    </row>
    <row r="82" spans="1:27">
      <c r="A82" s="418" t="s">
        <v>283</v>
      </c>
      <c r="B82" s="413"/>
      <c r="C82" s="413"/>
      <c r="D82" s="413"/>
      <c r="E82" s="413"/>
      <c r="F82" s="413">
        <v>0</v>
      </c>
      <c r="G82" s="413"/>
      <c r="H82" s="413">
        <v>0</v>
      </c>
      <c r="I82" s="413">
        <v>0</v>
      </c>
      <c r="J82" s="414" t="s">
        <v>57</v>
      </c>
      <c r="K82" s="417" t="s">
        <v>57</v>
      </c>
      <c r="L82" s="413">
        <v>0</v>
      </c>
      <c r="M82" s="413">
        <v>0</v>
      </c>
      <c r="N82" s="413">
        <v>0</v>
      </c>
      <c r="O82" s="413">
        <v>0</v>
      </c>
      <c r="P82" s="413">
        <v>0</v>
      </c>
      <c r="Q82" s="413">
        <v>0</v>
      </c>
      <c r="R82" s="413">
        <v>0</v>
      </c>
      <c r="S82" s="413">
        <v>0</v>
      </c>
      <c r="T82" s="413"/>
      <c r="U82" s="413"/>
      <c r="V82" s="413">
        <f>_xlfn.IFNA(VLOOKUP(A82,[3]進出口值表查詢結果!$C$11:$F$68,4,0),-[4]整車!$B$22)</f>
        <v>0</v>
      </c>
      <c r="W82" s="413">
        <f>_xlfn.IFNA(VLOOKUP(A82,[3]進出口值表查詢結果!$C$11:$F$68,3,0),-[4]整車!$B$22)</f>
        <v>0</v>
      </c>
      <c r="X82" s="413">
        <f>_xlfn.IFNA(VLOOKUP(A82,[5]進出口值表查詢結果!$C$11:$F$68,4,0),-[4]整車!$B$22)</f>
        <v>0</v>
      </c>
      <c r="Y82" s="413">
        <f>_xlfn.IFNA(VLOOKUP(A82,[5]進出口值表查詢結果!$C$11:$F$68,3,0),-[4]整車!$B$22)</f>
        <v>0</v>
      </c>
      <c r="Z82" s="407">
        <f t="shared" si="14"/>
        <v>0</v>
      </c>
      <c r="AA82" s="407">
        <f t="shared" si="15"/>
        <v>0</v>
      </c>
    </row>
    <row r="83" spans="1:27">
      <c r="A83" s="418" t="s">
        <v>285</v>
      </c>
      <c r="B83" s="413"/>
      <c r="C83" s="413"/>
      <c r="D83" s="413"/>
      <c r="E83" s="413"/>
      <c r="F83" s="413">
        <v>0</v>
      </c>
      <c r="G83" s="413"/>
      <c r="H83" s="413">
        <v>0</v>
      </c>
      <c r="I83" s="413">
        <v>0</v>
      </c>
      <c r="J83" s="414" t="s">
        <v>57</v>
      </c>
      <c r="K83" s="417">
        <v>0</v>
      </c>
      <c r="L83" s="413">
        <v>0</v>
      </c>
      <c r="M83" s="413">
        <v>0</v>
      </c>
      <c r="N83" s="413">
        <v>0</v>
      </c>
      <c r="O83" s="413">
        <v>0</v>
      </c>
      <c r="P83" s="413">
        <v>0</v>
      </c>
      <c r="Q83" s="413">
        <v>0</v>
      </c>
      <c r="R83" s="413">
        <v>0</v>
      </c>
      <c r="S83" s="413">
        <v>0</v>
      </c>
      <c r="T83" s="413">
        <v>0</v>
      </c>
      <c r="U83" s="413">
        <v>0</v>
      </c>
      <c r="V83" s="413">
        <f>_xlfn.IFNA(VLOOKUP(A83,[3]進出口值表查詢結果!$C$11:$F$68,4,0),-[4]整車!$B$22)</f>
        <v>0</v>
      </c>
      <c r="W83" s="413">
        <f>_xlfn.IFNA(VLOOKUP(A83,[3]進出口值表查詢結果!$C$11:$F$68,3,0),-[4]整車!$B$22)</f>
        <v>0</v>
      </c>
      <c r="X83" s="413">
        <f>_xlfn.IFNA(VLOOKUP(A83,[5]進出口值表查詢結果!$C$11:$F$68,4,0),-[4]整車!$B$22)</f>
        <v>0</v>
      </c>
      <c r="Y83" s="413">
        <f>_xlfn.IFNA(VLOOKUP(A83,[5]進出口值表查詢結果!$C$11:$F$68,3,0),-[4]整車!$B$22)</f>
        <v>0</v>
      </c>
      <c r="Z83" s="407">
        <f t="shared" si="14"/>
        <v>0</v>
      </c>
      <c r="AA83" s="407">
        <f t="shared" si="15"/>
        <v>0</v>
      </c>
    </row>
    <row r="84" spans="1:27">
      <c r="A84" s="416"/>
      <c r="B84" s="413"/>
      <c r="C84" s="413"/>
      <c r="D84" s="413"/>
      <c r="E84" s="413"/>
      <c r="F84" s="413"/>
      <c r="G84" s="413"/>
      <c r="H84" s="413"/>
      <c r="I84" s="413"/>
      <c r="J84" s="414"/>
      <c r="K84" s="415"/>
      <c r="L84" s="413"/>
      <c r="M84" s="413"/>
      <c r="N84" s="413"/>
      <c r="O84" s="413"/>
      <c r="P84" s="413"/>
      <c r="Q84" s="413"/>
      <c r="R84" s="413"/>
      <c r="S84" s="413"/>
      <c r="T84" s="413"/>
      <c r="U84" s="413"/>
      <c r="V84" s="413"/>
      <c r="W84" s="413"/>
      <c r="X84" s="413"/>
      <c r="Y84" s="413"/>
      <c r="Z84" s="407"/>
      <c r="AA84" s="407"/>
    </row>
    <row r="85" spans="1:27">
      <c r="A85" s="433" t="s">
        <v>45</v>
      </c>
      <c r="B85" s="434">
        <f t="shared" ref="B85:Y85" si="16">SUM(B86:B95)</f>
        <v>4580</v>
      </c>
      <c r="C85" s="434">
        <f t="shared" si="16"/>
        <v>4189345</v>
      </c>
      <c r="D85" s="434">
        <f t="shared" si="16"/>
        <v>4981</v>
      </c>
      <c r="E85" s="434">
        <f t="shared" si="16"/>
        <v>3563822</v>
      </c>
      <c r="F85" s="434">
        <f t="shared" si="16"/>
        <v>4938</v>
      </c>
      <c r="G85" s="434">
        <f t="shared" si="16"/>
        <v>4345204</v>
      </c>
      <c r="H85" s="434">
        <f t="shared" si="16"/>
        <v>4040</v>
      </c>
      <c r="I85" s="434">
        <f t="shared" si="16"/>
        <v>2474863</v>
      </c>
      <c r="J85" s="435">
        <f t="shared" si="16"/>
        <v>3564</v>
      </c>
      <c r="K85" s="436">
        <f>SUM(K86:K95)</f>
        <v>3664756</v>
      </c>
      <c r="L85" s="434">
        <f t="shared" si="16"/>
        <v>6992</v>
      </c>
      <c r="M85" s="434">
        <f t="shared" si="16"/>
        <v>7057607</v>
      </c>
      <c r="N85" s="434">
        <f t="shared" si="16"/>
        <v>9419</v>
      </c>
      <c r="O85" s="434">
        <f t="shared" si="16"/>
        <v>9080258</v>
      </c>
      <c r="P85" s="434">
        <f t="shared" si="16"/>
        <v>18596</v>
      </c>
      <c r="Q85" s="434">
        <f t="shared" si="16"/>
        <v>13272347</v>
      </c>
      <c r="R85" s="434">
        <f t="shared" si="16"/>
        <v>16559</v>
      </c>
      <c r="S85" s="434">
        <f t="shared" si="16"/>
        <v>10409447</v>
      </c>
      <c r="T85" s="434">
        <f t="shared" si="16"/>
        <v>9960</v>
      </c>
      <c r="U85" s="434">
        <f t="shared" si="16"/>
        <v>6716352</v>
      </c>
      <c r="V85" s="434">
        <f>SUM(V86:V95)</f>
        <v>10701</v>
      </c>
      <c r="W85" s="434">
        <f>SUM(W86:W95)</f>
        <v>9725369</v>
      </c>
      <c r="X85" s="434">
        <f t="shared" si="16"/>
        <v>14699</v>
      </c>
      <c r="Y85" s="434">
        <f t="shared" si="16"/>
        <v>10190062</v>
      </c>
      <c r="Z85" s="420">
        <f t="shared" ref="Z85:Z95" si="17">SUM(B85,D85,F85,H85,J85,L85,N85,P85,R85,T85,V85,X85)</f>
        <v>109029</v>
      </c>
      <c r="AA85" s="420">
        <f t="shared" ref="AA85:AA95" si="18">SUM(C85,E85,G85,I85,K85,M85,O85,Q85,S85,U85,W85,Y85)</f>
        <v>84689432</v>
      </c>
    </row>
    <row r="86" spans="1:27">
      <c r="A86" s="449" t="s">
        <v>171</v>
      </c>
      <c r="B86" s="413">
        <v>4150</v>
      </c>
      <c r="C86" s="413">
        <v>3694908</v>
      </c>
      <c r="D86" s="413">
        <v>4032</v>
      </c>
      <c r="E86" s="413">
        <v>2636975</v>
      </c>
      <c r="F86" s="413">
        <v>4087</v>
      </c>
      <c r="G86" s="413">
        <v>3599502</v>
      </c>
      <c r="H86" s="413">
        <v>3562</v>
      </c>
      <c r="I86" s="413">
        <v>1835676</v>
      </c>
      <c r="J86" s="414">
        <v>2839</v>
      </c>
      <c r="K86" s="415">
        <v>2636423</v>
      </c>
      <c r="L86" s="413">
        <v>5737</v>
      </c>
      <c r="M86" s="413">
        <v>5468499</v>
      </c>
      <c r="N86" s="427">
        <v>7440</v>
      </c>
      <c r="O86" s="427">
        <v>6804533</v>
      </c>
      <c r="P86" s="413">
        <v>15662</v>
      </c>
      <c r="Q86" s="413">
        <v>10198676</v>
      </c>
      <c r="R86" s="413">
        <v>14530</v>
      </c>
      <c r="S86" s="413">
        <v>8126261</v>
      </c>
      <c r="T86" s="413">
        <v>8369</v>
      </c>
      <c r="U86" s="413">
        <v>5188023</v>
      </c>
      <c r="V86" s="413">
        <f>_xlfn.IFNA(VLOOKUP(A86,[3]進出口值表查詢結果!$C$11:$F$68,4,0),-[4]整車!$B$22)</f>
        <v>8737</v>
      </c>
      <c r="W86" s="413">
        <f>_xlfn.IFNA(VLOOKUP(A86,[3]進出口值表查詢結果!$C$11:$F$68,3,0),-[4]整車!$B$22)</f>
        <v>7518300</v>
      </c>
      <c r="X86" s="413">
        <f>_xlfn.IFNA(VLOOKUP(A86,[5]進出口值表查詢結果!$C$11:$F$68,4,0),-[4]整車!$B$22)</f>
        <v>12512</v>
      </c>
      <c r="Y86" s="413">
        <f>_xlfn.IFNA(VLOOKUP(A86,[5]進出口值表查詢結果!$C$11:$F$68,3,0),-[4]整車!$B$22)</f>
        <v>8168473</v>
      </c>
      <c r="Z86" s="407">
        <f t="shared" si="17"/>
        <v>91657</v>
      </c>
      <c r="AA86" s="407">
        <f t="shared" si="18"/>
        <v>65876249</v>
      </c>
    </row>
    <row r="87" spans="1:27">
      <c r="A87" s="449" t="s">
        <v>286</v>
      </c>
      <c r="B87" s="413"/>
      <c r="C87" s="413"/>
      <c r="D87" s="413"/>
      <c r="E87" s="413"/>
      <c r="F87" s="413">
        <v>0</v>
      </c>
      <c r="G87" s="413"/>
      <c r="H87" s="413">
        <v>0</v>
      </c>
      <c r="I87" s="413">
        <v>0</v>
      </c>
      <c r="J87" s="414">
        <v>0</v>
      </c>
      <c r="K87" s="417">
        <v>0</v>
      </c>
      <c r="L87" s="413">
        <v>0</v>
      </c>
      <c r="M87" s="413">
        <v>0</v>
      </c>
      <c r="N87" s="413">
        <v>0</v>
      </c>
      <c r="O87" s="413">
        <v>0</v>
      </c>
      <c r="P87" s="413">
        <v>0</v>
      </c>
      <c r="Q87" s="413">
        <v>0</v>
      </c>
      <c r="R87" s="413">
        <v>0</v>
      </c>
      <c r="S87" s="413">
        <v>0</v>
      </c>
      <c r="T87" s="413"/>
      <c r="U87" s="413"/>
      <c r="V87" s="413">
        <f>_xlfn.IFNA(VLOOKUP(A87,[3]進出口值表查詢結果!$C$11:$F$68,4,0),-[4]整車!$B$22)</f>
        <v>0</v>
      </c>
      <c r="W87" s="413">
        <f>_xlfn.IFNA(VLOOKUP(A87,[3]進出口值表查詢結果!$C$11:$F$68,3,0),-[4]整車!$B$22)</f>
        <v>0</v>
      </c>
      <c r="X87" s="413">
        <f>_xlfn.IFNA(VLOOKUP(A87,[5]進出口值表查詢結果!$C$11:$F$68,4,0),-[4]整車!$B$22)</f>
        <v>0</v>
      </c>
      <c r="Y87" s="413">
        <f>_xlfn.IFNA(VLOOKUP(A87,[5]進出口值表查詢結果!$C$11:$F$68,3,0),-[4]整車!$B$22)</f>
        <v>0</v>
      </c>
      <c r="Z87" s="407">
        <f t="shared" si="17"/>
        <v>0</v>
      </c>
      <c r="AA87" s="407">
        <f t="shared" si="18"/>
        <v>0</v>
      </c>
    </row>
    <row r="88" spans="1:27">
      <c r="A88" s="449" t="s">
        <v>170</v>
      </c>
      <c r="B88" s="413">
        <v>399</v>
      </c>
      <c r="C88" s="413">
        <v>445420</v>
      </c>
      <c r="D88" s="413">
        <v>924</v>
      </c>
      <c r="E88" s="413">
        <v>877548</v>
      </c>
      <c r="F88" s="413">
        <v>851</v>
      </c>
      <c r="G88" s="413">
        <v>745702</v>
      </c>
      <c r="H88" s="413">
        <v>478</v>
      </c>
      <c r="I88" s="413">
        <v>639187</v>
      </c>
      <c r="J88" s="414">
        <v>694</v>
      </c>
      <c r="K88" s="415">
        <v>961243</v>
      </c>
      <c r="L88" s="413">
        <v>1089</v>
      </c>
      <c r="M88" s="413">
        <v>1332104</v>
      </c>
      <c r="N88" s="427">
        <v>1942</v>
      </c>
      <c r="O88" s="427">
        <v>2269776</v>
      </c>
      <c r="P88" s="413">
        <v>2862</v>
      </c>
      <c r="Q88" s="413">
        <v>2963505</v>
      </c>
      <c r="R88" s="413">
        <v>2009</v>
      </c>
      <c r="S88" s="413">
        <v>2248234</v>
      </c>
      <c r="T88" s="413">
        <v>1565</v>
      </c>
      <c r="U88" s="413">
        <v>1482993</v>
      </c>
      <c r="V88" s="413">
        <f>_xlfn.IFNA(VLOOKUP(A88,[3]進出口值表查詢結果!$C$11:$F$68,4,0),-[4]整車!$B$22)</f>
        <v>1783</v>
      </c>
      <c r="W88" s="413">
        <f>_xlfn.IFNA(VLOOKUP(A88,[3]進出口值表查詢結果!$C$11:$F$68,3,0),-[4]整車!$B$22)</f>
        <v>1858681</v>
      </c>
      <c r="X88" s="413">
        <f>_xlfn.IFNA(VLOOKUP(A88,[5]進出口值表查詢結果!$C$11:$F$68,4,0),-[4]整車!$B$22)</f>
        <v>2182</v>
      </c>
      <c r="Y88" s="413">
        <f>_xlfn.IFNA(VLOOKUP(A88,[5]進出口值表查詢結果!$C$11:$F$68,3,0),-[4]整車!$B$22)</f>
        <v>2014871</v>
      </c>
      <c r="Z88" s="407">
        <f t="shared" si="17"/>
        <v>16778</v>
      </c>
      <c r="AA88" s="407">
        <f t="shared" si="18"/>
        <v>17839264</v>
      </c>
    </row>
    <row r="89" spans="1:27">
      <c r="A89" s="449" t="s">
        <v>289</v>
      </c>
      <c r="B89" s="413"/>
      <c r="C89" s="413"/>
      <c r="D89" s="413"/>
      <c r="E89" s="413"/>
      <c r="F89" s="413">
        <v>0</v>
      </c>
      <c r="G89" s="413"/>
      <c r="H89" s="413">
        <v>0</v>
      </c>
      <c r="I89" s="413">
        <v>0</v>
      </c>
      <c r="J89" s="414" t="s">
        <v>57</v>
      </c>
      <c r="K89" s="417">
        <v>0</v>
      </c>
      <c r="L89" s="413">
        <v>0</v>
      </c>
      <c r="M89" s="413">
        <v>0</v>
      </c>
      <c r="N89" s="413">
        <v>0</v>
      </c>
      <c r="O89" s="413">
        <v>0</v>
      </c>
      <c r="P89" s="413">
        <v>0</v>
      </c>
      <c r="Q89" s="413">
        <v>0</v>
      </c>
      <c r="R89" s="413">
        <v>0</v>
      </c>
      <c r="S89" s="413">
        <v>0</v>
      </c>
      <c r="T89" s="413"/>
      <c r="U89" s="413"/>
      <c r="V89" s="413">
        <f>_xlfn.IFNA(VLOOKUP(A89,[3]進出口值表查詢結果!$C$11:$F$68,4,0),-[4]整車!$B$22)</f>
        <v>0</v>
      </c>
      <c r="W89" s="413">
        <f>_xlfn.IFNA(VLOOKUP(A89,[3]進出口值表查詢結果!$C$11:$F$68,3,0),-[4]整車!$B$22)</f>
        <v>0</v>
      </c>
      <c r="X89" s="413">
        <f>_xlfn.IFNA(VLOOKUP(A89,[5]進出口值表查詢結果!$C$11:$F$68,4,0),-[4]整車!$B$22)</f>
        <v>0</v>
      </c>
      <c r="Y89" s="413">
        <f>_xlfn.IFNA(VLOOKUP(A89,[5]進出口值表查詢結果!$C$11:$F$68,3,0),-[4]整車!$B$22)</f>
        <v>0</v>
      </c>
      <c r="Z89" s="407">
        <f t="shared" si="17"/>
        <v>0</v>
      </c>
      <c r="AA89" s="407">
        <f t="shared" si="18"/>
        <v>0</v>
      </c>
    </row>
    <row r="90" spans="1:27">
      <c r="A90" s="449" t="s">
        <v>288</v>
      </c>
      <c r="B90" s="413">
        <v>5</v>
      </c>
      <c r="C90" s="413">
        <v>13029</v>
      </c>
      <c r="D90" s="413">
        <v>25</v>
      </c>
      <c r="E90" s="413">
        <v>49299</v>
      </c>
      <c r="F90" s="413">
        <v>0</v>
      </c>
      <c r="G90" s="413"/>
      <c r="H90" s="413">
        <v>0</v>
      </c>
      <c r="I90" s="413">
        <v>0</v>
      </c>
      <c r="J90" s="414">
        <v>31</v>
      </c>
      <c r="K90" s="415">
        <v>67090</v>
      </c>
      <c r="L90" s="413">
        <v>166</v>
      </c>
      <c r="M90" s="413">
        <v>257004</v>
      </c>
      <c r="N90" s="427">
        <v>2</v>
      </c>
      <c r="O90" s="413">
        <v>2535</v>
      </c>
      <c r="P90" s="413">
        <v>72</v>
      </c>
      <c r="Q90" s="413">
        <v>110166</v>
      </c>
      <c r="R90" s="413">
        <v>20</v>
      </c>
      <c r="S90" s="413">
        <v>34952</v>
      </c>
      <c r="T90" s="413">
        <v>26</v>
      </c>
      <c r="U90" s="413">
        <v>45336</v>
      </c>
      <c r="V90" s="413">
        <f>_xlfn.IFNA(VLOOKUP(A90,[3]進出口值表查詢結果!$C$11:$F$68,4,0),-[4]整車!$B$22)</f>
        <v>156</v>
      </c>
      <c r="W90" s="413">
        <f>_xlfn.IFNA(VLOOKUP(A90,[3]進出口值表查詢結果!$C$11:$F$68,3,0),-[4]整車!$B$22)</f>
        <v>316499</v>
      </c>
      <c r="X90" s="413">
        <f>_xlfn.IFNA(VLOOKUP(A90,[5]進出口值表查詢結果!$C$11:$F$68,4,0),-[4]整車!$B$22)</f>
        <v>5</v>
      </c>
      <c r="Y90" s="413">
        <f>_xlfn.IFNA(VLOOKUP(A90,[5]進出口值表查詢結果!$C$11:$F$68,3,0),-[4]整車!$B$22)</f>
        <v>6718</v>
      </c>
      <c r="Z90" s="407">
        <f t="shared" si="17"/>
        <v>508</v>
      </c>
      <c r="AA90" s="407">
        <f t="shared" si="18"/>
        <v>902628</v>
      </c>
    </row>
    <row r="91" spans="1:27">
      <c r="A91" s="449" t="s">
        <v>290</v>
      </c>
      <c r="B91" s="413"/>
      <c r="C91" s="413"/>
      <c r="D91" s="413"/>
      <c r="E91" s="413"/>
      <c r="F91" s="413">
        <v>0</v>
      </c>
      <c r="G91" s="413"/>
      <c r="H91" s="413">
        <v>0</v>
      </c>
      <c r="I91" s="413">
        <v>0</v>
      </c>
      <c r="J91" s="414" t="s">
        <v>57</v>
      </c>
      <c r="K91" s="417">
        <v>0</v>
      </c>
      <c r="L91" s="413">
        <v>0</v>
      </c>
      <c r="M91" s="413">
        <v>0</v>
      </c>
      <c r="N91" s="413">
        <v>0</v>
      </c>
      <c r="O91" s="413">
        <v>0</v>
      </c>
      <c r="P91" s="413">
        <v>0</v>
      </c>
      <c r="Q91" s="413">
        <v>0</v>
      </c>
      <c r="R91" s="413">
        <v>0</v>
      </c>
      <c r="S91" s="413">
        <v>0</v>
      </c>
      <c r="T91" s="413"/>
      <c r="U91" s="413"/>
      <c r="V91" s="413">
        <f>_xlfn.IFNA(VLOOKUP(A91,[3]進出口值表查詢結果!$C$11:$F$68,4,0),-[4]整車!$B$22)</f>
        <v>0</v>
      </c>
      <c r="W91" s="413">
        <f>_xlfn.IFNA(VLOOKUP(A91,[3]進出口值表查詢結果!$C$11:$F$68,3,0),-[4]整車!$B$22)</f>
        <v>0</v>
      </c>
      <c r="X91" s="413">
        <f>_xlfn.IFNA(VLOOKUP(A91,[5]進出口值表查詢結果!$C$11:$F$68,4,0),-[4]整車!$B$22)</f>
        <v>0</v>
      </c>
      <c r="Y91" s="413">
        <f>_xlfn.IFNA(VLOOKUP(A91,[5]進出口值表查詢結果!$C$11:$F$68,3,0),-[4]整車!$B$22)</f>
        <v>0</v>
      </c>
      <c r="Z91" s="407">
        <f t="shared" si="17"/>
        <v>0</v>
      </c>
      <c r="AA91" s="407">
        <f t="shared" si="18"/>
        <v>0</v>
      </c>
    </row>
    <row r="92" spans="1:27">
      <c r="A92" s="449" t="s">
        <v>393</v>
      </c>
      <c r="B92" s="413">
        <v>26</v>
      </c>
      <c r="C92" s="413">
        <v>35988</v>
      </c>
      <c r="D92" s="413"/>
      <c r="E92" s="413"/>
      <c r="F92" s="413">
        <v>0</v>
      </c>
      <c r="G92" s="413"/>
      <c r="H92" s="413">
        <v>0</v>
      </c>
      <c r="I92" s="413">
        <v>0</v>
      </c>
      <c r="J92" s="414" t="s">
        <v>57</v>
      </c>
      <c r="K92" s="417">
        <v>0</v>
      </c>
      <c r="L92" s="413">
        <v>0</v>
      </c>
      <c r="M92" s="413">
        <v>0</v>
      </c>
      <c r="N92" s="413">
        <v>0</v>
      </c>
      <c r="O92" s="413">
        <v>0</v>
      </c>
      <c r="P92" s="413">
        <v>0</v>
      </c>
      <c r="Q92" s="413">
        <v>0</v>
      </c>
      <c r="R92" s="413">
        <v>0</v>
      </c>
      <c r="S92" s="413">
        <v>0</v>
      </c>
      <c r="T92" s="413"/>
      <c r="U92" s="413"/>
      <c r="V92" s="413">
        <f>_xlfn.IFNA(VLOOKUP(A92,[3]進出口值表查詢結果!$C$11:$F$68,4,0),-[4]整車!$B$22)</f>
        <v>25</v>
      </c>
      <c r="W92" s="413">
        <f>_xlfn.IFNA(VLOOKUP(A92,[3]進出口值表查詢結果!$C$11:$F$68,3,0),-[4]整車!$B$22)</f>
        <v>31889</v>
      </c>
      <c r="X92" s="413">
        <f>_xlfn.IFNA(VLOOKUP(A92,[5]進出口值表查詢結果!$C$11:$F$68,4,0),-[4]整車!$B$22)</f>
        <v>0</v>
      </c>
      <c r="Y92" s="413">
        <f>_xlfn.IFNA(VLOOKUP(A92,[5]進出口值表查詢結果!$C$11:$F$68,3,0),-[4]整車!$B$22)</f>
        <v>0</v>
      </c>
      <c r="Z92" s="407">
        <f t="shared" si="17"/>
        <v>51</v>
      </c>
      <c r="AA92" s="407">
        <f t="shared" si="18"/>
        <v>67877</v>
      </c>
    </row>
    <row r="93" spans="1:27">
      <c r="A93" s="449" t="s">
        <v>292</v>
      </c>
      <c r="B93" s="413"/>
      <c r="C93" s="413"/>
      <c r="D93" s="413"/>
      <c r="E93" s="413"/>
      <c r="F93" s="413">
        <v>0</v>
      </c>
      <c r="G93" s="413"/>
      <c r="H93" s="413">
        <v>0</v>
      </c>
      <c r="I93" s="413">
        <v>0</v>
      </c>
      <c r="J93" s="414" t="s">
        <v>57</v>
      </c>
      <c r="K93" s="417">
        <v>0</v>
      </c>
      <c r="L93" s="413">
        <v>0</v>
      </c>
      <c r="M93" s="413">
        <v>0</v>
      </c>
      <c r="N93" s="427">
        <v>35</v>
      </c>
      <c r="O93" s="427">
        <v>3414</v>
      </c>
      <c r="P93" s="413">
        <v>0</v>
      </c>
      <c r="Q93" s="413">
        <v>0</v>
      </c>
      <c r="R93" s="413">
        <v>0</v>
      </c>
      <c r="S93" s="413">
        <v>0</v>
      </c>
      <c r="T93" s="413"/>
      <c r="U93" s="413"/>
      <c r="V93" s="413">
        <f>_xlfn.IFNA(VLOOKUP(A93,[3]進出口值表查詢結果!$C$11:$F$68,4,0),-[4]整車!$B$22)</f>
        <v>0</v>
      </c>
      <c r="W93" s="413">
        <f>_xlfn.IFNA(VLOOKUP(A93,[3]進出口值表查詢結果!$C$11:$F$68,3,0),-[4]整車!$B$22)</f>
        <v>0</v>
      </c>
      <c r="X93" s="413">
        <f>_xlfn.IFNA(VLOOKUP(A93,[5]進出口值表查詢結果!$C$11:$F$68,4,0),-[4]整車!$B$22)</f>
        <v>0</v>
      </c>
      <c r="Y93" s="413">
        <f>_xlfn.IFNA(VLOOKUP(A93,[5]進出口值表查詢結果!$C$11:$F$68,3,0),-[4]整車!$B$22)</f>
        <v>0</v>
      </c>
      <c r="Z93" s="407">
        <f t="shared" si="17"/>
        <v>35</v>
      </c>
      <c r="AA93" s="407">
        <f t="shared" si="18"/>
        <v>3414</v>
      </c>
    </row>
    <row r="94" spans="1:27">
      <c r="A94" s="449" t="s">
        <v>291</v>
      </c>
      <c r="B94" s="413"/>
      <c r="C94" s="413"/>
      <c r="D94" s="413"/>
      <c r="E94" s="413"/>
      <c r="F94" s="413">
        <v>0</v>
      </c>
      <c r="G94" s="413"/>
      <c r="H94" s="413">
        <v>0</v>
      </c>
      <c r="I94" s="413">
        <v>0</v>
      </c>
      <c r="J94" s="414" t="s">
        <v>57</v>
      </c>
      <c r="K94" s="417">
        <v>0</v>
      </c>
      <c r="L94" s="413">
        <v>0</v>
      </c>
      <c r="M94" s="413">
        <v>0</v>
      </c>
      <c r="N94" s="413">
        <v>0</v>
      </c>
      <c r="O94" s="413">
        <v>0</v>
      </c>
      <c r="P94" s="413">
        <v>0</v>
      </c>
      <c r="Q94" s="413">
        <v>0</v>
      </c>
      <c r="R94" s="413">
        <v>0</v>
      </c>
      <c r="S94" s="413">
        <v>0</v>
      </c>
      <c r="T94" s="413"/>
      <c r="U94" s="413"/>
      <c r="V94" s="413">
        <f>_xlfn.IFNA(VLOOKUP(A94,[3]進出口值表查詢結果!$C$11:$F$68,4,0),-[4]整車!$B$22)</f>
        <v>0</v>
      </c>
      <c r="W94" s="413">
        <f>_xlfn.IFNA(VLOOKUP(A94,[3]進出口值表查詢結果!$C$11:$F$68,3,0),-[4]整車!$B$22)</f>
        <v>0</v>
      </c>
      <c r="X94" s="413">
        <f>_xlfn.IFNA(VLOOKUP(A94,[5]進出口值表查詢結果!$C$11:$F$68,4,0),-[4]整車!$B$22)</f>
        <v>0</v>
      </c>
      <c r="Y94" s="413">
        <f>_xlfn.IFNA(VLOOKUP(A94,[5]進出口值表查詢結果!$C$11:$F$68,3,0),-[4]整車!$B$22)</f>
        <v>0</v>
      </c>
      <c r="Z94" s="407">
        <f t="shared" si="17"/>
        <v>0</v>
      </c>
      <c r="AA94" s="407">
        <f t="shared" si="18"/>
        <v>0</v>
      </c>
    </row>
    <row r="95" spans="1:27">
      <c r="A95" s="451" t="s">
        <v>293</v>
      </c>
      <c r="B95" s="407"/>
      <c r="C95" s="407"/>
      <c r="D95" s="407"/>
      <c r="E95" s="413"/>
      <c r="F95" s="407">
        <v>0</v>
      </c>
      <c r="G95" s="407"/>
      <c r="H95" s="413">
        <v>0</v>
      </c>
      <c r="I95" s="413">
        <v>0</v>
      </c>
      <c r="J95" s="400" t="s">
        <v>57</v>
      </c>
      <c r="K95" s="417">
        <v>0</v>
      </c>
      <c r="L95" s="407">
        <v>0</v>
      </c>
      <c r="M95" s="407">
        <v>0</v>
      </c>
      <c r="N95" s="407">
        <v>0</v>
      </c>
      <c r="O95" s="407">
        <v>0</v>
      </c>
      <c r="P95" s="413">
        <v>0</v>
      </c>
      <c r="Q95" s="413">
        <v>0</v>
      </c>
      <c r="R95" s="413">
        <v>0</v>
      </c>
      <c r="S95" s="413">
        <v>0</v>
      </c>
      <c r="T95" s="407"/>
      <c r="U95" s="407"/>
      <c r="V95" s="413">
        <f>_xlfn.IFNA(VLOOKUP(A95,[3]進出口值表查詢結果!$C$11:$F$68,4,0),-[4]整車!$B$22)</f>
        <v>0</v>
      </c>
      <c r="W95" s="413">
        <f>_xlfn.IFNA(VLOOKUP(A95,[3]進出口值表查詢結果!$C$11:$F$68,3,0),-[4]整車!$B$22)</f>
        <v>0</v>
      </c>
      <c r="X95" s="413">
        <f>_xlfn.IFNA(VLOOKUP(A95,[5]進出口值表查詢結果!$C$11:$F$68,4,0),-[4]整車!$B$22)</f>
        <v>0</v>
      </c>
      <c r="Y95" s="413">
        <f>_xlfn.IFNA(VLOOKUP(A95,[5]進出口值表查詢結果!$C$11:$F$68,3,0),-[4]整車!$B$22)</f>
        <v>0</v>
      </c>
      <c r="Z95" s="407">
        <f t="shared" si="17"/>
        <v>0</v>
      </c>
      <c r="AA95" s="407">
        <f t="shared" si="18"/>
        <v>0</v>
      </c>
    </row>
    <row r="96" spans="1:27">
      <c r="A96" s="406"/>
      <c r="B96" s="407"/>
      <c r="C96" s="407"/>
      <c r="D96" s="407"/>
      <c r="E96" s="407"/>
      <c r="F96" s="407"/>
      <c r="G96" s="407"/>
      <c r="H96" s="407"/>
      <c r="I96" s="407"/>
      <c r="J96" s="400"/>
      <c r="K96" s="401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407"/>
      <c r="X96" s="407"/>
      <c r="Y96" s="407"/>
      <c r="Z96" s="407"/>
      <c r="AA96" s="407"/>
    </row>
    <row r="97" spans="1:27">
      <c r="A97" s="433" t="s">
        <v>140</v>
      </c>
      <c r="B97" s="434">
        <f t="shared" ref="B97:Y97" si="19">SUM(B98:B100)</f>
        <v>52798</v>
      </c>
      <c r="C97" s="434">
        <f t="shared" si="19"/>
        <v>33121696</v>
      </c>
      <c r="D97" s="434">
        <f t="shared" si="19"/>
        <v>50400</v>
      </c>
      <c r="E97" s="434">
        <f t="shared" si="19"/>
        <v>31534279</v>
      </c>
      <c r="F97" s="434">
        <f t="shared" si="19"/>
        <v>40988</v>
      </c>
      <c r="G97" s="434">
        <f t="shared" si="19"/>
        <v>23973578</v>
      </c>
      <c r="H97" s="434">
        <f t="shared" si="19"/>
        <v>42311</v>
      </c>
      <c r="I97" s="434">
        <f t="shared" si="19"/>
        <v>22157100</v>
      </c>
      <c r="J97" s="435">
        <f t="shared" si="19"/>
        <v>68862</v>
      </c>
      <c r="K97" s="436">
        <f t="shared" si="19"/>
        <v>39539255</v>
      </c>
      <c r="L97" s="434">
        <f t="shared" si="19"/>
        <v>61547</v>
      </c>
      <c r="M97" s="434">
        <f t="shared" si="19"/>
        <v>41765283</v>
      </c>
      <c r="N97" s="434">
        <f t="shared" si="19"/>
        <v>57860</v>
      </c>
      <c r="O97" s="434">
        <f t="shared" si="19"/>
        <v>47576440</v>
      </c>
      <c r="P97" s="434">
        <f t="shared" si="19"/>
        <v>70020</v>
      </c>
      <c r="Q97" s="434">
        <f t="shared" si="19"/>
        <v>47975910</v>
      </c>
      <c r="R97" s="434">
        <f t="shared" si="19"/>
        <v>57029</v>
      </c>
      <c r="S97" s="434">
        <f t="shared" si="19"/>
        <v>32139611</v>
      </c>
      <c r="T97" s="434">
        <f t="shared" si="19"/>
        <v>68638</v>
      </c>
      <c r="U97" s="434">
        <f t="shared" si="19"/>
        <v>38723065</v>
      </c>
      <c r="V97" s="434">
        <f>SUM(V98:V100)</f>
        <v>76863</v>
      </c>
      <c r="W97" s="434">
        <f>SUM(W98:W100)</f>
        <v>36987555</v>
      </c>
      <c r="X97" s="434">
        <f t="shared" si="19"/>
        <v>64518</v>
      </c>
      <c r="Y97" s="434">
        <f t="shared" si="19"/>
        <v>35209517</v>
      </c>
      <c r="Z97" s="420">
        <f t="shared" ref="Z97:AA100" si="20">SUM(B97,D97,F97,H97,J97,L97,N97,P97,R97,T97,V97,X97)</f>
        <v>711834</v>
      </c>
      <c r="AA97" s="420">
        <f t="shared" si="20"/>
        <v>430703289</v>
      </c>
    </row>
    <row r="98" spans="1:27">
      <c r="A98" s="449" t="s">
        <v>159</v>
      </c>
      <c r="B98" s="413">
        <v>48120</v>
      </c>
      <c r="C98" s="413">
        <v>29498633</v>
      </c>
      <c r="D98" s="413">
        <v>44184</v>
      </c>
      <c r="E98" s="413">
        <v>25012824</v>
      </c>
      <c r="F98" s="413">
        <v>37364</v>
      </c>
      <c r="G98" s="413">
        <v>20911414</v>
      </c>
      <c r="H98" s="413">
        <v>40429</v>
      </c>
      <c r="I98" s="413">
        <v>20039545</v>
      </c>
      <c r="J98" s="414">
        <v>65721</v>
      </c>
      <c r="K98" s="415">
        <v>36235280</v>
      </c>
      <c r="L98" s="413">
        <v>57262</v>
      </c>
      <c r="M98" s="413">
        <v>37300973</v>
      </c>
      <c r="N98" s="413">
        <v>52826</v>
      </c>
      <c r="O98" s="413">
        <v>41788643</v>
      </c>
      <c r="P98" s="413">
        <v>65538</v>
      </c>
      <c r="Q98" s="413">
        <v>42663542</v>
      </c>
      <c r="R98" s="413">
        <v>54118</v>
      </c>
      <c r="S98" s="413">
        <v>29005811</v>
      </c>
      <c r="T98" s="413">
        <v>65331</v>
      </c>
      <c r="U98" s="413">
        <v>34634631</v>
      </c>
      <c r="V98" s="413">
        <f>_xlfn.IFNA(VLOOKUP(A98,[3]進出口值表查詢結果!$C$11:$F$68,4,0),-[4]整車!$B$22)</f>
        <v>73370</v>
      </c>
      <c r="W98" s="413">
        <f>_xlfn.IFNA(VLOOKUP(A98,[3]進出口值表查詢結果!$C$11:$F$68,3,0),-[4]整車!$B$22)</f>
        <v>33547174</v>
      </c>
      <c r="X98" s="413">
        <f>_xlfn.IFNA(VLOOKUP(A98,[5]進出口值表查詢結果!$C$11:$F$68,4,0),-[4]整車!$B$22)</f>
        <v>60970</v>
      </c>
      <c r="Y98" s="413">
        <f>_xlfn.IFNA(VLOOKUP(A98,[5]進出口值表查詢結果!$C$11:$F$68,3,0),-[4]整車!$B$22)</f>
        <v>32188211</v>
      </c>
      <c r="Z98" s="407">
        <f t="shared" si="20"/>
        <v>665233</v>
      </c>
      <c r="AA98" s="407">
        <f t="shared" si="20"/>
        <v>382826681</v>
      </c>
    </row>
    <row r="99" spans="1:27">
      <c r="A99" s="449" t="s">
        <v>169</v>
      </c>
      <c r="B99" s="413">
        <v>4285</v>
      </c>
      <c r="C99" s="413">
        <v>3224729</v>
      </c>
      <c r="D99" s="413">
        <v>5520</v>
      </c>
      <c r="E99" s="413">
        <v>5948302</v>
      </c>
      <c r="F99" s="413">
        <v>3453</v>
      </c>
      <c r="G99" s="413">
        <v>2889944</v>
      </c>
      <c r="H99" s="413">
        <v>1520</v>
      </c>
      <c r="I99" s="413">
        <v>1622558</v>
      </c>
      <c r="J99" s="414">
        <v>2611</v>
      </c>
      <c r="K99" s="415">
        <v>2499831</v>
      </c>
      <c r="L99" s="413">
        <v>3403</v>
      </c>
      <c r="M99" s="413">
        <v>3630698</v>
      </c>
      <c r="N99" s="413">
        <v>3856</v>
      </c>
      <c r="O99" s="413">
        <v>4296622</v>
      </c>
      <c r="P99" s="413">
        <v>3208</v>
      </c>
      <c r="Q99" s="413">
        <v>3679701</v>
      </c>
      <c r="R99" s="413">
        <v>2427</v>
      </c>
      <c r="S99" s="413">
        <v>2612605</v>
      </c>
      <c r="T99" s="413">
        <v>2276</v>
      </c>
      <c r="U99" s="413">
        <v>3152428</v>
      </c>
      <c r="V99" s="413">
        <f>_xlfn.IFNA(VLOOKUP(A99,[3]進出口值表查詢結果!$C$11:$F$68,4,0),-[4]整車!$B$22)</f>
        <v>2267</v>
      </c>
      <c r="W99" s="413">
        <f>_xlfn.IFNA(VLOOKUP(A99,[3]進出口值表查詢結果!$C$11:$F$68,3,0),-[4]整車!$B$22)</f>
        <v>2558579</v>
      </c>
      <c r="X99" s="413">
        <f>_xlfn.IFNA(VLOOKUP(A99,[5]進出口值表查詢結果!$C$11:$F$68,4,0),-[4]整車!$B$22)</f>
        <v>3014</v>
      </c>
      <c r="Y99" s="413">
        <f>_xlfn.IFNA(VLOOKUP(A99,[5]進出口值表查詢結果!$C$11:$F$68,3,0),-[4]整車!$B$22)</f>
        <v>2345835</v>
      </c>
      <c r="Z99" s="407">
        <f t="shared" si="20"/>
        <v>37840</v>
      </c>
      <c r="AA99" s="407">
        <f t="shared" si="20"/>
        <v>38461832</v>
      </c>
    </row>
    <row r="100" spans="1:27">
      <c r="A100" s="449" t="s">
        <v>192</v>
      </c>
      <c r="B100" s="413">
        <v>393</v>
      </c>
      <c r="C100" s="413">
        <v>398334</v>
      </c>
      <c r="D100" s="413">
        <v>696</v>
      </c>
      <c r="E100" s="413">
        <v>573153</v>
      </c>
      <c r="F100" s="413">
        <v>171</v>
      </c>
      <c r="G100" s="413">
        <v>172220</v>
      </c>
      <c r="H100" s="413">
        <v>362</v>
      </c>
      <c r="I100" s="413">
        <v>494997</v>
      </c>
      <c r="J100" s="414">
        <v>530</v>
      </c>
      <c r="K100" s="417">
        <v>804144</v>
      </c>
      <c r="L100" s="413">
        <v>882</v>
      </c>
      <c r="M100" s="413">
        <v>833612</v>
      </c>
      <c r="N100" s="413">
        <v>1178</v>
      </c>
      <c r="O100" s="413">
        <v>1491175</v>
      </c>
      <c r="P100" s="413">
        <v>1274</v>
      </c>
      <c r="Q100" s="413">
        <v>1632667</v>
      </c>
      <c r="R100" s="413">
        <v>484</v>
      </c>
      <c r="S100" s="413">
        <v>521195</v>
      </c>
      <c r="T100" s="413">
        <v>1031</v>
      </c>
      <c r="U100" s="413">
        <v>936006</v>
      </c>
      <c r="V100" s="413">
        <f>_xlfn.IFNA(VLOOKUP(A100,[3]進出口值表查詢結果!$C$11:$F$68,4,0),-[4]整車!$B$22)</f>
        <v>1226</v>
      </c>
      <c r="W100" s="413">
        <f>_xlfn.IFNA(VLOOKUP(A100,[3]進出口值表查詢結果!$C$11:$F$68,3,0),-[4]整車!$B$22)</f>
        <v>881802</v>
      </c>
      <c r="X100" s="413">
        <f>_xlfn.IFNA(VLOOKUP(A100,[5]進出口值表查詢結果!$C$11:$F$68,4,0),-[4]整車!$B$22)</f>
        <v>534</v>
      </c>
      <c r="Y100" s="413">
        <f>_xlfn.IFNA(VLOOKUP(A100,[5]進出口值表查詢結果!$C$11:$F$68,3,0),-[4]整車!$B$22)</f>
        <v>675471</v>
      </c>
      <c r="Z100" s="407">
        <f t="shared" si="20"/>
        <v>8761</v>
      </c>
      <c r="AA100" s="407">
        <f t="shared" si="20"/>
        <v>9414776</v>
      </c>
    </row>
    <row r="101" spans="1:27">
      <c r="A101" s="416"/>
      <c r="B101" s="413"/>
      <c r="C101" s="413"/>
      <c r="D101" s="413"/>
      <c r="E101" s="413"/>
      <c r="F101" s="413"/>
      <c r="G101" s="413"/>
      <c r="H101" s="413"/>
      <c r="I101" s="413"/>
      <c r="J101" s="414"/>
      <c r="K101" s="415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07"/>
      <c r="AA101" s="407"/>
    </row>
    <row r="102" spans="1:27">
      <c r="A102" s="433" t="s">
        <v>43</v>
      </c>
      <c r="B102" s="434">
        <f t="shared" ref="B102:Y102" si="21">SUM(B103:B134)</f>
        <v>1934</v>
      </c>
      <c r="C102" s="434">
        <f t="shared" si="21"/>
        <v>1731089</v>
      </c>
      <c r="D102" s="434">
        <f t="shared" si="21"/>
        <v>1633</v>
      </c>
      <c r="E102" s="434">
        <f t="shared" si="21"/>
        <v>1772448</v>
      </c>
      <c r="F102" s="434">
        <f t="shared" si="21"/>
        <v>1822</v>
      </c>
      <c r="G102" s="434">
        <f t="shared" si="21"/>
        <v>2077067</v>
      </c>
      <c r="H102" s="434">
        <f t="shared" si="21"/>
        <v>906</v>
      </c>
      <c r="I102" s="434">
        <f t="shared" si="21"/>
        <v>1075357</v>
      </c>
      <c r="J102" s="435">
        <f t="shared" si="21"/>
        <v>1957</v>
      </c>
      <c r="K102" s="436">
        <f t="shared" si="21"/>
        <v>3078550</v>
      </c>
      <c r="L102" s="434">
        <f t="shared" si="21"/>
        <v>3212</v>
      </c>
      <c r="M102" s="434">
        <f t="shared" si="21"/>
        <v>4353020</v>
      </c>
      <c r="N102" s="434">
        <f t="shared" si="21"/>
        <v>3748</v>
      </c>
      <c r="O102" s="434">
        <f t="shared" si="21"/>
        <v>4915548</v>
      </c>
      <c r="P102" s="434">
        <f t="shared" si="21"/>
        <v>2931</v>
      </c>
      <c r="Q102" s="434">
        <f t="shared" si="21"/>
        <v>4038698</v>
      </c>
      <c r="R102" s="434">
        <f t="shared" si="21"/>
        <v>2759</v>
      </c>
      <c r="S102" s="434">
        <f t="shared" si="21"/>
        <v>3387332</v>
      </c>
      <c r="T102" s="434">
        <f t="shared" si="21"/>
        <v>2949</v>
      </c>
      <c r="U102" s="434">
        <f t="shared" si="21"/>
        <v>3052841</v>
      </c>
      <c r="V102" s="434">
        <f>SUM(V103:V134)</f>
        <v>1812</v>
      </c>
      <c r="W102" s="434">
        <f>SUM(W103:W134)</f>
        <v>2019548</v>
      </c>
      <c r="X102" s="434">
        <f t="shared" si="21"/>
        <v>2688</v>
      </c>
      <c r="Y102" s="434">
        <f t="shared" si="21"/>
        <v>2319383</v>
      </c>
      <c r="Z102" s="420">
        <f t="shared" ref="Z102:Z134" si="22">SUM(B102,D102,F102,H102,J102,L102,N102,P102,R102,T102,V102,X102)</f>
        <v>28351</v>
      </c>
      <c r="AA102" s="420">
        <f t="shared" ref="AA102:AA134" si="23">SUM(C102,E102,G102,I102,K102,M102,O102,Q102,S102,U102,W102,Y102)</f>
        <v>33820881</v>
      </c>
    </row>
    <row r="103" spans="1:27">
      <c r="A103" s="449" t="s">
        <v>294</v>
      </c>
      <c r="B103" s="413"/>
      <c r="C103" s="413"/>
      <c r="D103" s="413"/>
      <c r="E103" s="413"/>
      <c r="F103" s="413">
        <v>0</v>
      </c>
      <c r="G103" s="413"/>
      <c r="H103" s="413">
        <v>0</v>
      </c>
      <c r="I103" s="413">
        <v>0</v>
      </c>
      <c r="J103" s="414" t="s">
        <v>57</v>
      </c>
      <c r="K103" s="417" t="s">
        <v>57</v>
      </c>
      <c r="L103" s="413"/>
      <c r="M103" s="413"/>
      <c r="N103" s="413"/>
      <c r="O103" s="413"/>
      <c r="P103" s="413">
        <v>0</v>
      </c>
      <c r="Q103" s="413">
        <v>0</v>
      </c>
      <c r="R103" s="413">
        <v>0</v>
      </c>
      <c r="S103" s="413">
        <v>0</v>
      </c>
      <c r="T103" s="413"/>
      <c r="U103" s="413"/>
      <c r="V103" s="413">
        <f>_xlfn.IFNA(VLOOKUP(A103,[3]進出口值表查詢結果!$C$11:$F$68,4,0),-[4]整車!$B$22)</f>
        <v>0</v>
      </c>
      <c r="W103" s="413">
        <f>_xlfn.IFNA(VLOOKUP(A103,[3]進出口值表查詢結果!$C$11:$F$68,3,0),-[4]整車!$B$22)</f>
        <v>0</v>
      </c>
      <c r="X103" s="413">
        <f>_xlfn.IFNA(VLOOKUP(A103,[5]進出口值表查詢結果!$C$11:$F$68,4,0),-[4]整車!$B$22)</f>
        <v>0</v>
      </c>
      <c r="Y103" s="413">
        <f>_xlfn.IFNA(VLOOKUP(A103,[5]進出口值表查詢結果!$C$11:$F$68,3,0),-[4]整車!$B$22)</f>
        <v>0</v>
      </c>
      <c r="Z103" s="407">
        <f t="shared" si="22"/>
        <v>0</v>
      </c>
      <c r="AA103" s="407">
        <f t="shared" si="23"/>
        <v>0</v>
      </c>
    </row>
    <row r="104" spans="1:27">
      <c r="A104" s="449" t="s">
        <v>295</v>
      </c>
      <c r="B104" s="413"/>
      <c r="C104" s="413"/>
      <c r="D104" s="413"/>
      <c r="E104" s="413"/>
      <c r="F104" s="413">
        <v>0</v>
      </c>
      <c r="G104" s="413"/>
      <c r="H104" s="413">
        <v>0</v>
      </c>
      <c r="I104" s="413">
        <v>0</v>
      </c>
      <c r="J104" s="414" t="s">
        <v>57</v>
      </c>
      <c r="K104" s="417" t="s">
        <v>57</v>
      </c>
      <c r="L104" s="413"/>
      <c r="M104" s="413"/>
      <c r="N104" s="413"/>
      <c r="O104" s="413"/>
      <c r="P104" s="413">
        <v>0</v>
      </c>
      <c r="Q104" s="413">
        <v>0</v>
      </c>
      <c r="R104" s="413">
        <v>0</v>
      </c>
      <c r="S104" s="413">
        <v>0</v>
      </c>
      <c r="T104" s="413"/>
      <c r="U104" s="413"/>
      <c r="V104" s="413">
        <f>_xlfn.IFNA(VLOOKUP(A104,[3]進出口值表查詢結果!$C$11:$F$68,4,0),-[4]整車!$B$22)</f>
        <v>0</v>
      </c>
      <c r="W104" s="413">
        <f>_xlfn.IFNA(VLOOKUP(A104,[3]進出口值表查詢結果!$C$11:$F$68,3,0),-[4]整車!$B$22)</f>
        <v>0</v>
      </c>
      <c r="X104" s="413">
        <f>_xlfn.IFNA(VLOOKUP(A104,[5]進出口值表查詢結果!$C$11:$F$68,4,0),-[4]整車!$B$22)</f>
        <v>0</v>
      </c>
      <c r="Y104" s="413">
        <f>_xlfn.IFNA(VLOOKUP(A104,[5]進出口值表查詢結果!$C$11:$F$68,3,0),-[4]整車!$B$22)</f>
        <v>0</v>
      </c>
      <c r="Z104" s="407">
        <f t="shared" si="22"/>
        <v>0</v>
      </c>
      <c r="AA104" s="407">
        <f t="shared" si="23"/>
        <v>0</v>
      </c>
    </row>
    <row r="105" spans="1:27">
      <c r="A105" s="449" t="s">
        <v>185</v>
      </c>
      <c r="B105" s="413">
        <v>382</v>
      </c>
      <c r="C105" s="413">
        <v>382841</v>
      </c>
      <c r="D105" s="413">
        <v>506</v>
      </c>
      <c r="E105" s="413">
        <v>765722</v>
      </c>
      <c r="F105" s="413">
        <v>527</v>
      </c>
      <c r="G105" s="413">
        <v>600067</v>
      </c>
      <c r="H105" s="413">
        <v>281</v>
      </c>
      <c r="I105" s="413">
        <v>404903</v>
      </c>
      <c r="J105" s="414">
        <v>848</v>
      </c>
      <c r="K105" s="415">
        <v>1410992</v>
      </c>
      <c r="L105" s="413">
        <v>1653</v>
      </c>
      <c r="M105" s="413">
        <v>2346012</v>
      </c>
      <c r="N105" s="427">
        <v>944</v>
      </c>
      <c r="O105" s="427">
        <v>1389114</v>
      </c>
      <c r="P105" s="413">
        <v>509</v>
      </c>
      <c r="Q105" s="413">
        <v>808506</v>
      </c>
      <c r="R105" s="413">
        <v>533</v>
      </c>
      <c r="S105" s="413">
        <v>864334</v>
      </c>
      <c r="T105" s="413">
        <v>159</v>
      </c>
      <c r="U105" s="413">
        <v>215147</v>
      </c>
      <c r="V105" s="413">
        <f>_xlfn.IFNA(VLOOKUP(A105,[3]進出口值表查詢結果!$C$11:$F$68,4,0),-[4]整車!$B$22)</f>
        <v>323</v>
      </c>
      <c r="W105" s="413">
        <f>_xlfn.IFNA(VLOOKUP(A105,[3]進出口值表查詢結果!$C$11:$F$68,3,0),-[4]整車!$B$22)</f>
        <v>284126</v>
      </c>
      <c r="X105" s="413">
        <f>_xlfn.IFNA(VLOOKUP(A105,[5]進出口值表查詢結果!$C$11:$F$68,4,0),-[4]整車!$B$22)</f>
        <v>146</v>
      </c>
      <c r="Y105" s="413">
        <f>_xlfn.IFNA(VLOOKUP(A105,[5]進出口值表查詢結果!$C$11:$F$68,3,0),-[4]整車!$B$22)</f>
        <v>145591</v>
      </c>
      <c r="Z105" s="407">
        <f t="shared" si="22"/>
        <v>6811</v>
      </c>
      <c r="AA105" s="407">
        <f t="shared" si="23"/>
        <v>9617355</v>
      </c>
    </row>
    <row r="106" spans="1:27">
      <c r="A106" s="449" t="s">
        <v>297</v>
      </c>
      <c r="B106" s="413">
        <v>192</v>
      </c>
      <c r="C106" s="413">
        <v>147251</v>
      </c>
      <c r="D106" s="413">
        <v>186</v>
      </c>
      <c r="E106" s="413">
        <v>185042</v>
      </c>
      <c r="F106" s="413">
        <v>10</v>
      </c>
      <c r="G106" s="413">
        <v>16229</v>
      </c>
      <c r="H106" s="413">
        <v>0</v>
      </c>
      <c r="I106" s="413">
        <v>0</v>
      </c>
      <c r="J106" s="414" t="s">
        <v>57</v>
      </c>
      <c r="K106" s="417" t="s">
        <v>57</v>
      </c>
      <c r="L106" s="413">
        <v>204</v>
      </c>
      <c r="M106" s="413">
        <v>355563</v>
      </c>
      <c r="N106" s="427">
        <v>92</v>
      </c>
      <c r="O106" s="427">
        <v>125017</v>
      </c>
      <c r="P106" s="413">
        <v>232</v>
      </c>
      <c r="Q106" s="413">
        <v>213453</v>
      </c>
      <c r="R106" s="413">
        <v>211</v>
      </c>
      <c r="S106" s="413">
        <v>248506</v>
      </c>
      <c r="T106" s="413">
        <v>234</v>
      </c>
      <c r="U106" s="413">
        <v>172701</v>
      </c>
      <c r="V106" s="413">
        <f>_xlfn.IFNA(VLOOKUP(A106,[3]進出口值表查詢結果!$C$11:$F$68,4,0),-[4]整車!$B$22)</f>
        <v>169</v>
      </c>
      <c r="W106" s="413">
        <f>_xlfn.IFNA(VLOOKUP(A106,[3]進出口值表查詢結果!$C$11:$F$68,3,0),-[4]整車!$B$22)</f>
        <v>193761</v>
      </c>
      <c r="X106" s="413">
        <f>_xlfn.IFNA(VLOOKUP(A106,[5]進出口值表查詢結果!$C$11:$F$68,4,0),-[4]整車!$B$22)</f>
        <v>364</v>
      </c>
      <c r="Y106" s="413">
        <f>_xlfn.IFNA(VLOOKUP(A106,[5]進出口值表查詢結果!$C$11:$F$68,3,0),-[4]整車!$B$22)</f>
        <v>300945</v>
      </c>
      <c r="Z106" s="407">
        <f t="shared" si="22"/>
        <v>1894</v>
      </c>
      <c r="AA106" s="407">
        <f t="shared" si="23"/>
        <v>1958468</v>
      </c>
    </row>
    <row r="107" spans="1:27">
      <c r="A107" s="449" t="s">
        <v>298</v>
      </c>
      <c r="B107" s="413">
        <v>781</v>
      </c>
      <c r="C107" s="413">
        <v>548150</v>
      </c>
      <c r="D107" s="413">
        <v>111</v>
      </c>
      <c r="E107" s="413">
        <v>89240</v>
      </c>
      <c r="F107" s="413">
        <v>351</v>
      </c>
      <c r="G107" s="413">
        <v>470294</v>
      </c>
      <c r="H107" s="413">
        <v>198</v>
      </c>
      <c r="I107" s="413">
        <v>307652</v>
      </c>
      <c r="J107" s="414">
        <v>229</v>
      </c>
      <c r="K107" s="415">
        <v>430170</v>
      </c>
      <c r="L107" s="413">
        <v>510</v>
      </c>
      <c r="M107" s="413">
        <v>633446</v>
      </c>
      <c r="N107" s="427">
        <v>1151</v>
      </c>
      <c r="O107" s="427">
        <v>1551960</v>
      </c>
      <c r="P107" s="413">
        <v>889</v>
      </c>
      <c r="Q107" s="413">
        <v>1212809</v>
      </c>
      <c r="R107" s="413">
        <v>540</v>
      </c>
      <c r="S107" s="413">
        <v>582846</v>
      </c>
      <c r="T107" s="413">
        <v>602</v>
      </c>
      <c r="U107" s="413">
        <v>676489</v>
      </c>
      <c r="V107" s="413">
        <f>_xlfn.IFNA(VLOOKUP(A107,[3]進出口值表查詢結果!$C$11:$F$68,4,0),-[4]整車!$B$22)</f>
        <v>546</v>
      </c>
      <c r="W107" s="413">
        <f>_xlfn.IFNA(VLOOKUP(A107,[3]進出口值表查詢結果!$C$11:$F$68,3,0),-[4]整車!$B$22)</f>
        <v>727903</v>
      </c>
      <c r="X107" s="413">
        <f>_xlfn.IFNA(VLOOKUP(A107,[5]進出口值表查詢結果!$C$11:$F$68,4,0),-[4]整車!$B$22)</f>
        <v>233</v>
      </c>
      <c r="Y107" s="413">
        <f>_xlfn.IFNA(VLOOKUP(A107,[5]進出口值表查詢結果!$C$11:$F$68,3,0),-[4]整車!$B$22)</f>
        <v>261722</v>
      </c>
      <c r="Z107" s="407">
        <f t="shared" si="22"/>
        <v>6141</v>
      </c>
      <c r="AA107" s="407">
        <f t="shared" si="23"/>
        <v>7492681</v>
      </c>
    </row>
    <row r="108" spans="1:27">
      <c r="A108" s="449" t="s">
        <v>299</v>
      </c>
      <c r="B108" s="413">
        <v>17</v>
      </c>
      <c r="C108" s="413">
        <v>25258</v>
      </c>
      <c r="D108" s="413"/>
      <c r="E108" s="413"/>
      <c r="F108" s="413">
        <v>35</v>
      </c>
      <c r="G108" s="413">
        <v>25788</v>
      </c>
      <c r="H108" s="413">
        <v>12</v>
      </c>
      <c r="I108" s="413">
        <v>16694</v>
      </c>
      <c r="J108" s="414">
        <v>206</v>
      </c>
      <c r="K108" s="417">
        <v>450652</v>
      </c>
      <c r="L108" s="413">
        <v>105</v>
      </c>
      <c r="M108" s="413">
        <v>123626</v>
      </c>
      <c r="N108" s="413">
        <v>201</v>
      </c>
      <c r="O108" s="427">
        <v>350913</v>
      </c>
      <c r="P108" s="413">
        <v>238</v>
      </c>
      <c r="Q108" s="413">
        <v>267808</v>
      </c>
      <c r="R108" s="413">
        <v>35</v>
      </c>
      <c r="S108" s="413">
        <v>51563</v>
      </c>
      <c r="T108" s="413">
        <v>445</v>
      </c>
      <c r="U108" s="413">
        <v>486920</v>
      </c>
      <c r="V108" s="413">
        <f>_xlfn.IFNA(VLOOKUP(A108,[3]進出口值表查詢結果!$C$11:$F$68,4,0),-[4]整車!$B$22)</f>
        <v>432</v>
      </c>
      <c r="W108" s="413">
        <f>_xlfn.IFNA(VLOOKUP(A108,[3]進出口值表查詢結果!$C$11:$F$68,3,0),-[4]整車!$B$22)</f>
        <v>333448</v>
      </c>
      <c r="X108" s="413">
        <f>_xlfn.IFNA(VLOOKUP(A108,[5]進出口值表查詢結果!$C$11:$F$68,4,0),-[4]整車!$B$22)</f>
        <v>408</v>
      </c>
      <c r="Y108" s="413">
        <f>_xlfn.IFNA(VLOOKUP(A108,[5]進出口值表查詢結果!$C$11:$F$68,3,0),-[4]整車!$B$22)</f>
        <v>492827</v>
      </c>
      <c r="Z108" s="407">
        <f t="shared" si="22"/>
        <v>2134</v>
      </c>
      <c r="AA108" s="407">
        <f t="shared" si="23"/>
        <v>2625497</v>
      </c>
    </row>
    <row r="109" spans="1:27">
      <c r="A109" s="449" t="s">
        <v>394</v>
      </c>
      <c r="B109" s="413">
        <v>21</v>
      </c>
      <c r="C109" s="413">
        <v>26824</v>
      </c>
      <c r="D109" s="413"/>
      <c r="E109" s="413"/>
      <c r="F109" s="413">
        <v>99</v>
      </c>
      <c r="G109" s="413">
        <v>93761</v>
      </c>
      <c r="H109" s="413">
        <v>0</v>
      </c>
      <c r="I109" s="413">
        <v>0</v>
      </c>
      <c r="J109" s="414">
        <v>106</v>
      </c>
      <c r="K109" s="415">
        <v>83461</v>
      </c>
      <c r="L109" s="413">
        <v>38</v>
      </c>
      <c r="M109" s="413">
        <v>42862</v>
      </c>
      <c r="N109" s="427">
        <v>99</v>
      </c>
      <c r="O109" s="427">
        <v>102704</v>
      </c>
      <c r="P109" s="413">
        <v>90</v>
      </c>
      <c r="Q109" s="413">
        <v>90308</v>
      </c>
      <c r="R109" s="413">
        <v>58</v>
      </c>
      <c r="S109" s="413">
        <v>70380</v>
      </c>
      <c r="T109" s="413">
        <v>106</v>
      </c>
      <c r="U109" s="413">
        <v>106953</v>
      </c>
      <c r="V109" s="413">
        <f>_xlfn.IFNA(VLOOKUP(A109,[3]進出口值表查詢結果!$C$11:$F$68,4,0),-[4]整車!$B$22)</f>
        <v>50</v>
      </c>
      <c r="W109" s="413">
        <f>_xlfn.IFNA(VLOOKUP(A109,[3]進出口值表查詢結果!$C$11:$F$68,3,0),-[4]整車!$B$22)</f>
        <v>61248</v>
      </c>
      <c r="X109" s="413">
        <f>_xlfn.IFNA(VLOOKUP(A109,[5]進出口值表查詢結果!$C$11:$F$68,4,0),-[4]整車!$B$22)</f>
        <v>24</v>
      </c>
      <c r="Y109" s="413">
        <f>_xlfn.IFNA(VLOOKUP(A109,[5]進出口值表查詢結果!$C$11:$F$68,3,0),-[4]整車!$B$22)</f>
        <v>4829</v>
      </c>
      <c r="Z109" s="407">
        <f t="shared" si="22"/>
        <v>691</v>
      </c>
      <c r="AA109" s="407">
        <f t="shared" si="23"/>
        <v>683330</v>
      </c>
    </row>
    <row r="110" spans="1:27">
      <c r="A110" s="449" t="s">
        <v>300</v>
      </c>
      <c r="B110" s="413"/>
      <c r="C110" s="413"/>
      <c r="D110" s="413">
        <v>26</v>
      </c>
      <c r="E110" s="413">
        <v>36509</v>
      </c>
      <c r="F110" s="413">
        <v>69</v>
      </c>
      <c r="G110" s="413">
        <v>58115</v>
      </c>
      <c r="H110" s="413">
        <v>0</v>
      </c>
      <c r="I110" s="413">
        <v>0</v>
      </c>
      <c r="J110" s="414" t="s">
        <v>57</v>
      </c>
      <c r="K110" s="417" t="s">
        <v>57</v>
      </c>
      <c r="L110" s="413"/>
      <c r="M110" s="413"/>
      <c r="N110" s="413"/>
      <c r="O110" s="413"/>
      <c r="P110" s="413">
        <v>0</v>
      </c>
      <c r="Q110" s="413">
        <v>0</v>
      </c>
      <c r="R110" s="413">
        <v>0</v>
      </c>
      <c r="S110" s="413">
        <v>0</v>
      </c>
      <c r="T110" s="413"/>
      <c r="U110" s="413"/>
      <c r="V110" s="413">
        <f>_xlfn.IFNA(VLOOKUP(A110,[3]進出口值表查詢結果!$C$11:$F$68,4,0),-[4]整車!$B$22)</f>
        <v>0</v>
      </c>
      <c r="W110" s="413">
        <f>_xlfn.IFNA(VLOOKUP(A110,[3]進出口值表查詢結果!$C$11:$F$68,3,0),-[4]整車!$B$22)</f>
        <v>0</v>
      </c>
      <c r="X110" s="413">
        <f>_xlfn.IFNA(VLOOKUP(A110,[5]進出口值表查詢結果!$C$11:$F$68,4,0),-[4]整車!$B$22)</f>
        <v>0</v>
      </c>
      <c r="Y110" s="413">
        <f>_xlfn.IFNA(VLOOKUP(A110,[5]進出口值表查詢結果!$C$11:$F$68,3,0),-[4]整車!$B$22)</f>
        <v>0</v>
      </c>
      <c r="Z110" s="407">
        <f t="shared" si="22"/>
        <v>95</v>
      </c>
      <c r="AA110" s="407">
        <f t="shared" si="23"/>
        <v>94624</v>
      </c>
    </row>
    <row r="111" spans="1:27">
      <c r="A111" s="449" t="s">
        <v>301</v>
      </c>
      <c r="B111" s="413">
        <v>38</v>
      </c>
      <c r="C111" s="413">
        <v>57613</v>
      </c>
      <c r="D111" s="413">
        <v>239</v>
      </c>
      <c r="E111" s="413">
        <v>192071</v>
      </c>
      <c r="F111" s="413">
        <v>218</v>
      </c>
      <c r="G111" s="413">
        <v>140890</v>
      </c>
      <c r="H111" s="413">
        <v>5</v>
      </c>
      <c r="I111" s="413">
        <v>10500</v>
      </c>
      <c r="J111" s="414">
        <v>175</v>
      </c>
      <c r="K111" s="417">
        <v>220849</v>
      </c>
      <c r="L111" s="413">
        <v>319</v>
      </c>
      <c r="M111" s="413">
        <v>305430</v>
      </c>
      <c r="N111" s="427">
        <v>392</v>
      </c>
      <c r="O111" s="427">
        <v>586309</v>
      </c>
      <c r="P111" s="413">
        <v>106</v>
      </c>
      <c r="Q111" s="413">
        <v>196069</v>
      </c>
      <c r="R111" s="413">
        <v>435</v>
      </c>
      <c r="S111" s="413">
        <v>558493</v>
      </c>
      <c r="T111" s="413">
        <v>345</v>
      </c>
      <c r="U111" s="413">
        <v>422823</v>
      </c>
      <c r="V111" s="413">
        <f>_xlfn.IFNA(VLOOKUP(A111,[3]進出口值表查詢結果!$C$11:$F$68,4,0),-[4]整車!$B$22)</f>
        <v>81</v>
      </c>
      <c r="W111" s="413">
        <f>_xlfn.IFNA(VLOOKUP(A111,[3]進出口值表查詢結果!$C$11:$F$68,3,0),-[4]整車!$B$22)</f>
        <v>132131</v>
      </c>
      <c r="X111" s="413">
        <f>_xlfn.IFNA(VLOOKUP(A111,[5]進出口值表查詢結果!$C$11:$F$68,4,0),-[4]整車!$B$22)</f>
        <v>22</v>
      </c>
      <c r="Y111" s="413">
        <f>_xlfn.IFNA(VLOOKUP(A111,[5]進出口值表查詢結果!$C$11:$F$68,3,0),-[4]整車!$B$22)</f>
        <v>32015</v>
      </c>
      <c r="Z111" s="407">
        <f t="shared" si="22"/>
        <v>2375</v>
      </c>
      <c r="AA111" s="407">
        <f t="shared" si="23"/>
        <v>2855193</v>
      </c>
    </row>
    <row r="112" spans="1:27">
      <c r="A112" s="449" t="s">
        <v>303</v>
      </c>
      <c r="B112" s="413">
        <v>271</v>
      </c>
      <c r="C112" s="413">
        <v>335554</v>
      </c>
      <c r="D112" s="413">
        <v>333</v>
      </c>
      <c r="E112" s="413">
        <v>314324</v>
      </c>
      <c r="F112" s="413">
        <v>378</v>
      </c>
      <c r="G112" s="413">
        <v>429439</v>
      </c>
      <c r="H112" s="413">
        <v>379</v>
      </c>
      <c r="I112" s="413">
        <v>273535</v>
      </c>
      <c r="J112" s="414">
        <v>257</v>
      </c>
      <c r="K112" s="415">
        <v>307852</v>
      </c>
      <c r="L112" s="413">
        <v>224</v>
      </c>
      <c r="M112" s="413">
        <v>305162</v>
      </c>
      <c r="N112" s="427">
        <v>431</v>
      </c>
      <c r="O112" s="427">
        <v>330830</v>
      </c>
      <c r="P112" s="413">
        <v>626</v>
      </c>
      <c r="Q112" s="413">
        <v>920976</v>
      </c>
      <c r="R112" s="413">
        <v>781</v>
      </c>
      <c r="S112" s="413">
        <v>864845</v>
      </c>
      <c r="T112" s="413">
        <v>613</v>
      </c>
      <c r="U112" s="413">
        <v>641240</v>
      </c>
      <c r="V112" s="413">
        <f>_xlfn.IFNA(VLOOKUP(A112,[3]進出口值表查詢結果!$C$11:$F$68,4,0),-[4]整車!$B$22)</f>
        <v>188</v>
      </c>
      <c r="W112" s="413">
        <f>_xlfn.IFNA(VLOOKUP(A112,[3]進出口值表查詢結果!$C$11:$F$68,3,0),-[4]整車!$B$22)</f>
        <v>254834</v>
      </c>
      <c r="X112" s="413">
        <f>_xlfn.IFNA(VLOOKUP(A112,[5]進出口值表查詢結果!$C$11:$F$68,4,0),-[4]整車!$B$22)</f>
        <v>933</v>
      </c>
      <c r="Y112" s="413">
        <f>_xlfn.IFNA(VLOOKUP(A112,[5]進出口值表查詢結果!$C$11:$F$68,3,0),-[4]整車!$B$22)</f>
        <v>495836</v>
      </c>
      <c r="Z112" s="407">
        <f t="shared" si="22"/>
        <v>5414</v>
      </c>
      <c r="AA112" s="407">
        <f t="shared" si="23"/>
        <v>5474427</v>
      </c>
    </row>
    <row r="113" spans="1:27">
      <c r="A113" s="449" t="s">
        <v>304</v>
      </c>
      <c r="B113" s="413"/>
      <c r="C113" s="413"/>
      <c r="D113" s="413">
        <v>64</v>
      </c>
      <c r="E113" s="413">
        <v>60093</v>
      </c>
      <c r="F113" s="413">
        <v>13</v>
      </c>
      <c r="G113" s="413">
        <v>12413</v>
      </c>
      <c r="H113" s="413">
        <v>0</v>
      </c>
      <c r="I113" s="413">
        <v>0</v>
      </c>
      <c r="J113" s="414">
        <v>52</v>
      </c>
      <c r="K113" s="417">
        <v>77514</v>
      </c>
      <c r="L113" s="413">
        <v>0</v>
      </c>
      <c r="M113" s="413">
        <v>0</v>
      </c>
      <c r="N113" s="427">
        <v>105</v>
      </c>
      <c r="O113" s="427">
        <v>127620</v>
      </c>
      <c r="P113" s="413">
        <v>125</v>
      </c>
      <c r="Q113" s="413">
        <v>149169</v>
      </c>
      <c r="R113" s="413">
        <v>27</v>
      </c>
      <c r="S113" s="413">
        <v>36039</v>
      </c>
      <c r="T113" s="413">
        <v>211</v>
      </c>
      <c r="U113" s="413">
        <v>20138</v>
      </c>
      <c r="V113" s="413">
        <f>_xlfn.IFNA(VLOOKUP(A113,[3]進出口值表查詢結果!$C$11:$F$68,4,0),-[4]整車!$B$22)</f>
        <v>0</v>
      </c>
      <c r="W113" s="413">
        <f>_xlfn.IFNA(VLOOKUP(A113,[3]進出口值表查詢結果!$C$11:$F$68,3,0),-[4]整車!$B$22)</f>
        <v>0</v>
      </c>
      <c r="X113" s="413">
        <f>_xlfn.IFNA(VLOOKUP(A113,[5]進出口值表查詢結果!$C$11:$F$68,4,0),-[4]整車!$B$22)</f>
        <v>38</v>
      </c>
      <c r="Y113" s="413">
        <f>_xlfn.IFNA(VLOOKUP(A113,[5]進出口值表查詢結果!$C$11:$F$68,3,0),-[4]整車!$B$22)</f>
        <v>41358</v>
      </c>
      <c r="Z113" s="407">
        <f t="shared" si="22"/>
        <v>635</v>
      </c>
      <c r="AA113" s="407">
        <f t="shared" si="23"/>
        <v>524344</v>
      </c>
    </row>
    <row r="114" spans="1:27">
      <c r="A114" s="449" t="s">
        <v>305</v>
      </c>
      <c r="B114" s="413"/>
      <c r="C114" s="413"/>
      <c r="D114" s="413"/>
      <c r="E114" s="413"/>
      <c r="F114" s="413">
        <v>0</v>
      </c>
      <c r="G114" s="413"/>
      <c r="H114" s="413">
        <v>0</v>
      </c>
      <c r="I114" s="413">
        <v>0</v>
      </c>
      <c r="J114" s="414" t="s">
        <v>57</v>
      </c>
      <c r="K114" s="417" t="s">
        <v>57</v>
      </c>
      <c r="L114" s="413">
        <v>0</v>
      </c>
      <c r="M114" s="413">
        <v>0</v>
      </c>
      <c r="N114" s="413">
        <v>0</v>
      </c>
      <c r="O114" s="413">
        <v>0</v>
      </c>
      <c r="P114" s="413">
        <v>0</v>
      </c>
      <c r="Q114" s="413">
        <v>0</v>
      </c>
      <c r="R114" s="413">
        <v>65</v>
      </c>
      <c r="S114" s="413">
        <v>16882</v>
      </c>
      <c r="T114" s="413"/>
      <c r="U114" s="413"/>
      <c r="V114" s="413">
        <f>_xlfn.IFNA(VLOOKUP(A114,[3]進出口值表查詢結果!$C$11:$F$68,4,0),-[4]整車!$B$22)</f>
        <v>0</v>
      </c>
      <c r="W114" s="413">
        <f>_xlfn.IFNA(VLOOKUP(A114,[3]進出口值表查詢結果!$C$11:$F$68,3,0),-[4]整車!$B$22)</f>
        <v>0</v>
      </c>
      <c r="X114" s="413">
        <f>_xlfn.IFNA(VLOOKUP(A114,[5]進出口值表查詢結果!$C$11:$F$68,4,0),-[4]整車!$B$22)</f>
        <v>0</v>
      </c>
      <c r="Y114" s="413">
        <f>_xlfn.IFNA(VLOOKUP(A114,[5]進出口值表查詢結果!$C$11:$F$68,3,0),-[4]整車!$B$22)</f>
        <v>0</v>
      </c>
      <c r="Z114" s="407">
        <f t="shared" si="22"/>
        <v>65</v>
      </c>
      <c r="AA114" s="407">
        <f t="shared" si="23"/>
        <v>16882</v>
      </c>
    </row>
    <row r="115" spans="1:27">
      <c r="A115" s="449" t="s">
        <v>183</v>
      </c>
      <c r="B115" s="413"/>
      <c r="C115" s="413"/>
      <c r="D115" s="413"/>
      <c r="E115" s="413"/>
      <c r="F115" s="413">
        <v>0</v>
      </c>
      <c r="G115" s="413"/>
      <c r="H115" s="413">
        <v>0</v>
      </c>
      <c r="I115" s="413">
        <v>0</v>
      </c>
      <c r="J115" s="414" t="s">
        <v>57</v>
      </c>
      <c r="K115" s="417" t="s">
        <v>57</v>
      </c>
      <c r="L115" s="413">
        <v>0</v>
      </c>
      <c r="M115" s="413">
        <v>0</v>
      </c>
      <c r="N115" s="427">
        <v>36</v>
      </c>
      <c r="O115" s="427">
        <v>54902</v>
      </c>
      <c r="P115" s="413">
        <v>0</v>
      </c>
      <c r="Q115" s="413">
        <v>0</v>
      </c>
      <c r="R115" s="413">
        <v>59</v>
      </c>
      <c r="S115" s="413">
        <v>60292</v>
      </c>
      <c r="T115" s="413">
        <v>13</v>
      </c>
      <c r="U115" s="413">
        <v>24991</v>
      </c>
      <c r="V115" s="413">
        <f>_xlfn.IFNA(VLOOKUP(A115,[3]進出口值表查詢結果!$C$11:$F$68,4,0),-[4]整車!$B$22)</f>
        <v>0</v>
      </c>
      <c r="W115" s="413">
        <f>_xlfn.IFNA(VLOOKUP(A115,[3]進出口值表查詢結果!$C$11:$F$68,3,0),-[4]整車!$B$22)</f>
        <v>0</v>
      </c>
      <c r="X115" s="413">
        <f>_xlfn.IFNA(VLOOKUP(A115,[5]進出口值表查詢結果!$C$11:$F$68,4,0),-[4]整車!$B$22)</f>
        <v>90</v>
      </c>
      <c r="Y115" s="413">
        <f>_xlfn.IFNA(VLOOKUP(A115,[5]進出口值表查詢結果!$C$11:$F$68,3,0),-[4]整車!$B$22)</f>
        <v>155913</v>
      </c>
      <c r="Z115" s="407">
        <f t="shared" si="22"/>
        <v>198</v>
      </c>
      <c r="AA115" s="407">
        <f t="shared" si="23"/>
        <v>296098</v>
      </c>
    </row>
    <row r="116" spans="1:27">
      <c r="A116" s="449" t="s">
        <v>306</v>
      </c>
      <c r="B116" s="413"/>
      <c r="C116" s="413"/>
      <c r="D116" s="413">
        <v>58</v>
      </c>
      <c r="E116" s="413">
        <v>17155</v>
      </c>
      <c r="F116" s="413">
        <v>0</v>
      </c>
      <c r="G116" s="413"/>
      <c r="H116" s="413">
        <v>0</v>
      </c>
      <c r="I116" s="413">
        <v>0</v>
      </c>
      <c r="J116" s="414" t="s">
        <v>57</v>
      </c>
      <c r="K116" s="417" t="s">
        <v>57</v>
      </c>
      <c r="L116" s="413">
        <v>66</v>
      </c>
      <c r="M116" s="413">
        <v>91388</v>
      </c>
      <c r="N116" s="427">
        <v>93</v>
      </c>
      <c r="O116" s="427">
        <v>28161</v>
      </c>
      <c r="P116" s="413">
        <v>1</v>
      </c>
      <c r="Q116" s="413">
        <v>1898</v>
      </c>
      <c r="R116" s="413">
        <v>0</v>
      </c>
      <c r="S116" s="413">
        <v>0</v>
      </c>
      <c r="T116" s="413">
        <v>70</v>
      </c>
      <c r="U116" s="413">
        <v>76661</v>
      </c>
      <c r="V116" s="413">
        <f>_xlfn.IFNA(VLOOKUP(A116,[3]進出口值表查詢結果!$C$11:$F$68,4,0),-[4]整車!$B$22)</f>
        <v>0</v>
      </c>
      <c r="W116" s="413">
        <f>_xlfn.IFNA(VLOOKUP(A116,[3]進出口值表查詢結果!$C$11:$F$68,3,0),-[4]整車!$B$22)</f>
        <v>0</v>
      </c>
      <c r="X116" s="413">
        <f>_xlfn.IFNA(VLOOKUP(A116,[5]進出口值表查詢結果!$C$11:$F$68,4,0),-[4]整車!$B$22)</f>
        <v>0</v>
      </c>
      <c r="Y116" s="413">
        <f>_xlfn.IFNA(VLOOKUP(A116,[5]進出口值表查詢結果!$C$11:$F$68,3,0),-[4]整車!$B$22)</f>
        <v>0</v>
      </c>
      <c r="Z116" s="407">
        <f t="shared" si="22"/>
        <v>288</v>
      </c>
      <c r="AA116" s="407">
        <f t="shared" si="23"/>
        <v>215263</v>
      </c>
    </row>
    <row r="117" spans="1:27">
      <c r="A117" s="449" t="s">
        <v>307</v>
      </c>
      <c r="B117" s="413">
        <v>91</v>
      </c>
      <c r="C117" s="413">
        <v>105365</v>
      </c>
      <c r="D117" s="413"/>
      <c r="E117" s="413"/>
      <c r="F117" s="413">
        <v>0</v>
      </c>
      <c r="G117" s="413"/>
      <c r="H117" s="413">
        <v>0</v>
      </c>
      <c r="I117" s="413">
        <v>0</v>
      </c>
      <c r="J117" s="414" t="s">
        <v>57</v>
      </c>
      <c r="K117" s="417" t="s">
        <v>57</v>
      </c>
      <c r="L117" s="413">
        <v>0</v>
      </c>
      <c r="M117" s="413">
        <v>0</v>
      </c>
      <c r="N117" s="427">
        <v>92</v>
      </c>
      <c r="O117" s="427">
        <v>98850</v>
      </c>
      <c r="P117" s="413">
        <v>0</v>
      </c>
      <c r="Q117" s="413">
        <v>0</v>
      </c>
      <c r="R117" s="413">
        <v>0</v>
      </c>
      <c r="S117" s="413">
        <v>0</v>
      </c>
      <c r="T117" s="413"/>
      <c r="U117" s="413"/>
      <c r="V117" s="413">
        <f>_xlfn.IFNA(VLOOKUP(A117,[3]進出口值表查詢結果!$C$11:$F$68,4,0),-[4]整車!$B$22)</f>
        <v>22</v>
      </c>
      <c r="W117" s="413">
        <f>_xlfn.IFNA(VLOOKUP(A117,[3]進出口值表查詢結果!$C$11:$F$68,3,0),-[4]整車!$B$22)</f>
        <v>28492</v>
      </c>
      <c r="X117" s="413">
        <f>_xlfn.IFNA(VLOOKUP(A117,[5]進出口值表查詢結果!$C$11:$F$68,4,0),-[4]整車!$B$22)</f>
        <v>0</v>
      </c>
      <c r="Y117" s="413">
        <f>_xlfn.IFNA(VLOOKUP(A117,[5]進出口值表查詢結果!$C$11:$F$68,3,0),-[4]整車!$B$22)</f>
        <v>0</v>
      </c>
      <c r="Z117" s="407">
        <f t="shared" si="22"/>
        <v>205</v>
      </c>
      <c r="AA117" s="407">
        <f t="shared" si="23"/>
        <v>232707</v>
      </c>
    </row>
    <row r="118" spans="1:27">
      <c r="A118" s="449" t="s">
        <v>308</v>
      </c>
      <c r="B118" s="413"/>
      <c r="C118" s="413"/>
      <c r="D118" s="413"/>
      <c r="E118" s="413"/>
      <c r="F118" s="413">
        <v>0</v>
      </c>
      <c r="G118" s="413"/>
      <c r="H118" s="413">
        <v>0</v>
      </c>
      <c r="I118" s="413">
        <v>0</v>
      </c>
      <c r="J118" s="414" t="s">
        <v>57</v>
      </c>
      <c r="K118" s="417" t="s">
        <v>57</v>
      </c>
      <c r="L118" s="413">
        <v>0</v>
      </c>
      <c r="M118" s="413">
        <v>0</v>
      </c>
      <c r="N118" s="413">
        <v>0</v>
      </c>
      <c r="O118" s="413">
        <v>0</v>
      </c>
      <c r="P118" s="413">
        <v>0</v>
      </c>
      <c r="Q118" s="413">
        <v>0</v>
      </c>
      <c r="R118" s="413">
        <v>4</v>
      </c>
      <c r="S118" s="413">
        <v>4008</v>
      </c>
      <c r="T118" s="413"/>
      <c r="U118" s="413"/>
      <c r="V118" s="413">
        <f>_xlfn.IFNA(VLOOKUP(A118,[3]進出口值表查詢結果!$C$11:$F$68,4,0),-[4]整車!$B$22)</f>
        <v>0</v>
      </c>
      <c r="W118" s="413">
        <f>_xlfn.IFNA(VLOOKUP(A118,[3]進出口值表查詢結果!$C$11:$F$68,3,0),-[4]整車!$B$22)</f>
        <v>0</v>
      </c>
      <c r="X118" s="413">
        <f>_xlfn.IFNA(VLOOKUP(A118,[5]進出口值表查詢結果!$C$11:$F$68,4,0),-[4]整車!$B$22)</f>
        <v>0</v>
      </c>
      <c r="Y118" s="413">
        <f>_xlfn.IFNA(VLOOKUP(A118,[5]進出口值表查詢結果!$C$11:$F$68,3,0),-[4]整車!$B$22)</f>
        <v>0</v>
      </c>
      <c r="Z118" s="407">
        <f t="shared" si="22"/>
        <v>4</v>
      </c>
      <c r="AA118" s="407">
        <f t="shared" si="23"/>
        <v>4008</v>
      </c>
    </row>
    <row r="119" spans="1:27">
      <c r="A119" s="449" t="s">
        <v>309</v>
      </c>
      <c r="B119" s="413"/>
      <c r="C119" s="413"/>
      <c r="D119" s="413"/>
      <c r="E119" s="413"/>
      <c r="F119" s="413">
        <v>0</v>
      </c>
      <c r="G119" s="413"/>
      <c r="H119" s="413">
        <v>0</v>
      </c>
      <c r="I119" s="413">
        <v>0</v>
      </c>
      <c r="J119" s="414" t="s">
        <v>57</v>
      </c>
      <c r="K119" s="417" t="s">
        <v>57</v>
      </c>
      <c r="L119" s="413">
        <v>0</v>
      </c>
      <c r="M119" s="413">
        <v>0</v>
      </c>
      <c r="N119" s="413">
        <v>0</v>
      </c>
      <c r="O119" s="413">
        <v>0</v>
      </c>
      <c r="P119" s="413">
        <v>0</v>
      </c>
      <c r="Q119" s="413">
        <v>0</v>
      </c>
      <c r="R119" s="413">
        <v>0</v>
      </c>
      <c r="S119" s="413">
        <v>0</v>
      </c>
      <c r="T119" s="413"/>
      <c r="U119" s="413"/>
      <c r="V119" s="413">
        <f>_xlfn.IFNA(VLOOKUP(A119,[3]進出口值表查詢結果!$C$11:$F$68,4,0),-[4]整車!$B$22)</f>
        <v>0</v>
      </c>
      <c r="W119" s="413">
        <f>_xlfn.IFNA(VLOOKUP(A119,[3]進出口值表查詢結果!$C$11:$F$68,3,0),-[4]整車!$B$22)</f>
        <v>0</v>
      </c>
      <c r="X119" s="413">
        <f>_xlfn.IFNA(VLOOKUP(A119,[5]進出口值表查詢結果!$C$11:$F$68,4,0),-[4]整車!$B$22)</f>
        <v>0</v>
      </c>
      <c r="Y119" s="413">
        <f>_xlfn.IFNA(VLOOKUP(A119,[5]進出口值表查詢結果!$C$11:$F$68,3,0),-[4]整車!$B$22)</f>
        <v>0</v>
      </c>
      <c r="Z119" s="407">
        <f t="shared" si="22"/>
        <v>0</v>
      </c>
      <c r="AA119" s="407">
        <f t="shared" si="23"/>
        <v>0</v>
      </c>
    </row>
    <row r="120" spans="1:27">
      <c r="A120" s="449" t="s">
        <v>395</v>
      </c>
      <c r="B120" s="413">
        <v>30</v>
      </c>
      <c r="C120" s="413">
        <v>47684</v>
      </c>
      <c r="D120" s="413">
        <v>18</v>
      </c>
      <c r="E120" s="413">
        <v>21652</v>
      </c>
      <c r="F120" s="413">
        <v>40</v>
      </c>
      <c r="G120" s="413">
        <v>80054</v>
      </c>
      <c r="H120" s="413">
        <v>31</v>
      </c>
      <c r="I120" s="413">
        <v>62073</v>
      </c>
      <c r="J120" s="414" t="s">
        <v>57</v>
      </c>
      <c r="K120" s="417" t="s">
        <v>57</v>
      </c>
      <c r="L120" s="413">
        <v>93</v>
      </c>
      <c r="M120" s="413">
        <v>149531</v>
      </c>
      <c r="N120" s="427">
        <v>44</v>
      </c>
      <c r="O120" s="427">
        <v>69675</v>
      </c>
      <c r="P120" s="413">
        <v>115</v>
      </c>
      <c r="Q120" s="413">
        <v>177702</v>
      </c>
      <c r="R120" s="413">
        <v>11</v>
      </c>
      <c r="S120" s="413">
        <v>29144</v>
      </c>
      <c r="T120" s="413">
        <v>86</v>
      </c>
      <c r="U120" s="413">
        <v>116179</v>
      </c>
      <c r="V120" s="413">
        <f>_xlfn.IFNA(VLOOKUP(A120,[3]進出口值表查詢結果!$C$11:$F$68,4,0),-[4]整車!$B$22)</f>
        <v>1</v>
      </c>
      <c r="W120" s="413">
        <f>_xlfn.IFNA(VLOOKUP(A120,[3]進出口值表查詢結果!$C$11:$F$68,3,0),-[4]整車!$B$22)</f>
        <v>3605</v>
      </c>
      <c r="X120" s="413">
        <f>_xlfn.IFNA(VLOOKUP(A120,[5]進出口值表查詢結果!$C$11:$F$68,4,0),-[4]整車!$B$22)</f>
        <v>246</v>
      </c>
      <c r="Y120" s="413">
        <f>_xlfn.IFNA(VLOOKUP(A120,[5]進出口值表查詢結果!$C$11:$F$68,3,0),-[4]整車!$B$22)</f>
        <v>224562</v>
      </c>
      <c r="Z120" s="407">
        <f t="shared" si="22"/>
        <v>715</v>
      </c>
      <c r="AA120" s="407">
        <f t="shared" si="23"/>
        <v>981861</v>
      </c>
    </row>
    <row r="121" spans="1:27">
      <c r="A121" s="449" t="s">
        <v>310</v>
      </c>
      <c r="B121" s="413"/>
      <c r="C121" s="413"/>
      <c r="D121" s="413"/>
      <c r="E121" s="413"/>
      <c r="F121" s="413">
        <v>0</v>
      </c>
      <c r="G121" s="413"/>
      <c r="H121" s="413">
        <v>0</v>
      </c>
      <c r="I121" s="413">
        <v>0</v>
      </c>
      <c r="J121" s="414" t="s">
        <v>57</v>
      </c>
      <c r="K121" s="417" t="s">
        <v>57</v>
      </c>
      <c r="L121" s="413">
        <v>0</v>
      </c>
      <c r="M121" s="413">
        <v>0</v>
      </c>
      <c r="N121" s="413">
        <v>0</v>
      </c>
      <c r="O121" s="413">
        <v>0</v>
      </c>
      <c r="P121" s="413">
        <v>0</v>
      </c>
      <c r="Q121" s="413">
        <v>0</v>
      </c>
      <c r="R121" s="413">
        <v>0</v>
      </c>
      <c r="S121" s="413">
        <v>0</v>
      </c>
      <c r="T121" s="413"/>
      <c r="U121" s="413"/>
      <c r="V121" s="413">
        <f>_xlfn.IFNA(VLOOKUP(A121,[3]進出口值表查詢結果!$C$11:$F$68,4,0),-[4]整車!$B$22)</f>
        <v>0</v>
      </c>
      <c r="W121" s="413">
        <f>_xlfn.IFNA(VLOOKUP(A121,[3]進出口值表查詢結果!$C$11:$F$68,3,0),-[4]整車!$B$22)</f>
        <v>0</v>
      </c>
      <c r="X121" s="413">
        <f>_xlfn.IFNA(VLOOKUP(A121,[5]進出口值表查詢結果!$C$11:$F$68,4,0),-[4]整車!$B$22)</f>
        <v>0</v>
      </c>
      <c r="Y121" s="413">
        <f>_xlfn.IFNA(VLOOKUP(A121,[5]進出口值表查詢結果!$C$11:$F$68,3,0),-[4]整車!$B$22)</f>
        <v>0</v>
      </c>
      <c r="Z121" s="407">
        <f t="shared" si="22"/>
        <v>0</v>
      </c>
      <c r="AA121" s="407">
        <f t="shared" si="23"/>
        <v>0</v>
      </c>
    </row>
    <row r="122" spans="1:27">
      <c r="A122" s="449" t="s">
        <v>311</v>
      </c>
      <c r="B122" s="413"/>
      <c r="C122" s="413"/>
      <c r="D122" s="413"/>
      <c r="E122" s="413"/>
      <c r="F122" s="413">
        <v>0</v>
      </c>
      <c r="G122" s="413"/>
      <c r="H122" s="413">
        <v>0</v>
      </c>
      <c r="I122" s="413">
        <v>0</v>
      </c>
      <c r="J122" s="414" t="s">
        <v>57</v>
      </c>
      <c r="K122" s="417" t="s">
        <v>57</v>
      </c>
      <c r="L122" s="413">
        <v>0</v>
      </c>
      <c r="M122" s="413">
        <v>0</v>
      </c>
      <c r="N122" s="413">
        <v>0</v>
      </c>
      <c r="O122" s="413">
        <v>0</v>
      </c>
      <c r="P122" s="413">
        <v>0</v>
      </c>
      <c r="Q122" s="413">
        <v>0</v>
      </c>
      <c r="R122" s="413">
        <v>0</v>
      </c>
      <c r="S122" s="413">
        <v>0</v>
      </c>
      <c r="T122" s="413"/>
      <c r="U122" s="413"/>
      <c r="V122" s="413">
        <f>_xlfn.IFNA(VLOOKUP(A122,[3]進出口值表查詢結果!$C$11:$F$68,4,0),-[4]整車!$B$22)</f>
        <v>0</v>
      </c>
      <c r="W122" s="413">
        <f>_xlfn.IFNA(VLOOKUP(A122,[3]進出口值表查詢結果!$C$11:$F$68,3,0),-[4]整車!$B$22)</f>
        <v>0</v>
      </c>
      <c r="X122" s="413">
        <f>_xlfn.IFNA(VLOOKUP(A122,[5]進出口值表查詢結果!$C$11:$F$68,4,0),-[4]整車!$B$22)</f>
        <v>0</v>
      </c>
      <c r="Y122" s="413">
        <f>_xlfn.IFNA(VLOOKUP(A122,[5]進出口值表查詢結果!$C$11:$F$68,3,0),-[4]整車!$B$22)</f>
        <v>0</v>
      </c>
      <c r="Z122" s="407">
        <f t="shared" si="22"/>
        <v>0</v>
      </c>
      <c r="AA122" s="407">
        <f t="shared" si="23"/>
        <v>0</v>
      </c>
    </row>
    <row r="123" spans="1:27">
      <c r="A123" s="449" t="s">
        <v>312</v>
      </c>
      <c r="B123" s="413"/>
      <c r="C123" s="413"/>
      <c r="D123" s="413"/>
      <c r="E123" s="413"/>
      <c r="F123" s="413">
        <v>0</v>
      </c>
      <c r="G123" s="413"/>
      <c r="H123" s="413">
        <v>0</v>
      </c>
      <c r="I123" s="413">
        <v>0</v>
      </c>
      <c r="J123" s="414" t="s">
        <v>57</v>
      </c>
      <c r="K123" s="417" t="s">
        <v>57</v>
      </c>
      <c r="L123" s="413">
        <v>0</v>
      </c>
      <c r="M123" s="413">
        <v>0</v>
      </c>
      <c r="N123" s="413">
        <v>0</v>
      </c>
      <c r="O123" s="413">
        <v>0</v>
      </c>
      <c r="P123" s="413">
        <v>0</v>
      </c>
      <c r="Q123" s="413">
        <v>0</v>
      </c>
      <c r="R123" s="413">
        <v>0</v>
      </c>
      <c r="S123" s="413">
        <v>0</v>
      </c>
      <c r="T123" s="413"/>
      <c r="U123" s="413"/>
      <c r="V123" s="413">
        <f>_xlfn.IFNA(VLOOKUP(A123,[3]進出口值表查詢結果!$C$11:$F$68,4,0),-[4]整車!$B$22)</f>
        <v>0</v>
      </c>
      <c r="W123" s="413">
        <f>_xlfn.IFNA(VLOOKUP(A123,[3]進出口值表查詢結果!$C$11:$F$68,3,0),-[4]整車!$B$22)</f>
        <v>0</v>
      </c>
      <c r="X123" s="413">
        <f>_xlfn.IFNA(VLOOKUP(A123,[5]進出口值表查詢結果!$C$11:$F$68,4,0),-[4]整車!$B$22)</f>
        <v>0</v>
      </c>
      <c r="Y123" s="413">
        <f>_xlfn.IFNA(VLOOKUP(A123,[5]進出口值表查詢結果!$C$11:$F$68,3,0),-[4]整車!$B$22)</f>
        <v>0</v>
      </c>
      <c r="Z123" s="407">
        <f t="shared" si="22"/>
        <v>0</v>
      </c>
      <c r="AA123" s="407">
        <f t="shared" si="23"/>
        <v>0</v>
      </c>
    </row>
    <row r="124" spans="1:27">
      <c r="A124" s="449" t="s">
        <v>313</v>
      </c>
      <c r="B124" s="413"/>
      <c r="C124" s="413"/>
      <c r="D124" s="413"/>
      <c r="E124" s="413"/>
      <c r="F124" s="413">
        <v>0</v>
      </c>
      <c r="G124" s="413"/>
      <c r="H124" s="413">
        <v>0</v>
      </c>
      <c r="I124" s="413">
        <v>0</v>
      </c>
      <c r="J124" s="414" t="s">
        <v>57</v>
      </c>
      <c r="K124" s="417" t="s">
        <v>57</v>
      </c>
      <c r="L124" s="413">
        <v>0</v>
      </c>
      <c r="M124" s="413">
        <v>0</v>
      </c>
      <c r="N124" s="413">
        <v>0</v>
      </c>
      <c r="O124" s="413">
        <v>0</v>
      </c>
      <c r="P124" s="413">
        <v>0</v>
      </c>
      <c r="Q124" s="413">
        <v>0</v>
      </c>
      <c r="R124" s="413">
        <v>0</v>
      </c>
      <c r="S124" s="413">
        <v>0</v>
      </c>
      <c r="T124" s="413"/>
      <c r="U124" s="413"/>
      <c r="V124" s="413">
        <f>_xlfn.IFNA(VLOOKUP(A124,[3]進出口值表查詢結果!$C$11:$F$68,4,0),-[4]整車!$B$22)</f>
        <v>0</v>
      </c>
      <c r="W124" s="413">
        <f>_xlfn.IFNA(VLOOKUP(A124,[3]進出口值表查詢結果!$C$11:$F$68,3,0),-[4]整車!$B$22)</f>
        <v>0</v>
      </c>
      <c r="X124" s="413">
        <f>_xlfn.IFNA(VLOOKUP(A124,[5]進出口值表查詢結果!$C$11:$F$68,4,0),-[4]整車!$B$22)</f>
        <v>0</v>
      </c>
      <c r="Y124" s="413">
        <f>_xlfn.IFNA(VLOOKUP(A124,[5]進出口值表查詢結果!$C$11:$F$68,3,0),-[4]整車!$B$22)</f>
        <v>0</v>
      </c>
      <c r="Z124" s="407">
        <f t="shared" si="22"/>
        <v>0</v>
      </c>
      <c r="AA124" s="407">
        <f t="shared" si="23"/>
        <v>0</v>
      </c>
    </row>
    <row r="125" spans="1:27">
      <c r="A125" s="449" t="s">
        <v>314</v>
      </c>
      <c r="B125" s="413"/>
      <c r="C125" s="413"/>
      <c r="D125" s="413"/>
      <c r="E125" s="413"/>
      <c r="F125" s="413">
        <v>0</v>
      </c>
      <c r="G125" s="413"/>
      <c r="H125" s="413">
        <v>0</v>
      </c>
      <c r="I125" s="413">
        <v>0</v>
      </c>
      <c r="J125" s="414" t="s">
        <v>57</v>
      </c>
      <c r="K125" s="417" t="s">
        <v>57</v>
      </c>
      <c r="L125" s="413">
        <v>0</v>
      </c>
      <c r="M125" s="413">
        <v>0</v>
      </c>
      <c r="N125" s="413">
        <v>0</v>
      </c>
      <c r="O125" s="413">
        <v>0</v>
      </c>
      <c r="P125" s="413">
        <v>0</v>
      </c>
      <c r="Q125" s="413">
        <v>0</v>
      </c>
      <c r="R125" s="413">
        <v>0</v>
      </c>
      <c r="S125" s="413">
        <v>0</v>
      </c>
      <c r="T125" s="413"/>
      <c r="U125" s="413"/>
      <c r="V125" s="413">
        <f>_xlfn.IFNA(VLOOKUP(A125,[3]進出口值表查詢結果!$C$11:$F$68,4,0),-[4]整車!$B$22)</f>
        <v>0</v>
      </c>
      <c r="W125" s="413">
        <f>_xlfn.IFNA(VLOOKUP(A125,[3]進出口值表查詢結果!$C$11:$F$68,3,0),-[4]整車!$B$22)</f>
        <v>0</v>
      </c>
      <c r="X125" s="413">
        <f>_xlfn.IFNA(VLOOKUP(A125,[5]進出口值表查詢結果!$C$11:$F$68,4,0),-[4]整車!$B$22)</f>
        <v>0</v>
      </c>
      <c r="Y125" s="413">
        <f>_xlfn.IFNA(VLOOKUP(A125,[5]進出口值表查詢結果!$C$11:$F$68,3,0),-[4]整車!$B$22)</f>
        <v>0</v>
      </c>
      <c r="Z125" s="407">
        <f t="shared" si="22"/>
        <v>0</v>
      </c>
      <c r="AA125" s="407">
        <f t="shared" si="23"/>
        <v>0</v>
      </c>
    </row>
    <row r="126" spans="1:27">
      <c r="A126" s="449" t="s">
        <v>189</v>
      </c>
      <c r="B126" s="413"/>
      <c r="C126" s="413"/>
      <c r="D126" s="413"/>
      <c r="E126" s="413"/>
      <c r="F126" s="413">
        <v>0</v>
      </c>
      <c r="G126" s="413"/>
      <c r="H126" s="413">
        <v>0</v>
      </c>
      <c r="I126" s="413">
        <v>0</v>
      </c>
      <c r="J126" s="414" t="s">
        <v>57</v>
      </c>
      <c r="K126" s="417" t="s">
        <v>57</v>
      </c>
      <c r="L126" s="413">
        <v>0</v>
      </c>
      <c r="M126" s="413">
        <v>0</v>
      </c>
      <c r="N126" s="413">
        <v>0</v>
      </c>
      <c r="O126" s="413">
        <v>0</v>
      </c>
      <c r="P126" s="413">
        <v>0</v>
      </c>
      <c r="Q126" s="413">
        <v>0</v>
      </c>
      <c r="R126" s="413">
        <v>0</v>
      </c>
      <c r="S126" s="413">
        <v>0</v>
      </c>
      <c r="T126" s="413"/>
      <c r="U126" s="413"/>
      <c r="V126" s="413">
        <f>_xlfn.IFNA(VLOOKUP(A126,[3]進出口值表查詢結果!$C$11:$F$68,4,0),-[4]整車!$B$22)</f>
        <v>0</v>
      </c>
      <c r="W126" s="413">
        <f>_xlfn.IFNA(VLOOKUP(A126,[3]進出口值表查詢結果!$C$11:$F$68,3,0),-[4]整車!$B$22)</f>
        <v>0</v>
      </c>
      <c r="X126" s="413">
        <f>_xlfn.IFNA(VLOOKUP(A126,[5]進出口值表查詢結果!$C$11:$F$68,4,0),-[4]整車!$B$22)</f>
        <v>0</v>
      </c>
      <c r="Y126" s="413">
        <f>_xlfn.IFNA(VLOOKUP(A126,[5]進出口值表查詢結果!$C$11:$F$68,3,0),-[4]整車!$B$22)</f>
        <v>0</v>
      </c>
      <c r="Z126" s="407">
        <f t="shared" si="22"/>
        <v>0</v>
      </c>
      <c r="AA126" s="407">
        <f t="shared" si="23"/>
        <v>0</v>
      </c>
    </row>
    <row r="127" spans="1:27">
      <c r="A127" s="449" t="s">
        <v>315</v>
      </c>
      <c r="B127" s="413">
        <v>111</v>
      </c>
      <c r="C127" s="413">
        <v>54549</v>
      </c>
      <c r="D127" s="413">
        <v>92</v>
      </c>
      <c r="E127" s="413">
        <v>90640</v>
      </c>
      <c r="F127" s="413">
        <v>82</v>
      </c>
      <c r="G127" s="413">
        <v>150017</v>
      </c>
      <c r="H127" s="413">
        <v>0</v>
      </c>
      <c r="I127" s="413">
        <v>0</v>
      </c>
      <c r="J127" s="414">
        <v>84</v>
      </c>
      <c r="K127" s="415">
        <v>97060</v>
      </c>
      <c r="L127" s="413">
        <v>0</v>
      </c>
      <c r="M127" s="413">
        <v>0</v>
      </c>
      <c r="N127" s="427">
        <v>68</v>
      </c>
      <c r="O127" s="427">
        <v>99493</v>
      </c>
      <c r="P127" s="413">
        <v>0</v>
      </c>
      <c r="Q127" s="413">
        <v>0</v>
      </c>
      <c r="R127" s="413">
        <v>0</v>
      </c>
      <c r="S127" s="413">
        <v>0</v>
      </c>
      <c r="T127" s="413">
        <v>65</v>
      </c>
      <c r="U127" s="413">
        <v>92599</v>
      </c>
      <c r="V127" s="413">
        <f>_xlfn.IFNA(VLOOKUP(A127,[3]進出口值表查詢結果!$C$11:$F$68,4,0),-[4]整車!$B$22)</f>
        <v>0</v>
      </c>
      <c r="W127" s="413">
        <f>_xlfn.IFNA(VLOOKUP(A127,[3]進出口值表查詢結果!$C$11:$F$68,3,0),-[4]整車!$B$22)</f>
        <v>0</v>
      </c>
      <c r="X127" s="413">
        <f>_xlfn.IFNA(VLOOKUP(A127,[5]進出口值表查詢結果!$C$11:$F$68,4,0),-[4]整車!$B$22)</f>
        <v>184</v>
      </c>
      <c r="Y127" s="413">
        <f>_xlfn.IFNA(VLOOKUP(A127,[5]進出口值表查詢結果!$C$11:$F$68,3,0),-[4]整車!$B$22)</f>
        <v>163785</v>
      </c>
      <c r="Z127" s="407">
        <f t="shared" si="22"/>
        <v>686</v>
      </c>
      <c r="AA127" s="407">
        <f t="shared" si="23"/>
        <v>748143</v>
      </c>
    </row>
    <row r="128" spans="1:27">
      <c r="A128" s="449" t="s">
        <v>316</v>
      </c>
      <c r="B128" s="413"/>
      <c r="C128" s="413"/>
      <c r="D128" s="413"/>
      <c r="E128" s="413"/>
      <c r="F128" s="413">
        <v>0</v>
      </c>
      <c r="G128" s="413"/>
      <c r="H128" s="413">
        <v>0</v>
      </c>
      <c r="I128" s="413">
        <v>0</v>
      </c>
      <c r="J128" s="414" t="s">
        <v>57</v>
      </c>
      <c r="K128" s="417" t="s">
        <v>57</v>
      </c>
      <c r="L128" s="413">
        <v>0</v>
      </c>
      <c r="M128" s="413">
        <v>0</v>
      </c>
      <c r="N128" s="413">
        <v>0</v>
      </c>
      <c r="O128" s="413">
        <v>0</v>
      </c>
      <c r="P128" s="413">
        <v>0</v>
      </c>
      <c r="Q128" s="413">
        <v>0</v>
      </c>
      <c r="R128" s="413">
        <v>0</v>
      </c>
      <c r="S128" s="413">
        <v>0</v>
      </c>
      <c r="T128" s="413"/>
      <c r="U128" s="413"/>
      <c r="V128" s="413">
        <f>_xlfn.IFNA(VLOOKUP(A128,[3]進出口值表查詢結果!$C$11:$F$68,4,0),-[4]整車!$B$22)</f>
        <v>0</v>
      </c>
      <c r="W128" s="413">
        <f>_xlfn.IFNA(VLOOKUP(A128,[3]進出口值表查詢結果!$C$11:$F$68,3,0),-[4]整車!$B$22)</f>
        <v>0</v>
      </c>
      <c r="X128" s="413">
        <f>_xlfn.IFNA(VLOOKUP(A128,[5]進出口值表查詢結果!$C$11:$F$68,4,0),-[4]整車!$B$22)</f>
        <v>0</v>
      </c>
      <c r="Y128" s="413">
        <f>_xlfn.IFNA(VLOOKUP(A128,[5]進出口值表查詢結果!$C$11:$F$68,3,0),-[4]整車!$B$22)</f>
        <v>0</v>
      </c>
      <c r="Z128" s="407">
        <f t="shared" si="22"/>
        <v>0</v>
      </c>
      <c r="AA128" s="407">
        <f t="shared" si="23"/>
        <v>0</v>
      </c>
    </row>
    <row r="129" spans="1:27">
      <c r="A129" s="449" t="s">
        <v>317</v>
      </c>
      <c r="B129" s="413"/>
      <c r="C129" s="413"/>
      <c r="D129" s="413"/>
      <c r="E129" s="413"/>
      <c r="F129" s="413">
        <v>0</v>
      </c>
      <c r="G129" s="413"/>
      <c r="H129" s="413">
        <v>0</v>
      </c>
      <c r="I129" s="413">
        <v>0</v>
      </c>
      <c r="J129" s="414" t="s">
        <v>57</v>
      </c>
      <c r="K129" s="417" t="s">
        <v>57</v>
      </c>
      <c r="L129" s="413">
        <v>0</v>
      </c>
      <c r="M129" s="413">
        <v>0</v>
      </c>
      <c r="N129" s="413">
        <v>0</v>
      </c>
      <c r="O129" s="413">
        <v>0</v>
      </c>
      <c r="P129" s="413">
        <v>0</v>
      </c>
      <c r="Q129" s="413">
        <v>0</v>
      </c>
      <c r="R129" s="413">
        <v>0</v>
      </c>
      <c r="S129" s="413">
        <v>0</v>
      </c>
      <c r="T129" s="413"/>
      <c r="U129" s="413"/>
      <c r="V129" s="413">
        <f>_xlfn.IFNA(VLOOKUP(A129,[3]進出口值表查詢結果!$C$11:$F$68,4,0),-[4]整車!$B$22)</f>
        <v>0</v>
      </c>
      <c r="W129" s="413">
        <f>_xlfn.IFNA(VLOOKUP(A129,[3]進出口值表查詢結果!$C$11:$F$68,3,0),-[4]整車!$B$22)</f>
        <v>0</v>
      </c>
      <c r="X129" s="413">
        <f>_xlfn.IFNA(VLOOKUP(A129,[5]進出口值表查詢結果!$C$11:$F$68,4,0),-[4]整車!$B$22)</f>
        <v>0</v>
      </c>
      <c r="Y129" s="413">
        <f>_xlfn.IFNA(VLOOKUP(A129,[5]進出口值表查詢結果!$C$11:$F$68,3,0),-[4]整車!$B$22)</f>
        <v>0</v>
      </c>
      <c r="Z129" s="407">
        <f t="shared" si="22"/>
        <v>0</v>
      </c>
      <c r="AA129" s="407">
        <f t="shared" si="23"/>
        <v>0</v>
      </c>
    </row>
    <row r="130" spans="1:27">
      <c r="A130" s="412" t="s">
        <v>318</v>
      </c>
      <c r="B130" s="413"/>
      <c r="C130" s="413"/>
      <c r="D130" s="413"/>
      <c r="E130" s="413"/>
      <c r="F130" s="413">
        <v>0</v>
      </c>
      <c r="G130" s="413"/>
      <c r="H130" s="413">
        <v>0</v>
      </c>
      <c r="I130" s="413">
        <v>0</v>
      </c>
      <c r="J130" s="414" t="s">
        <v>57</v>
      </c>
      <c r="K130" s="417" t="s">
        <v>57</v>
      </c>
      <c r="L130" s="413">
        <v>0</v>
      </c>
      <c r="M130" s="413">
        <v>0</v>
      </c>
      <c r="N130" s="413">
        <v>0</v>
      </c>
      <c r="O130" s="413">
        <v>0</v>
      </c>
      <c r="P130" s="413">
        <v>0</v>
      </c>
      <c r="Q130" s="413">
        <v>0</v>
      </c>
      <c r="R130" s="413">
        <v>0</v>
      </c>
      <c r="S130" s="413">
        <v>0</v>
      </c>
      <c r="T130" s="413"/>
      <c r="U130" s="413"/>
      <c r="V130" s="413">
        <f>_xlfn.IFNA(VLOOKUP(A130,[3]進出口值表查詢結果!$C$11:$F$68,4,0),-[4]整車!$B$22)</f>
        <v>0</v>
      </c>
      <c r="W130" s="413">
        <f>_xlfn.IFNA(VLOOKUP(A130,[3]進出口值表查詢結果!$C$11:$F$68,3,0),-[4]整車!$B$22)</f>
        <v>0</v>
      </c>
      <c r="X130" s="413">
        <f>_xlfn.IFNA(VLOOKUP(A130,[5]進出口值表查詢結果!$C$11:$F$68,4,0),-[4]整車!$B$22)</f>
        <v>0</v>
      </c>
      <c r="Y130" s="413">
        <f>_xlfn.IFNA(VLOOKUP(A130,[5]進出口值表查詢結果!$C$11:$F$68,3,0),-[4]整車!$B$22)</f>
        <v>0</v>
      </c>
      <c r="Z130" s="407">
        <f t="shared" si="22"/>
        <v>0</v>
      </c>
      <c r="AA130" s="407">
        <f t="shared" si="23"/>
        <v>0</v>
      </c>
    </row>
    <row r="131" spans="1:27">
      <c r="A131" s="449" t="s">
        <v>319</v>
      </c>
      <c r="B131" s="413"/>
      <c r="C131" s="413"/>
      <c r="D131" s="413"/>
      <c r="E131" s="413"/>
      <c r="F131" s="413">
        <v>0</v>
      </c>
      <c r="G131" s="413"/>
      <c r="H131" s="413">
        <v>0</v>
      </c>
      <c r="I131" s="413">
        <v>0</v>
      </c>
      <c r="J131" s="414" t="s">
        <v>57</v>
      </c>
      <c r="K131" s="417" t="s">
        <v>57</v>
      </c>
      <c r="L131" s="413">
        <v>0</v>
      </c>
      <c r="M131" s="413">
        <v>0</v>
      </c>
      <c r="N131" s="413">
        <v>0</v>
      </c>
      <c r="O131" s="413">
        <v>0</v>
      </c>
      <c r="P131" s="413">
        <v>0</v>
      </c>
      <c r="Q131" s="413">
        <v>0</v>
      </c>
      <c r="R131" s="413">
        <v>0</v>
      </c>
      <c r="S131" s="413">
        <v>0</v>
      </c>
      <c r="T131" s="413"/>
      <c r="U131" s="413"/>
      <c r="V131" s="413">
        <f>_xlfn.IFNA(VLOOKUP(A131,[3]進出口值表查詢結果!$C$11:$F$68,4,0),-[4]整車!$B$22)</f>
        <v>0</v>
      </c>
      <c r="W131" s="413">
        <f>_xlfn.IFNA(VLOOKUP(A131,[3]進出口值表查詢結果!$C$11:$F$68,3,0),-[4]整車!$B$22)</f>
        <v>0</v>
      </c>
      <c r="X131" s="413">
        <f>_xlfn.IFNA(VLOOKUP(A131,[5]進出口值表查詢結果!$C$11:$F$68,4,0),-[4]整車!$B$22)</f>
        <v>0</v>
      </c>
      <c r="Y131" s="413">
        <f>_xlfn.IFNA(VLOOKUP(A131,[5]進出口值表查詢結果!$C$11:$F$68,3,0),-[4]整車!$B$22)</f>
        <v>0</v>
      </c>
      <c r="Z131" s="407">
        <f t="shared" si="22"/>
        <v>0</v>
      </c>
      <c r="AA131" s="407">
        <f t="shared" si="23"/>
        <v>0</v>
      </c>
    </row>
    <row r="132" spans="1:27">
      <c r="A132" s="449" t="s">
        <v>320</v>
      </c>
      <c r="B132" s="413"/>
      <c r="C132" s="413"/>
      <c r="D132" s="413"/>
      <c r="E132" s="413"/>
      <c r="F132" s="413">
        <v>0</v>
      </c>
      <c r="G132" s="413"/>
      <c r="H132" s="413">
        <v>0</v>
      </c>
      <c r="I132" s="413">
        <v>0</v>
      </c>
      <c r="J132" s="414" t="s">
        <v>57</v>
      </c>
      <c r="K132" s="417" t="s">
        <v>57</v>
      </c>
      <c r="L132" s="413">
        <v>0</v>
      </c>
      <c r="M132" s="413">
        <v>0</v>
      </c>
      <c r="N132" s="413">
        <v>0</v>
      </c>
      <c r="O132" s="413">
        <v>0</v>
      </c>
      <c r="P132" s="413">
        <v>0</v>
      </c>
      <c r="Q132" s="413">
        <v>0</v>
      </c>
      <c r="R132" s="413">
        <v>0</v>
      </c>
      <c r="S132" s="413">
        <v>0</v>
      </c>
      <c r="T132" s="413"/>
      <c r="U132" s="413"/>
      <c r="V132" s="413">
        <f>_xlfn.IFNA(VLOOKUP(A132,[3]進出口值表查詢結果!$C$11:$F$68,4,0),-[4]整車!$B$22)</f>
        <v>0</v>
      </c>
      <c r="W132" s="413">
        <f>_xlfn.IFNA(VLOOKUP(A132,[3]進出口值表查詢結果!$C$11:$F$68,3,0),-[4]整車!$B$22)</f>
        <v>0</v>
      </c>
      <c r="X132" s="413">
        <f>_xlfn.IFNA(VLOOKUP(A132,[5]進出口值表查詢結果!$C$11:$F$68,4,0),-[4]整車!$B$22)</f>
        <v>0</v>
      </c>
      <c r="Y132" s="413">
        <f>_xlfn.IFNA(VLOOKUP(A132,[5]進出口值表查詢結果!$C$11:$F$68,3,0),-[4]整車!$B$22)</f>
        <v>0</v>
      </c>
      <c r="Z132" s="407">
        <f t="shared" si="22"/>
        <v>0</v>
      </c>
      <c r="AA132" s="407">
        <f t="shared" si="23"/>
        <v>0</v>
      </c>
    </row>
    <row r="133" spans="1:27">
      <c r="A133" s="449" t="s">
        <v>321</v>
      </c>
      <c r="B133" s="413"/>
      <c r="C133" s="413"/>
      <c r="D133" s="413"/>
      <c r="E133" s="413"/>
      <c r="F133" s="413">
        <v>0</v>
      </c>
      <c r="G133" s="413"/>
      <c r="H133" s="413">
        <v>0</v>
      </c>
      <c r="I133" s="413">
        <v>0</v>
      </c>
      <c r="J133" s="414" t="s">
        <v>57</v>
      </c>
      <c r="K133" s="417" t="s">
        <v>57</v>
      </c>
      <c r="L133" s="413">
        <v>0</v>
      </c>
      <c r="M133" s="413">
        <v>0</v>
      </c>
      <c r="N133" s="413">
        <v>0</v>
      </c>
      <c r="O133" s="413">
        <v>0</v>
      </c>
      <c r="P133" s="413">
        <v>0</v>
      </c>
      <c r="Q133" s="413">
        <v>0</v>
      </c>
      <c r="R133" s="413">
        <v>0</v>
      </c>
      <c r="S133" s="413">
        <v>0</v>
      </c>
      <c r="T133" s="413"/>
      <c r="U133" s="413"/>
      <c r="V133" s="413">
        <f>_xlfn.IFNA(VLOOKUP(A133,[3]進出口值表查詢結果!$C$11:$F$68,4,0),-[4]整車!$B$22)</f>
        <v>0</v>
      </c>
      <c r="W133" s="413">
        <f>_xlfn.IFNA(VLOOKUP(A133,[3]進出口值表查詢結果!$C$11:$F$68,3,0),-[4]整車!$B$22)</f>
        <v>0</v>
      </c>
      <c r="X133" s="413">
        <f>_xlfn.IFNA(VLOOKUP(A133,[5]進出口值表查詢結果!$C$11:$F$68,4,0),-[4]整車!$B$22)</f>
        <v>0</v>
      </c>
      <c r="Y133" s="413">
        <f>_xlfn.IFNA(VLOOKUP(A133,[5]進出口值表查詢結果!$C$11:$F$68,3,0),-[4]整車!$B$22)</f>
        <v>0</v>
      </c>
      <c r="Z133" s="407">
        <f t="shared" si="22"/>
        <v>0</v>
      </c>
      <c r="AA133" s="407">
        <f t="shared" si="23"/>
        <v>0</v>
      </c>
    </row>
    <row r="134" spans="1:27">
      <c r="A134" s="449" t="s">
        <v>322</v>
      </c>
      <c r="B134" s="413"/>
      <c r="C134" s="413"/>
      <c r="D134" s="413"/>
      <c r="E134" s="413"/>
      <c r="F134" s="413">
        <v>0</v>
      </c>
      <c r="G134" s="413"/>
      <c r="H134" s="413">
        <v>0</v>
      </c>
      <c r="I134" s="413">
        <v>0</v>
      </c>
      <c r="J134" s="414" t="s">
        <v>57</v>
      </c>
      <c r="K134" s="437" t="s">
        <v>57</v>
      </c>
      <c r="L134" s="413">
        <v>0</v>
      </c>
      <c r="M134" s="413">
        <v>0</v>
      </c>
      <c r="N134" s="413">
        <v>0</v>
      </c>
      <c r="O134" s="413">
        <v>0</v>
      </c>
      <c r="P134" s="413">
        <v>0</v>
      </c>
      <c r="Q134" s="413">
        <v>0</v>
      </c>
      <c r="R134" s="413">
        <v>0</v>
      </c>
      <c r="S134" s="413">
        <v>0</v>
      </c>
      <c r="T134" s="413"/>
      <c r="U134" s="413"/>
      <c r="V134" s="413">
        <f>_xlfn.IFNA(VLOOKUP(A134,[3]進出口值表查詢結果!$C$11:$F$68,4,0),-[4]整車!$B$22)</f>
        <v>0</v>
      </c>
      <c r="W134" s="413">
        <f>_xlfn.IFNA(VLOOKUP(A134,[3]進出口值表查詢結果!$C$11:$F$68,3,0),-[4]整車!$B$22)</f>
        <v>0</v>
      </c>
      <c r="X134" s="413">
        <f>_xlfn.IFNA(VLOOKUP(A134,[5]進出口值表查詢結果!$C$11:$F$68,4,0),-[4]整車!$B$22)</f>
        <v>0</v>
      </c>
      <c r="Y134" s="413">
        <f>_xlfn.IFNA(VLOOKUP(A134,[5]進出口值表查詢結果!$C$11:$F$68,3,0),-[4]整車!$B$22)</f>
        <v>0</v>
      </c>
      <c r="Z134" s="407">
        <f t="shared" si="22"/>
        <v>0</v>
      </c>
      <c r="AA134" s="407">
        <f t="shared" si="23"/>
        <v>0</v>
      </c>
    </row>
    <row r="135" spans="1:27">
      <c r="A135" s="416"/>
      <c r="B135" s="413"/>
      <c r="C135" s="413"/>
      <c r="D135" s="413"/>
      <c r="E135" s="413"/>
      <c r="F135" s="413"/>
      <c r="G135" s="413"/>
      <c r="H135" s="413"/>
      <c r="I135" s="413"/>
      <c r="J135" s="414"/>
      <c r="K135" s="415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07"/>
      <c r="AA135" s="407"/>
    </row>
    <row r="136" spans="1:27">
      <c r="A136" s="433" t="s">
        <v>141</v>
      </c>
      <c r="B136" s="434">
        <f t="shared" ref="B136:M136" si="24">SUM(B137:B150)</f>
        <v>391</v>
      </c>
      <c r="C136" s="434">
        <f t="shared" si="24"/>
        <v>601333</v>
      </c>
      <c r="D136" s="434">
        <f t="shared" si="24"/>
        <v>195</v>
      </c>
      <c r="E136" s="434">
        <f t="shared" si="24"/>
        <v>250399</v>
      </c>
      <c r="F136" s="434">
        <f t="shared" si="24"/>
        <v>714</v>
      </c>
      <c r="G136" s="434">
        <f t="shared" si="24"/>
        <v>599636</v>
      </c>
      <c r="H136" s="434">
        <f t="shared" si="24"/>
        <v>1024</v>
      </c>
      <c r="I136" s="434">
        <f t="shared" si="24"/>
        <v>190726</v>
      </c>
      <c r="J136" s="435">
        <f t="shared" si="24"/>
        <v>1213</v>
      </c>
      <c r="K136" s="436">
        <f t="shared" si="24"/>
        <v>446610</v>
      </c>
      <c r="L136" s="434">
        <f t="shared" si="24"/>
        <v>517</v>
      </c>
      <c r="M136" s="434">
        <f t="shared" si="24"/>
        <v>504422</v>
      </c>
      <c r="N136" s="434">
        <f>SUM(N137:N150)</f>
        <v>1680</v>
      </c>
      <c r="O136" s="434">
        <f>SUM(O137:O150)</f>
        <v>1034923</v>
      </c>
      <c r="P136" s="434">
        <f>SUM(P137:P149)</f>
        <v>1055</v>
      </c>
      <c r="Q136" s="434">
        <f>SUM(Q137:Q149)</f>
        <v>1060011</v>
      </c>
      <c r="R136" s="434">
        <f t="shared" ref="R136:Y136" si="25">SUM(R137:R150)</f>
        <v>1394</v>
      </c>
      <c r="S136" s="434">
        <f t="shared" si="25"/>
        <v>1001461</v>
      </c>
      <c r="T136" s="434">
        <f t="shared" si="25"/>
        <v>2073</v>
      </c>
      <c r="U136" s="434">
        <f t="shared" si="25"/>
        <v>1401961</v>
      </c>
      <c r="V136" s="434">
        <f>SUM(V137:V150)</f>
        <v>747</v>
      </c>
      <c r="W136" s="434">
        <f>SUM(W137:W150)</f>
        <v>547003</v>
      </c>
      <c r="X136" s="434">
        <f t="shared" si="25"/>
        <v>325</v>
      </c>
      <c r="Y136" s="434">
        <f t="shared" si="25"/>
        <v>457417</v>
      </c>
      <c r="Z136" s="420">
        <f t="shared" ref="Z136:Z167" si="26">SUM(B136,D136,F136,H136,J136,L136,N136,P136,R136,T136,V136,X136)</f>
        <v>11328</v>
      </c>
      <c r="AA136" s="420">
        <f t="shared" ref="AA136:AA167" si="27">SUM(C136,E136,G136,I136,K136,M136,O136,Q136,S136,U136,W136,Y136)</f>
        <v>8095902</v>
      </c>
    </row>
    <row r="137" spans="1:27">
      <c r="A137" s="454" t="s">
        <v>219</v>
      </c>
      <c r="B137" s="413">
        <v>7</v>
      </c>
      <c r="C137" s="413">
        <v>13229</v>
      </c>
      <c r="D137" s="413">
        <v>3</v>
      </c>
      <c r="E137" s="413">
        <v>2398</v>
      </c>
      <c r="F137" s="413">
        <v>74</v>
      </c>
      <c r="G137" s="413">
        <v>133887</v>
      </c>
      <c r="H137" s="413">
        <v>96</v>
      </c>
      <c r="I137" s="413">
        <v>168964</v>
      </c>
      <c r="J137" s="414"/>
      <c r="K137" s="415"/>
      <c r="L137" s="413">
        <v>198</v>
      </c>
      <c r="M137" s="413">
        <v>94268</v>
      </c>
      <c r="N137" s="413">
        <v>356</v>
      </c>
      <c r="O137" s="413">
        <v>453280</v>
      </c>
      <c r="P137" s="413">
        <v>591</v>
      </c>
      <c r="Q137" s="413">
        <v>597186</v>
      </c>
      <c r="R137" s="413">
        <v>397</v>
      </c>
      <c r="S137" s="413">
        <v>182473</v>
      </c>
      <c r="T137" s="413">
        <v>225</v>
      </c>
      <c r="U137" s="413">
        <v>224164</v>
      </c>
      <c r="V137" s="413">
        <f>_xlfn.IFNA(VLOOKUP(A137,[3]進出口值表查詢結果!$C$11:$F$68,4,0),-[4]整車!$B$22)</f>
        <v>121</v>
      </c>
      <c r="W137" s="413">
        <f>_xlfn.IFNA(VLOOKUP(A137,[3]進出口值表查詢結果!$C$11:$F$68,3,0),-[4]整車!$B$22)</f>
        <v>63501</v>
      </c>
      <c r="X137" s="413">
        <f>_xlfn.IFNA(VLOOKUP(A137,[5]進出口值表查詢結果!$C$11:$F$68,4,0),-[4]整車!$B$22)</f>
        <v>123</v>
      </c>
      <c r="Y137" s="413">
        <f>_xlfn.IFNA(VLOOKUP(A137,[5]進出口值表查詢結果!$C$11:$F$68,3,0),-[4]整車!$B$22)</f>
        <v>156263</v>
      </c>
      <c r="Z137" s="407">
        <f t="shared" si="26"/>
        <v>2191</v>
      </c>
      <c r="AA137" s="407">
        <f t="shared" si="27"/>
        <v>2089613</v>
      </c>
    </row>
    <row r="138" spans="1:27">
      <c r="A138" s="449" t="s">
        <v>163</v>
      </c>
      <c r="B138" s="413"/>
      <c r="C138" s="413"/>
      <c r="D138" s="413"/>
      <c r="E138" s="413"/>
      <c r="F138" s="413">
        <v>0</v>
      </c>
      <c r="G138" s="413"/>
      <c r="H138" s="413">
        <v>0</v>
      </c>
      <c r="I138" s="413">
        <v>0</v>
      </c>
      <c r="J138" s="414"/>
      <c r="K138" s="415"/>
      <c r="L138" s="413">
        <v>0</v>
      </c>
      <c r="M138" s="413">
        <v>0</v>
      </c>
      <c r="N138" s="413">
        <v>123</v>
      </c>
      <c r="O138" s="413">
        <v>61292</v>
      </c>
      <c r="P138" s="413">
        <v>0</v>
      </c>
      <c r="Q138" s="413">
        <v>0</v>
      </c>
      <c r="R138" s="413">
        <v>0</v>
      </c>
      <c r="S138" s="413">
        <v>0</v>
      </c>
      <c r="T138" s="413">
        <v>84</v>
      </c>
      <c r="U138" s="413">
        <v>105611</v>
      </c>
      <c r="V138" s="413">
        <f>_xlfn.IFNA(VLOOKUP(A138,[3]進出口值表查詢結果!$C$11:$F$68,4,0),-[4]整車!$B$22)</f>
        <v>68</v>
      </c>
      <c r="W138" s="413">
        <f>_xlfn.IFNA(VLOOKUP(A138,[3]進出口值表查詢結果!$C$11:$F$68,3,0),-[4]整車!$B$22)</f>
        <v>64056</v>
      </c>
      <c r="X138" s="413">
        <f>_xlfn.IFNA(VLOOKUP(A138,[5]進出口值表查詢結果!$C$11:$F$68,4,0),-[4]整車!$B$22)</f>
        <v>0</v>
      </c>
      <c r="Y138" s="413">
        <f>_xlfn.IFNA(VLOOKUP(A138,[5]進出口值表查詢結果!$C$11:$F$68,3,0),-[4]整車!$B$22)</f>
        <v>0</v>
      </c>
      <c r="Z138" s="407">
        <f t="shared" si="26"/>
        <v>275</v>
      </c>
      <c r="AA138" s="407">
        <f t="shared" si="27"/>
        <v>230959</v>
      </c>
    </row>
    <row r="139" spans="1:27">
      <c r="A139" s="449" t="s">
        <v>191</v>
      </c>
      <c r="B139" s="413">
        <v>280</v>
      </c>
      <c r="C139" s="413">
        <v>479573</v>
      </c>
      <c r="D139" s="413">
        <v>172</v>
      </c>
      <c r="E139" s="413">
        <v>228214</v>
      </c>
      <c r="F139" s="413">
        <v>600</v>
      </c>
      <c r="G139" s="413">
        <v>459244</v>
      </c>
      <c r="H139" s="413">
        <v>0</v>
      </c>
      <c r="I139" s="413">
        <v>0</v>
      </c>
      <c r="J139" s="414">
        <v>1213</v>
      </c>
      <c r="K139" s="415">
        <v>446610</v>
      </c>
      <c r="L139" s="413">
        <v>165</v>
      </c>
      <c r="M139" s="413">
        <v>220979</v>
      </c>
      <c r="N139" s="413">
        <v>339</v>
      </c>
      <c r="O139" s="413">
        <v>507640</v>
      </c>
      <c r="P139" s="413">
        <v>425</v>
      </c>
      <c r="Q139" s="413">
        <v>413046</v>
      </c>
      <c r="R139" s="413">
        <v>740</v>
      </c>
      <c r="S139" s="413">
        <v>667120</v>
      </c>
      <c r="T139" s="413">
        <v>1704</v>
      </c>
      <c r="U139" s="413">
        <v>1071291</v>
      </c>
      <c r="V139" s="413">
        <f>_xlfn.IFNA(VLOOKUP(A139,[3]進出口值表查詢結果!$C$11:$F$68,4,0),-[4]整車!$B$22)</f>
        <v>552</v>
      </c>
      <c r="W139" s="413">
        <f>_xlfn.IFNA(VLOOKUP(A139,[3]進出口值表查詢結果!$C$11:$F$68,3,0),-[4]整車!$B$22)</f>
        <v>411890</v>
      </c>
      <c r="X139" s="413">
        <f>_xlfn.IFNA(VLOOKUP(A139,[5]進出口值表查詢結果!$C$11:$F$68,4,0),-[4]整車!$B$22)</f>
        <v>108</v>
      </c>
      <c r="Y139" s="413">
        <f>_xlfn.IFNA(VLOOKUP(A139,[5]進出口值表查詢結果!$C$11:$F$68,3,0),-[4]整車!$B$22)</f>
        <v>192722</v>
      </c>
      <c r="Z139" s="407">
        <f t="shared" si="26"/>
        <v>6298</v>
      </c>
      <c r="AA139" s="407">
        <f t="shared" si="27"/>
        <v>5098329</v>
      </c>
    </row>
    <row r="140" spans="1:27">
      <c r="A140" s="449" t="s">
        <v>323</v>
      </c>
      <c r="B140" s="413"/>
      <c r="C140" s="413"/>
      <c r="D140" s="413"/>
      <c r="E140" s="413"/>
      <c r="F140" s="413">
        <v>0</v>
      </c>
      <c r="G140" s="413"/>
      <c r="H140" s="413">
        <v>0</v>
      </c>
      <c r="I140" s="413">
        <v>0</v>
      </c>
      <c r="J140" s="414"/>
      <c r="K140" s="415"/>
      <c r="L140" s="413">
        <v>0</v>
      </c>
      <c r="M140" s="413">
        <v>0</v>
      </c>
      <c r="N140" s="413">
        <v>0</v>
      </c>
      <c r="O140" s="413">
        <v>0</v>
      </c>
      <c r="P140" s="413">
        <v>0</v>
      </c>
      <c r="Q140" s="413">
        <v>0</v>
      </c>
      <c r="R140" s="413">
        <v>0</v>
      </c>
      <c r="S140" s="413">
        <v>0</v>
      </c>
      <c r="T140" s="413"/>
      <c r="U140" s="413"/>
      <c r="V140" s="413">
        <f>_xlfn.IFNA(VLOOKUP(A140,[3]進出口值表查詢結果!$C$11:$F$68,4,0),-[4]整車!$B$22)</f>
        <v>0</v>
      </c>
      <c r="W140" s="413">
        <f>_xlfn.IFNA(VLOOKUP(A140,[3]進出口值表查詢結果!$C$11:$F$68,3,0),-[4]整車!$B$22)</f>
        <v>0</v>
      </c>
      <c r="X140" s="413">
        <f>_xlfn.IFNA(VLOOKUP(A140,[5]進出口值表查詢結果!$C$11:$F$68,4,0),-[4]整車!$B$22)</f>
        <v>0</v>
      </c>
      <c r="Y140" s="413">
        <f>_xlfn.IFNA(VLOOKUP(A140,[5]進出口值表查詢結果!$C$11:$F$68,3,0),-[4]整車!$B$22)</f>
        <v>0</v>
      </c>
      <c r="Z140" s="407">
        <f t="shared" si="26"/>
        <v>0</v>
      </c>
      <c r="AA140" s="407">
        <f t="shared" si="27"/>
        <v>0</v>
      </c>
    </row>
    <row r="141" spans="1:27">
      <c r="A141" s="449" t="s">
        <v>324</v>
      </c>
      <c r="B141" s="413"/>
      <c r="C141" s="413"/>
      <c r="D141" s="413"/>
      <c r="E141" s="413"/>
      <c r="F141" s="413">
        <v>0</v>
      </c>
      <c r="G141" s="413"/>
      <c r="H141" s="413">
        <v>0</v>
      </c>
      <c r="I141" s="413">
        <v>0</v>
      </c>
      <c r="J141" s="414"/>
      <c r="K141" s="415"/>
      <c r="L141" s="413">
        <v>0</v>
      </c>
      <c r="M141" s="413">
        <v>0</v>
      </c>
      <c r="N141" s="413">
        <v>0</v>
      </c>
      <c r="O141" s="413">
        <v>0</v>
      </c>
      <c r="P141" s="413">
        <v>0</v>
      </c>
      <c r="Q141" s="413">
        <v>0</v>
      </c>
      <c r="R141" s="413">
        <v>0</v>
      </c>
      <c r="S141" s="413">
        <v>0</v>
      </c>
      <c r="T141" s="413"/>
      <c r="U141" s="413"/>
      <c r="V141" s="413">
        <f>_xlfn.IFNA(VLOOKUP(A141,[3]進出口值表查詢結果!$C$11:$F$68,4,0),-[4]整車!$B$22)</f>
        <v>0</v>
      </c>
      <c r="W141" s="413">
        <f>_xlfn.IFNA(VLOOKUP(A141,[3]進出口值表查詢結果!$C$11:$F$68,3,0),-[4]整車!$B$22)</f>
        <v>0</v>
      </c>
      <c r="X141" s="413">
        <f>_xlfn.IFNA(VLOOKUP(A141,[5]進出口值表查詢結果!$C$11:$F$68,4,0),-[4]整車!$B$22)</f>
        <v>0</v>
      </c>
      <c r="Y141" s="413">
        <f>_xlfn.IFNA(VLOOKUP(A141,[5]進出口值表查詢結果!$C$11:$F$68,3,0),-[4]整車!$B$22)</f>
        <v>0</v>
      </c>
      <c r="Z141" s="407">
        <f t="shared" si="26"/>
        <v>0</v>
      </c>
      <c r="AA141" s="407">
        <f t="shared" si="27"/>
        <v>0</v>
      </c>
    </row>
    <row r="142" spans="1:27">
      <c r="A142" s="449" t="s">
        <v>325</v>
      </c>
      <c r="B142" s="413">
        <v>77</v>
      </c>
      <c r="C142" s="413">
        <v>80740</v>
      </c>
      <c r="D142" s="413"/>
      <c r="E142" s="413"/>
      <c r="F142" s="413">
        <v>40</v>
      </c>
      <c r="G142" s="413">
        <v>6505</v>
      </c>
      <c r="H142" s="413">
        <v>0</v>
      </c>
      <c r="I142" s="413">
        <v>0</v>
      </c>
      <c r="J142" s="414"/>
      <c r="K142" s="415"/>
      <c r="L142" s="413">
        <v>101</v>
      </c>
      <c r="M142" s="413">
        <v>139946</v>
      </c>
      <c r="N142" s="413">
        <v>0</v>
      </c>
      <c r="O142" s="413">
        <v>0</v>
      </c>
      <c r="P142" s="413">
        <v>0</v>
      </c>
      <c r="Q142" s="413">
        <v>0</v>
      </c>
      <c r="R142" s="413">
        <v>0</v>
      </c>
      <c r="S142" s="413">
        <v>0</v>
      </c>
      <c r="T142" s="413"/>
      <c r="U142" s="413"/>
      <c r="V142" s="413">
        <f>_xlfn.IFNA(VLOOKUP(A142,[3]進出口值表查詢結果!$C$11:$F$68,4,0),-[4]整車!$B$22)</f>
        <v>0</v>
      </c>
      <c r="W142" s="413">
        <f>_xlfn.IFNA(VLOOKUP(A142,[3]進出口值表查詢結果!$C$11:$F$68,3,0),-[4]整車!$B$22)</f>
        <v>0</v>
      </c>
      <c r="X142" s="413">
        <f>_xlfn.IFNA(VLOOKUP(A142,[5]進出口值表查詢結果!$C$11:$F$68,4,0),-[4]整車!$B$22)</f>
        <v>94</v>
      </c>
      <c r="Y142" s="413">
        <f>_xlfn.IFNA(VLOOKUP(A142,[5]進出口值表查詢結果!$C$11:$F$68,3,0),-[4]整車!$B$22)</f>
        <v>108432</v>
      </c>
      <c r="Z142" s="407">
        <f t="shared" si="26"/>
        <v>312</v>
      </c>
      <c r="AA142" s="407">
        <f t="shared" si="27"/>
        <v>335623</v>
      </c>
    </row>
    <row r="143" spans="1:27">
      <c r="A143" s="449" t="s">
        <v>326</v>
      </c>
      <c r="B143" s="413"/>
      <c r="C143" s="413"/>
      <c r="D143" s="413"/>
      <c r="E143" s="413"/>
      <c r="F143" s="413">
        <v>0</v>
      </c>
      <c r="G143" s="413"/>
      <c r="H143" s="413">
        <v>0</v>
      </c>
      <c r="I143" s="413">
        <v>0</v>
      </c>
      <c r="J143" s="414"/>
      <c r="K143" s="415"/>
      <c r="L143" s="413">
        <v>25</v>
      </c>
      <c r="M143" s="413">
        <v>25972</v>
      </c>
      <c r="N143" s="413">
        <v>2</v>
      </c>
      <c r="O143" s="413">
        <v>3989</v>
      </c>
      <c r="P143" s="413">
        <v>6</v>
      </c>
      <c r="Q143" s="413">
        <v>5727</v>
      </c>
      <c r="R143" s="413">
        <v>5</v>
      </c>
      <c r="S143" s="413">
        <v>5843</v>
      </c>
      <c r="T143" s="413"/>
      <c r="U143" s="413"/>
      <c r="V143" s="413">
        <f>_xlfn.IFNA(VLOOKUP(A143,[3]進出口值表查詢結果!$C$11:$F$68,4,0),-[4]整車!$B$22)</f>
        <v>6</v>
      </c>
      <c r="W143" s="413">
        <f>_xlfn.IFNA(VLOOKUP(A143,[3]進出口值表查詢結果!$C$11:$F$68,3,0),-[4]整車!$B$22)</f>
        <v>7556</v>
      </c>
      <c r="X143" s="413">
        <f>_xlfn.IFNA(VLOOKUP(A143,[5]進出口值表查詢結果!$C$11:$F$68,4,0),-[4]整車!$B$22)</f>
        <v>0</v>
      </c>
      <c r="Y143" s="413">
        <f>_xlfn.IFNA(VLOOKUP(A143,[5]進出口值表查詢結果!$C$11:$F$68,3,0),-[4]整車!$B$22)</f>
        <v>0</v>
      </c>
      <c r="Z143" s="407">
        <f t="shared" si="26"/>
        <v>44</v>
      </c>
      <c r="AA143" s="407">
        <f t="shared" si="27"/>
        <v>49087</v>
      </c>
    </row>
    <row r="144" spans="1:27">
      <c r="A144" s="449" t="s">
        <v>327</v>
      </c>
      <c r="B144" s="413"/>
      <c r="C144" s="413"/>
      <c r="D144" s="413"/>
      <c r="E144" s="413"/>
      <c r="F144" s="413">
        <v>0</v>
      </c>
      <c r="G144" s="413"/>
      <c r="H144" s="413">
        <v>0</v>
      </c>
      <c r="I144" s="413">
        <v>0</v>
      </c>
      <c r="J144" s="414"/>
      <c r="K144" s="415"/>
      <c r="L144" s="413">
        <v>0</v>
      </c>
      <c r="M144" s="413">
        <v>0</v>
      </c>
      <c r="N144" s="413">
        <v>0</v>
      </c>
      <c r="O144" s="413">
        <v>0</v>
      </c>
      <c r="P144" s="413">
        <v>0</v>
      </c>
      <c r="Q144" s="413">
        <v>0</v>
      </c>
      <c r="R144" s="413">
        <v>0</v>
      </c>
      <c r="S144" s="413">
        <v>0</v>
      </c>
      <c r="T144" s="413"/>
      <c r="U144" s="413"/>
      <c r="V144" s="413">
        <f>_xlfn.IFNA(VLOOKUP(A144,[3]進出口值表查詢結果!$C$11:$F$68,4,0),-[4]整車!$B$22)</f>
        <v>0</v>
      </c>
      <c r="W144" s="413">
        <f>_xlfn.IFNA(VLOOKUP(A144,[3]進出口值表查詢結果!$C$11:$F$68,3,0),-[4]整車!$B$22)</f>
        <v>0</v>
      </c>
      <c r="X144" s="413">
        <f>_xlfn.IFNA(VLOOKUP(A144,[5]進出口值表查詢結果!$C$11:$F$68,4,0),-[4]整車!$B$22)</f>
        <v>0</v>
      </c>
      <c r="Y144" s="413">
        <f>_xlfn.IFNA(VLOOKUP(A144,[5]進出口值表查詢結果!$C$11:$F$68,3,0),-[4]整車!$B$22)</f>
        <v>0</v>
      </c>
      <c r="Z144" s="407">
        <f t="shared" si="26"/>
        <v>0</v>
      </c>
      <c r="AA144" s="407">
        <f t="shared" si="27"/>
        <v>0</v>
      </c>
    </row>
    <row r="145" spans="1:27">
      <c r="A145" s="449" t="s">
        <v>328</v>
      </c>
      <c r="B145" s="413"/>
      <c r="C145" s="413"/>
      <c r="D145" s="413">
        <v>20</v>
      </c>
      <c r="E145" s="413">
        <v>19787</v>
      </c>
      <c r="F145" s="413">
        <v>0</v>
      </c>
      <c r="G145" s="413"/>
      <c r="H145" s="413">
        <v>0</v>
      </c>
      <c r="I145" s="413">
        <v>0</v>
      </c>
      <c r="J145" s="414"/>
      <c r="K145" s="415"/>
      <c r="L145" s="413">
        <v>0</v>
      </c>
      <c r="M145" s="413">
        <v>0</v>
      </c>
      <c r="N145" s="413">
        <v>0</v>
      </c>
      <c r="O145" s="413">
        <v>0</v>
      </c>
      <c r="P145" s="413">
        <v>0</v>
      </c>
      <c r="Q145" s="413">
        <v>0</v>
      </c>
      <c r="R145" s="413">
        <v>0</v>
      </c>
      <c r="S145" s="413">
        <v>0</v>
      </c>
      <c r="T145" s="413"/>
      <c r="U145" s="413"/>
      <c r="V145" s="413">
        <f>_xlfn.IFNA(VLOOKUP(A145,[3]進出口值表查詢結果!$C$11:$F$68,4,0),-[4]整車!$B$22)</f>
        <v>0</v>
      </c>
      <c r="W145" s="413">
        <f>_xlfn.IFNA(VLOOKUP(A145,[3]進出口值表查詢結果!$C$11:$F$68,3,0),-[4]整車!$B$22)</f>
        <v>0</v>
      </c>
      <c r="X145" s="413">
        <f>_xlfn.IFNA(VLOOKUP(A145,[5]進出口值表查詢結果!$C$11:$F$68,4,0),-[4]整車!$B$22)</f>
        <v>0</v>
      </c>
      <c r="Y145" s="413">
        <f>_xlfn.IFNA(VLOOKUP(A145,[5]進出口值表查詢結果!$C$11:$F$68,3,0),-[4]整車!$B$22)</f>
        <v>0</v>
      </c>
      <c r="Z145" s="407">
        <f t="shared" si="26"/>
        <v>20</v>
      </c>
      <c r="AA145" s="407">
        <f t="shared" si="27"/>
        <v>19787</v>
      </c>
    </row>
    <row r="146" spans="1:27">
      <c r="A146" s="449" t="s">
        <v>329</v>
      </c>
      <c r="B146" s="413"/>
      <c r="C146" s="413"/>
      <c r="D146" s="413"/>
      <c r="E146" s="413"/>
      <c r="F146" s="413">
        <v>0</v>
      </c>
      <c r="G146" s="413"/>
      <c r="H146" s="413">
        <v>0</v>
      </c>
      <c r="I146" s="413">
        <v>0</v>
      </c>
      <c r="J146" s="414"/>
      <c r="K146" s="415"/>
      <c r="L146" s="413">
        <v>0</v>
      </c>
      <c r="M146" s="413">
        <v>0</v>
      </c>
      <c r="N146" s="413">
        <v>0</v>
      </c>
      <c r="O146" s="413">
        <v>0</v>
      </c>
      <c r="P146" s="413">
        <v>0</v>
      </c>
      <c r="Q146" s="413">
        <v>0</v>
      </c>
      <c r="R146" s="413">
        <v>0</v>
      </c>
      <c r="S146" s="413">
        <v>0</v>
      </c>
      <c r="T146" s="413"/>
      <c r="U146" s="413"/>
      <c r="V146" s="413">
        <f>_xlfn.IFNA(VLOOKUP(A146,[3]進出口值表查詢結果!$C$11:$F$68,4,0),-[4]整車!$B$22)</f>
        <v>0</v>
      </c>
      <c r="W146" s="413">
        <f>_xlfn.IFNA(VLOOKUP(A146,[3]進出口值表查詢結果!$C$11:$F$68,3,0),-[4]整車!$B$22)</f>
        <v>0</v>
      </c>
      <c r="X146" s="413">
        <f>_xlfn.IFNA(VLOOKUP(A146,[5]進出口值表查詢結果!$C$11:$F$68,4,0),-[4]整車!$B$22)</f>
        <v>0</v>
      </c>
      <c r="Y146" s="413">
        <f>_xlfn.IFNA(VLOOKUP(A146,[5]進出口值表查詢結果!$C$11:$F$68,3,0),-[4]整車!$B$22)</f>
        <v>0</v>
      </c>
      <c r="Z146" s="407">
        <f t="shared" si="26"/>
        <v>0</v>
      </c>
      <c r="AA146" s="407">
        <f t="shared" si="27"/>
        <v>0</v>
      </c>
    </row>
    <row r="147" spans="1:27">
      <c r="A147" s="449" t="s">
        <v>330</v>
      </c>
      <c r="B147" s="413">
        <v>27</v>
      </c>
      <c r="C147" s="413">
        <v>27791</v>
      </c>
      <c r="D147" s="413"/>
      <c r="E147" s="413"/>
      <c r="F147" s="413">
        <v>0</v>
      </c>
      <c r="G147" s="413"/>
      <c r="H147" s="413">
        <v>16</v>
      </c>
      <c r="I147" s="413">
        <v>12686</v>
      </c>
      <c r="J147" s="414"/>
      <c r="K147" s="415"/>
      <c r="L147" s="413">
        <v>28</v>
      </c>
      <c r="M147" s="413">
        <v>23257</v>
      </c>
      <c r="N147" s="413">
        <v>0</v>
      </c>
      <c r="O147" s="413">
        <v>0</v>
      </c>
      <c r="P147" s="413">
        <v>33</v>
      </c>
      <c r="Q147" s="413">
        <v>44052</v>
      </c>
      <c r="R147" s="413">
        <v>252</v>
      </c>
      <c r="S147" s="413">
        <v>146025</v>
      </c>
      <c r="T147" s="413"/>
      <c r="U147" s="413"/>
      <c r="V147" s="413">
        <f>_xlfn.IFNA(VLOOKUP(A147,[3]進出口值表查詢結果!$C$11:$F$68,4,0),-[4]整車!$B$22)</f>
        <v>0</v>
      </c>
      <c r="W147" s="413">
        <f>_xlfn.IFNA(VLOOKUP(A147,[3]進出口值表查詢結果!$C$11:$F$68,3,0),-[4]整車!$B$22)</f>
        <v>0</v>
      </c>
      <c r="X147" s="413">
        <f>_xlfn.IFNA(VLOOKUP(A147,[5]進出口值表查詢結果!$C$11:$F$68,4,0),-[4]整車!$B$22)</f>
        <v>0</v>
      </c>
      <c r="Y147" s="413">
        <f>_xlfn.IFNA(VLOOKUP(A147,[5]進出口值表查詢結果!$C$11:$F$68,3,0),-[4]整車!$B$22)</f>
        <v>0</v>
      </c>
      <c r="Z147" s="407">
        <f t="shared" si="26"/>
        <v>356</v>
      </c>
      <c r="AA147" s="407">
        <f t="shared" si="27"/>
        <v>253811</v>
      </c>
    </row>
    <row r="148" spans="1:27">
      <c r="A148" s="449" t="s">
        <v>331</v>
      </c>
      <c r="B148" s="413"/>
      <c r="C148" s="413"/>
      <c r="D148" s="413"/>
      <c r="E148" s="413"/>
      <c r="F148" s="413">
        <v>0</v>
      </c>
      <c r="G148" s="413"/>
      <c r="H148" s="413">
        <v>0</v>
      </c>
      <c r="I148" s="413">
        <v>0</v>
      </c>
      <c r="J148" s="414"/>
      <c r="K148" s="415"/>
      <c r="L148" s="413">
        <v>0</v>
      </c>
      <c r="M148" s="413">
        <v>0</v>
      </c>
      <c r="N148" s="413">
        <v>0</v>
      </c>
      <c r="O148" s="413">
        <v>0</v>
      </c>
      <c r="P148" s="413">
        <v>0</v>
      </c>
      <c r="Q148" s="413">
        <v>0</v>
      </c>
      <c r="R148" s="413">
        <v>0</v>
      </c>
      <c r="S148" s="413">
        <v>0</v>
      </c>
      <c r="T148" s="413"/>
      <c r="U148" s="413"/>
      <c r="V148" s="413">
        <f>_xlfn.IFNA(VLOOKUP(A148,[3]進出口值表查詢結果!$C$11:$F$68,4,0),-[4]整車!$B$22)</f>
        <v>0</v>
      </c>
      <c r="W148" s="413">
        <f>_xlfn.IFNA(VLOOKUP(A148,[3]進出口值表查詢結果!$C$11:$F$68,3,0),-[4]整車!$B$22)</f>
        <v>0</v>
      </c>
      <c r="X148" s="413">
        <f>_xlfn.IFNA(VLOOKUP(A148,[5]進出口值表查詢結果!$C$11:$F$68,4,0),-[4]整車!$B$22)</f>
        <v>0</v>
      </c>
      <c r="Y148" s="413">
        <f>_xlfn.IFNA(VLOOKUP(A148,[5]進出口值表查詢結果!$C$11:$F$68,3,0),-[4]整車!$B$22)</f>
        <v>0</v>
      </c>
      <c r="Z148" s="407">
        <f t="shared" si="26"/>
        <v>0</v>
      </c>
      <c r="AA148" s="407">
        <f t="shared" si="27"/>
        <v>0</v>
      </c>
    </row>
    <row r="149" spans="1:27">
      <c r="A149" s="449" t="s">
        <v>332</v>
      </c>
      <c r="B149" s="413"/>
      <c r="C149" s="413"/>
      <c r="D149" s="413"/>
      <c r="E149" s="413"/>
      <c r="F149" s="413">
        <v>0</v>
      </c>
      <c r="G149" s="413"/>
      <c r="H149" s="413">
        <v>0</v>
      </c>
      <c r="I149" s="413">
        <v>0</v>
      </c>
      <c r="J149" s="414"/>
      <c r="K149" s="415"/>
      <c r="L149" s="413">
        <v>0</v>
      </c>
      <c r="M149" s="413">
        <v>0</v>
      </c>
      <c r="N149" s="413">
        <v>0</v>
      </c>
      <c r="O149" s="413">
        <v>0</v>
      </c>
      <c r="P149" s="413">
        <v>0</v>
      </c>
      <c r="Q149" s="413">
        <v>0</v>
      </c>
      <c r="R149" s="413">
        <v>0</v>
      </c>
      <c r="S149" s="413">
        <v>0</v>
      </c>
      <c r="T149" s="413"/>
      <c r="U149" s="413"/>
      <c r="V149" s="413">
        <f>_xlfn.IFNA(VLOOKUP(A149,[3]進出口值表查詢結果!$C$11:$F$68,4,0),-[4]整車!$B$22)</f>
        <v>0</v>
      </c>
      <c r="W149" s="413">
        <f>_xlfn.IFNA(VLOOKUP(A149,[3]進出口值表查詢結果!$C$11:$F$68,3,0),-[4]整車!$B$22)</f>
        <v>0</v>
      </c>
      <c r="X149" s="413">
        <f>_xlfn.IFNA(VLOOKUP(A149,[5]進出口值表查詢結果!$C$11:$F$68,4,0),-[4]整車!$B$22)</f>
        <v>0</v>
      </c>
      <c r="Y149" s="413">
        <f>_xlfn.IFNA(VLOOKUP(A149,[5]進出口值表查詢結果!$C$11:$F$68,3,0),-[4]整車!$B$22)</f>
        <v>0</v>
      </c>
      <c r="Z149" s="407">
        <f t="shared" si="26"/>
        <v>0</v>
      </c>
      <c r="AA149" s="407">
        <f t="shared" si="27"/>
        <v>0</v>
      </c>
    </row>
    <row r="150" spans="1:27">
      <c r="A150" s="449" t="s">
        <v>333</v>
      </c>
      <c r="B150" s="413"/>
      <c r="C150" s="413"/>
      <c r="D150" s="413"/>
      <c r="E150" s="413"/>
      <c r="F150" s="413">
        <v>0</v>
      </c>
      <c r="G150" s="413"/>
      <c r="H150" s="413">
        <v>912</v>
      </c>
      <c r="I150" s="413">
        <v>9076</v>
      </c>
      <c r="J150" s="414"/>
      <c r="K150" s="415"/>
      <c r="L150" s="413">
        <v>0</v>
      </c>
      <c r="M150" s="413">
        <v>0</v>
      </c>
      <c r="N150" s="413">
        <v>860</v>
      </c>
      <c r="O150" s="413">
        <v>8722</v>
      </c>
      <c r="P150" s="413">
        <v>0</v>
      </c>
      <c r="Q150" s="413">
        <v>0</v>
      </c>
      <c r="R150" s="413">
        <v>0</v>
      </c>
      <c r="S150" s="413">
        <v>0</v>
      </c>
      <c r="T150" s="413">
        <v>60</v>
      </c>
      <c r="U150" s="413">
        <v>895</v>
      </c>
      <c r="V150" s="413">
        <f>_xlfn.IFNA(VLOOKUP(A150,[3]進出口值表查詢結果!$C$11:$F$68,4,0),-[4]整車!$B$22)</f>
        <v>0</v>
      </c>
      <c r="W150" s="413">
        <f>_xlfn.IFNA(VLOOKUP(A150,[3]進出口值表查詢結果!$C$11:$F$68,3,0),-[4]整車!$B$22)</f>
        <v>0</v>
      </c>
      <c r="X150" s="413">
        <f>_xlfn.IFNA(VLOOKUP(A150,[5]進出口值表查詢結果!$C$11:$F$68,4,0),-[4]整車!$B$22)</f>
        <v>0</v>
      </c>
      <c r="Y150" s="413">
        <f>_xlfn.IFNA(VLOOKUP(A150,[5]進出口值表查詢結果!$C$11:$F$68,3,0),-[4]整車!$B$22)</f>
        <v>0</v>
      </c>
      <c r="Z150" s="407">
        <f t="shared" si="26"/>
        <v>1832</v>
      </c>
      <c r="AA150" s="407">
        <f t="shared" si="27"/>
        <v>18693</v>
      </c>
    </row>
    <row r="151" spans="1:27">
      <c r="A151" s="455" t="s">
        <v>334</v>
      </c>
      <c r="B151" s="434">
        <f t="shared" ref="B151:Y151" si="28">SUM(B152:B188)</f>
        <v>438</v>
      </c>
      <c r="C151" s="434">
        <f t="shared" si="28"/>
        <v>697135</v>
      </c>
      <c r="D151" s="434">
        <f t="shared" si="28"/>
        <v>255</v>
      </c>
      <c r="E151" s="434">
        <f t="shared" si="28"/>
        <v>237208</v>
      </c>
      <c r="F151" s="434">
        <f t="shared" si="28"/>
        <v>115</v>
      </c>
      <c r="G151" s="434">
        <f t="shared" si="28"/>
        <v>139562</v>
      </c>
      <c r="H151" s="434">
        <f t="shared" si="28"/>
        <v>86</v>
      </c>
      <c r="I151" s="434">
        <f t="shared" si="28"/>
        <v>117092</v>
      </c>
      <c r="J151" s="435">
        <f t="shared" si="28"/>
        <v>613</v>
      </c>
      <c r="K151" s="436">
        <f>SUM(K152:K188)</f>
        <v>1036854</v>
      </c>
      <c r="L151" s="434">
        <f t="shared" si="28"/>
        <v>427</v>
      </c>
      <c r="M151" s="434">
        <f t="shared" si="28"/>
        <v>494605</v>
      </c>
      <c r="N151" s="434">
        <f t="shared" si="28"/>
        <v>849</v>
      </c>
      <c r="O151" s="434">
        <f t="shared" si="28"/>
        <v>1256457</v>
      </c>
      <c r="P151" s="434">
        <f t="shared" si="28"/>
        <v>1223</v>
      </c>
      <c r="Q151" s="434">
        <f t="shared" si="28"/>
        <v>669332</v>
      </c>
      <c r="R151" s="434">
        <f t="shared" si="28"/>
        <v>709</v>
      </c>
      <c r="S151" s="434">
        <f t="shared" si="28"/>
        <v>987195</v>
      </c>
      <c r="T151" s="434">
        <f t="shared" si="28"/>
        <v>318</v>
      </c>
      <c r="U151" s="434">
        <f t="shared" si="28"/>
        <v>309983</v>
      </c>
      <c r="V151" s="434">
        <f>SUM(V152:V188)</f>
        <v>638</v>
      </c>
      <c r="W151" s="434">
        <f>SUM(W152:W188)</f>
        <v>766517</v>
      </c>
      <c r="X151" s="434">
        <f t="shared" si="28"/>
        <v>526</v>
      </c>
      <c r="Y151" s="434">
        <f t="shared" si="28"/>
        <v>550560</v>
      </c>
      <c r="Z151" s="420">
        <f t="shared" si="26"/>
        <v>6197</v>
      </c>
      <c r="AA151" s="420">
        <f t="shared" si="27"/>
        <v>7262500</v>
      </c>
    </row>
    <row r="152" spans="1:27">
      <c r="A152" s="449" t="s">
        <v>180</v>
      </c>
      <c r="B152" s="413">
        <v>384</v>
      </c>
      <c r="C152" s="413">
        <v>666044</v>
      </c>
      <c r="D152" s="413">
        <v>225</v>
      </c>
      <c r="E152" s="413">
        <v>237041</v>
      </c>
      <c r="F152" s="413">
        <v>111</v>
      </c>
      <c r="G152" s="413">
        <v>136011</v>
      </c>
      <c r="H152" s="413">
        <v>36</v>
      </c>
      <c r="I152" s="413">
        <v>67009</v>
      </c>
      <c r="J152" s="414">
        <v>449</v>
      </c>
      <c r="K152" s="415">
        <v>996359</v>
      </c>
      <c r="L152" s="413">
        <v>306</v>
      </c>
      <c r="M152" s="413">
        <v>433512</v>
      </c>
      <c r="N152" s="413">
        <v>849</v>
      </c>
      <c r="O152" s="413">
        <v>1256457</v>
      </c>
      <c r="P152" s="413">
        <v>395</v>
      </c>
      <c r="Q152" s="413">
        <v>604709</v>
      </c>
      <c r="R152" s="413">
        <v>684</v>
      </c>
      <c r="S152" s="413">
        <v>986787</v>
      </c>
      <c r="T152" s="413">
        <v>211</v>
      </c>
      <c r="U152" s="413">
        <v>279759</v>
      </c>
      <c r="V152" s="413">
        <f>_xlfn.IFNA(VLOOKUP(A152,[3]進出口值表查詢結果!$C$11:$F$68,4,0),-[4]整車!$B$22)</f>
        <v>506</v>
      </c>
      <c r="W152" s="413">
        <f>_xlfn.IFNA(VLOOKUP(A152,[3]進出口值表查詢結果!$C$11:$F$68,3,0),-[4]整車!$B$22)</f>
        <v>630607</v>
      </c>
      <c r="X152" s="413">
        <f>_xlfn.IFNA(VLOOKUP(A152,[5]進出口值表查詢結果!$C$11:$F$68,4,0),-[4]整車!$B$22)</f>
        <v>360</v>
      </c>
      <c r="Y152" s="413">
        <f>_xlfn.IFNA(VLOOKUP(A152,[5]進出口值表查詢結果!$C$11:$F$68,3,0),-[4]整車!$B$22)</f>
        <v>482820</v>
      </c>
      <c r="Z152" s="407">
        <f t="shared" si="26"/>
        <v>4516</v>
      </c>
      <c r="AA152" s="407">
        <f t="shared" si="27"/>
        <v>6777115</v>
      </c>
    </row>
    <row r="153" spans="1:27">
      <c r="A153" s="449" t="s">
        <v>336</v>
      </c>
      <c r="B153" s="413">
        <v>1</v>
      </c>
      <c r="C153" s="413">
        <v>2333</v>
      </c>
      <c r="D153" s="413"/>
      <c r="E153" s="413"/>
      <c r="F153" s="413">
        <v>0</v>
      </c>
      <c r="G153" s="413"/>
      <c r="H153" s="413">
        <v>15</v>
      </c>
      <c r="I153" s="413">
        <v>19675</v>
      </c>
      <c r="J153" s="414">
        <v>39</v>
      </c>
      <c r="K153" s="415">
        <v>39292</v>
      </c>
      <c r="L153" s="413">
        <v>0</v>
      </c>
      <c r="M153" s="413">
        <v>0</v>
      </c>
      <c r="N153" s="413">
        <v>0</v>
      </c>
      <c r="O153" s="413">
        <v>0</v>
      </c>
      <c r="P153" s="413">
        <v>0</v>
      </c>
      <c r="Q153" s="413">
        <v>0</v>
      </c>
      <c r="R153" s="413">
        <v>0</v>
      </c>
      <c r="S153" s="413">
        <v>0</v>
      </c>
      <c r="T153" s="413"/>
      <c r="U153" s="413"/>
      <c r="V153" s="413">
        <f>_xlfn.IFNA(VLOOKUP(A153,[3]進出口值表查詢結果!$C$11:$F$68,4,0),-[4]整車!$B$22)</f>
        <v>132</v>
      </c>
      <c r="W153" s="413">
        <f>_xlfn.IFNA(VLOOKUP(A153,[3]進出口值表查詢結果!$C$11:$F$68,3,0),-[4]整車!$B$22)</f>
        <v>135910</v>
      </c>
      <c r="X153" s="413">
        <f>_xlfn.IFNA(VLOOKUP(A153,[5]進出口值表查詢結果!$C$11:$F$68,4,0),-[4]整車!$B$22)</f>
        <v>0</v>
      </c>
      <c r="Y153" s="413">
        <f>_xlfn.IFNA(VLOOKUP(A153,[5]進出口值表查詢結果!$C$11:$F$68,3,0),-[4]整車!$B$22)</f>
        <v>0</v>
      </c>
      <c r="Z153" s="407">
        <f t="shared" si="26"/>
        <v>187</v>
      </c>
      <c r="AA153" s="407">
        <f t="shared" si="27"/>
        <v>197210</v>
      </c>
    </row>
    <row r="154" spans="1:27">
      <c r="A154" s="449" t="s">
        <v>337</v>
      </c>
      <c r="B154" s="413"/>
      <c r="C154" s="413"/>
      <c r="D154" s="413"/>
      <c r="E154" s="413"/>
      <c r="F154" s="413">
        <v>0</v>
      </c>
      <c r="G154" s="413"/>
      <c r="H154" s="413">
        <v>0</v>
      </c>
      <c r="I154" s="413">
        <v>0</v>
      </c>
      <c r="J154" s="414"/>
      <c r="K154" s="415"/>
      <c r="L154" s="413">
        <v>0</v>
      </c>
      <c r="M154" s="413">
        <v>0</v>
      </c>
      <c r="N154" s="413">
        <v>0</v>
      </c>
      <c r="O154" s="413">
        <v>0</v>
      </c>
      <c r="P154" s="413">
        <v>0</v>
      </c>
      <c r="Q154" s="413">
        <v>0</v>
      </c>
      <c r="R154" s="413">
        <v>0</v>
      </c>
      <c r="S154" s="413">
        <v>0</v>
      </c>
      <c r="T154" s="413"/>
      <c r="U154" s="413"/>
      <c r="V154" s="413">
        <f>_xlfn.IFNA(VLOOKUP(A154,[3]進出口值表查詢結果!$C$11:$F$68,4,0),-[4]整車!$B$22)</f>
        <v>0</v>
      </c>
      <c r="W154" s="413">
        <f>_xlfn.IFNA(VLOOKUP(A154,[3]進出口值表查詢結果!$C$11:$F$68,3,0),-[4]整車!$B$22)</f>
        <v>0</v>
      </c>
      <c r="X154" s="413">
        <f>_xlfn.IFNA(VLOOKUP(A154,[5]進出口值表查詢結果!$C$11:$F$68,4,0),-[4]整車!$B$22)</f>
        <v>0</v>
      </c>
      <c r="Y154" s="413">
        <f>_xlfn.IFNA(VLOOKUP(A154,[5]進出口值表查詢結果!$C$11:$F$68,3,0),-[4]整車!$B$22)</f>
        <v>0</v>
      </c>
      <c r="Z154" s="407">
        <f t="shared" si="26"/>
        <v>0</v>
      </c>
      <c r="AA154" s="407">
        <f t="shared" si="27"/>
        <v>0</v>
      </c>
    </row>
    <row r="155" spans="1:27">
      <c r="A155" s="449" t="s">
        <v>338</v>
      </c>
      <c r="B155" s="413"/>
      <c r="C155" s="413"/>
      <c r="D155" s="413"/>
      <c r="E155" s="413"/>
      <c r="F155" s="413">
        <v>0</v>
      </c>
      <c r="G155" s="413"/>
      <c r="H155" s="413">
        <v>0</v>
      </c>
      <c r="I155" s="413">
        <v>0</v>
      </c>
      <c r="J155" s="414"/>
      <c r="K155" s="415"/>
      <c r="L155" s="413">
        <v>0</v>
      </c>
      <c r="M155" s="413">
        <v>0</v>
      </c>
      <c r="N155" s="413">
        <v>0</v>
      </c>
      <c r="O155" s="413">
        <v>0</v>
      </c>
      <c r="P155" s="413">
        <v>0</v>
      </c>
      <c r="Q155" s="413">
        <v>0</v>
      </c>
      <c r="R155" s="413">
        <v>0</v>
      </c>
      <c r="S155" s="413">
        <v>0</v>
      </c>
      <c r="T155" s="413"/>
      <c r="U155" s="413"/>
      <c r="V155" s="413">
        <f>_xlfn.IFNA(VLOOKUP(A155,[3]進出口值表查詢結果!$C$11:$F$68,4,0),-[4]整車!$B$22)</f>
        <v>0</v>
      </c>
      <c r="W155" s="413">
        <f>_xlfn.IFNA(VLOOKUP(A155,[3]進出口值表查詢結果!$C$11:$F$68,3,0),-[4]整車!$B$22)</f>
        <v>0</v>
      </c>
      <c r="X155" s="413">
        <f>_xlfn.IFNA(VLOOKUP(A155,[5]進出口值表查詢結果!$C$11:$F$68,4,0),-[4]整車!$B$22)</f>
        <v>0</v>
      </c>
      <c r="Y155" s="413">
        <f>_xlfn.IFNA(VLOOKUP(A155,[5]進出口值表查詢結果!$C$11:$F$68,3,0),-[4]整車!$B$22)</f>
        <v>0</v>
      </c>
      <c r="Z155" s="407">
        <f t="shared" si="26"/>
        <v>0</v>
      </c>
      <c r="AA155" s="407">
        <f t="shared" si="27"/>
        <v>0</v>
      </c>
    </row>
    <row r="156" spans="1:27">
      <c r="A156" s="449" t="s">
        <v>195</v>
      </c>
      <c r="B156" s="413"/>
      <c r="C156" s="413"/>
      <c r="D156" s="413"/>
      <c r="E156" s="413"/>
      <c r="F156" s="413">
        <v>0</v>
      </c>
      <c r="G156" s="413"/>
      <c r="H156" s="413">
        <v>0</v>
      </c>
      <c r="I156" s="413">
        <v>0</v>
      </c>
      <c r="J156" s="414"/>
      <c r="K156" s="415"/>
      <c r="L156" s="413">
        <v>0</v>
      </c>
      <c r="M156" s="413">
        <v>0</v>
      </c>
      <c r="N156" s="413">
        <v>0</v>
      </c>
      <c r="O156" s="413">
        <v>0</v>
      </c>
      <c r="P156" s="413">
        <v>0</v>
      </c>
      <c r="Q156" s="413">
        <v>0</v>
      </c>
      <c r="R156" s="413">
        <v>0</v>
      </c>
      <c r="S156" s="413">
        <v>0</v>
      </c>
      <c r="T156" s="413"/>
      <c r="U156" s="413"/>
      <c r="V156" s="413">
        <f>_xlfn.IFNA(VLOOKUP(A156,[3]進出口值表查詢結果!$C$11:$F$68,4,0),-[4]整車!$B$22)</f>
        <v>0</v>
      </c>
      <c r="W156" s="413">
        <f>_xlfn.IFNA(VLOOKUP(A156,[3]進出口值表查詢結果!$C$11:$F$68,3,0),-[4]整車!$B$22)</f>
        <v>0</v>
      </c>
      <c r="X156" s="413">
        <f>_xlfn.IFNA(VLOOKUP(A156,[5]進出口值表查詢結果!$C$11:$F$68,4,0),-[4]整車!$B$22)</f>
        <v>0</v>
      </c>
      <c r="Y156" s="413">
        <f>_xlfn.IFNA(VLOOKUP(A156,[5]進出口值表查詢結果!$C$11:$F$68,3,0),-[4]整車!$B$22)</f>
        <v>0</v>
      </c>
      <c r="Z156" s="407">
        <f t="shared" si="26"/>
        <v>0</v>
      </c>
      <c r="AA156" s="407">
        <f t="shared" si="27"/>
        <v>0</v>
      </c>
    </row>
    <row r="157" spans="1:27">
      <c r="A157" s="449" t="s">
        <v>339</v>
      </c>
      <c r="B157" s="413"/>
      <c r="C157" s="413"/>
      <c r="D157" s="413"/>
      <c r="E157" s="413"/>
      <c r="F157" s="413">
        <v>0</v>
      </c>
      <c r="G157" s="413"/>
      <c r="H157" s="413">
        <v>0</v>
      </c>
      <c r="I157" s="413">
        <v>0</v>
      </c>
      <c r="J157" s="414"/>
      <c r="K157" s="415"/>
      <c r="L157" s="413">
        <v>0</v>
      </c>
      <c r="M157" s="413">
        <v>0</v>
      </c>
      <c r="N157" s="413">
        <v>0</v>
      </c>
      <c r="O157" s="413">
        <v>0</v>
      </c>
      <c r="P157" s="413">
        <v>113</v>
      </c>
      <c r="Q157" s="413">
        <v>610</v>
      </c>
      <c r="R157" s="413">
        <v>25</v>
      </c>
      <c r="S157" s="413">
        <v>408</v>
      </c>
      <c r="T157" s="413">
        <v>56</v>
      </c>
      <c r="U157" s="413">
        <v>448</v>
      </c>
      <c r="V157" s="413">
        <f>_xlfn.IFNA(VLOOKUP(A157,[3]進出口值表查詢結果!$C$11:$F$68,4,0),-[4]整車!$B$22)</f>
        <v>0</v>
      </c>
      <c r="W157" s="413">
        <f>_xlfn.IFNA(VLOOKUP(A157,[3]進出口值表查詢結果!$C$11:$F$68,3,0),-[4]整車!$B$22)</f>
        <v>0</v>
      </c>
      <c r="X157" s="413">
        <f>_xlfn.IFNA(VLOOKUP(A157,[5]進出口值表查詢結果!$C$11:$F$75,4,0),-[4]整車!$B$22)</f>
        <v>6</v>
      </c>
      <c r="Y157" s="413">
        <f>_xlfn.IFNA(VLOOKUP(A157,[5]進出口值表查詢結果!$C$11:$F$75,3,0),-[4]整車!$B$22)</f>
        <v>175</v>
      </c>
      <c r="Z157" s="407">
        <f t="shared" si="26"/>
        <v>200</v>
      </c>
      <c r="AA157" s="407">
        <f t="shared" si="27"/>
        <v>1641</v>
      </c>
    </row>
    <row r="158" spans="1:27">
      <c r="A158" s="449" t="s">
        <v>340</v>
      </c>
      <c r="B158" s="413"/>
      <c r="C158" s="413"/>
      <c r="D158" s="413"/>
      <c r="E158" s="413"/>
      <c r="F158" s="413">
        <v>0</v>
      </c>
      <c r="G158" s="413"/>
      <c r="H158" s="413">
        <v>0</v>
      </c>
      <c r="I158" s="413">
        <v>0</v>
      </c>
      <c r="J158" s="414"/>
      <c r="K158" s="415"/>
      <c r="L158" s="413">
        <v>0</v>
      </c>
      <c r="M158" s="413">
        <v>0</v>
      </c>
      <c r="N158" s="413">
        <v>0</v>
      </c>
      <c r="O158" s="413">
        <v>0</v>
      </c>
      <c r="P158" s="413">
        <v>0</v>
      </c>
      <c r="Q158" s="413">
        <v>0</v>
      </c>
      <c r="R158" s="413">
        <v>0</v>
      </c>
      <c r="S158" s="413">
        <v>0</v>
      </c>
      <c r="T158" s="413"/>
      <c r="U158" s="413"/>
      <c r="V158" s="413">
        <f>_xlfn.IFNA(VLOOKUP(A158,[3]進出口值表查詢結果!$C$11:$F$68,4,0),-[4]整車!$B$22)</f>
        <v>0</v>
      </c>
      <c r="W158" s="413">
        <f>_xlfn.IFNA(VLOOKUP(A158,[3]進出口值表查詢結果!$C$11:$F$68,3,0),-[4]整車!$B$22)</f>
        <v>0</v>
      </c>
      <c r="X158" s="413">
        <f>_xlfn.IFNA(VLOOKUP(A158,[5]進出口值表查詢結果!$C$11:$F$75,4,0),-[4]整車!$B$22)</f>
        <v>0</v>
      </c>
      <c r="Y158" s="413">
        <f>_xlfn.IFNA(VLOOKUP(A158,[5]進出口值表查詢結果!$C$11:$F$75,3,0),-[4]整車!$B$22)</f>
        <v>0</v>
      </c>
      <c r="Z158" s="407">
        <f t="shared" si="26"/>
        <v>0</v>
      </c>
      <c r="AA158" s="407">
        <f t="shared" si="27"/>
        <v>0</v>
      </c>
    </row>
    <row r="159" spans="1:27">
      <c r="A159" s="449" t="s">
        <v>341</v>
      </c>
      <c r="B159" s="413"/>
      <c r="C159" s="413"/>
      <c r="D159" s="413"/>
      <c r="E159" s="413"/>
      <c r="F159" s="413">
        <v>0</v>
      </c>
      <c r="G159" s="413"/>
      <c r="H159" s="413">
        <v>0</v>
      </c>
      <c r="I159" s="413">
        <v>0</v>
      </c>
      <c r="J159" s="414"/>
      <c r="K159" s="415"/>
      <c r="L159" s="413">
        <v>0</v>
      </c>
      <c r="M159" s="413">
        <v>0</v>
      </c>
      <c r="N159" s="413">
        <v>0</v>
      </c>
      <c r="O159" s="413">
        <v>0</v>
      </c>
      <c r="P159" s="413">
        <v>0</v>
      </c>
      <c r="Q159" s="413">
        <v>0</v>
      </c>
      <c r="R159" s="413">
        <v>0</v>
      </c>
      <c r="S159" s="413">
        <v>0</v>
      </c>
      <c r="T159" s="413"/>
      <c r="U159" s="413"/>
      <c r="V159" s="413">
        <f>_xlfn.IFNA(VLOOKUP(A159,[3]進出口值表查詢結果!$C$11:$F$68,4,0),-[4]整車!$B$22)</f>
        <v>0</v>
      </c>
      <c r="W159" s="413">
        <f>_xlfn.IFNA(VLOOKUP(A159,[3]進出口值表查詢結果!$C$11:$F$68,3,0),-[4]整車!$B$22)</f>
        <v>0</v>
      </c>
      <c r="X159" s="413">
        <f>_xlfn.IFNA(VLOOKUP(A159,[5]進出口值表查詢結果!$C$11:$F$75,4,0),-[4]整車!$B$22)</f>
        <v>0</v>
      </c>
      <c r="Y159" s="413">
        <f>_xlfn.IFNA(VLOOKUP(A159,[5]進出口值表查詢結果!$C$11:$F$75,3,0),-[4]整車!$B$22)</f>
        <v>0</v>
      </c>
      <c r="Z159" s="407">
        <f t="shared" si="26"/>
        <v>0</v>
      </c>
      <c r="AA159" s="407">
        <f t="shared" si="27"/>
        <v>0</v>
      </c>
    </row>
    <row r="160" spans="1:27">
      <c r="A160" s="449" t="s">
        <v>342</v>
      </c>
      <c r="B160" s="413"/>
      <c r="C160" s="413"/>
      <c r="D160" s="413"/>
      <c r="E160" s="413"/>
      <c r="F160" s="413">
        <v>4</v>
      </c>
      <c r="G160" s="413">
        <v>3551</v>
      </c>
      <c r="H160" s="413">
        <v>0</v>
      </c>
      <c r="I160" s="413">
        <v>0</v>
      </c>
      <c r="J160" s="414"/>
      <c r="K160" s="415"/>
      <c r="L160" s="413">
        <v>0</v>
      </c>
      <c r="M160" s="413">
        <v>0</v>
      </c>
      <c r="N160" s="413">
        <v>0</v>
      </c>
      <c r="O160" s="413">
        <v>0</v>
      </c>
      <c r="P160" s="413">
        <v>155</v>
      </c>
      <c r="Q160" s="413">
        <v>20061</v>
      </c>
      <c r="R160" s="413">
        <v>0</v>
      </c>
      <c r="S160" s="413">
        <v>0</v>
      </c>
      <c r="T160" s="413"/>
      <c r="U160" s="413"/>
      <c r="V160" s="413">
        <f>_xlfn.IFNA(VLOOKUP(A160,[3]進出口值表查詢結果!$C$11:$F$68,4,0),-[4]整車!$B$22)</f>
        <v>0</v>
      </c>
      <c r="W160" s="413">
        <f>_xlfn.IFNA(VLOOKUP(A160,[3]進出口值表查詢結果!$C$11:$F$68,3,0),-[4]整車!$B$22)</f>
        <v>0</v>
      </c>
      <c r="X160" s="413">
        <f>_xlfn.IFNA(VLOOKUP(A160,[5]進出口值表查詢結果!$C$11:$F$75,4,0),-[4]整車!$B$22)</f>
        <v>0</v>
      </c>
      <c r="Y160" s="413">
        <f>_xlfn.IFNA(VLOOKUP(A160,[5]進出口值表查詢結果!$C$11:$F$75,3,0),-[4]整車!$B$22)</f>
        <v>0</v>
      </c>
      <c r="Z160" s="407">
        <f t="shared" si="26"/>
        <v>159</v>
      </c>
      <c r="AA160" s="407">
        <f t="shared" si="27"/>
        <v>23612</v>
      </c>
    </row>
    <row r="161" spans="1:27">
      <c r="A161" s="449" t="s">
        <v>343</v>
      </c>
      <c r="B161" s="413">
        <v>17</v>
      </c>
      <c r="C161" s="413">
        <v>28291</v>
      </c>
      <c r="D161" s="413"/>
      <c r="E161" s="413"/>
      <c r="F161" s="413">
        <v>0</v>
      </c>
      <c r="G161" s="413"/>
      <c r="H161" s="413">
        <v>35</v>
      </c>
      <c r="I161" s="413">
        <v>30408</v>
      </c>
      <c r="J161" s="414"/>
      <c r="K161" s="415"/>
      <c r="L161" s="413">
        <v>39</v>
      </c>
      <c r="M161" s="413">
        <v>54290</v>
      </c>
      <c r="N161" s="413">
        <v>0</v>
      </c>
      <c r="O161" s="413">
        <v>0</v>
      </c>
      <c r="P161" s="413">
        <v>36</v>
      </c>
      <c r="Q161" s="413">
        <v>38326</v>
      </c>
      <c r="R161" s="413">
        <v>0</v>
      </c>
      <c r="S161" s="413">
        <v>0</v>
      </c>
      <c r="T161" s="413">
        <v>41</v>
      </c>
      <c r="U161" s="413">
        <v>29673</v>
      </c>
      <c r="V161" s="413">
        <f>_xlfn.IFNA(VLOOKUP(A161,[3]進出口值表查詢結果!$C$11:$F$68,4,0),-[4]整車!$B$22)</f>
        <v>0</v>
      </c>
      <c r="W161" s="413">
        <f>_xlfn.IFNA(VLOOKUP(A161,[3]進出口值表查詢結果!$C$11:$F$68,3,0),-[4]整車!$B$22)</f>
        <v>0</v>
      </c>
      <c r="X161" s="413">
        <f>_xlfn.IFNA(VLOOKUP(A161,[5]進出口值表查詢結果!$C$11:$F$75,4,0),-[4]整車!$B$22)</f>
        <v>50</v>
      </c>
      <c r="Y161" s="413">
        <f>_xlfn.IFNA(VLOOKUP(A161,[5]進出口值表查詢結果!$C$11:$F$75,3,0),-[4]整車!$B$22)</f>
        <v>63646</v>
      </c>
      <c r="Z161" s="407">
        <f t="shared" si="26"/>
        <v>218</v>
      </c>
      <c r="AA161" s="407">
        <f t="shared" si="27"/>
        <v>244634</v>
      </c>
    </row>
    <row r="162" spans="1:27">
      <c r="A162" s="449" t="s">
        <v>344</v>
      </c>
      <c r="B162" s="413"/>
      <c r="C162" s="413"/>
      <c r="D162" s="413"/>
      <c r="E162" s="413"/>
      <c r="F162" s="413">
        <v>0</v>
      </c>
      <c r="G162" s="413"/>
      <c r="H162" s="413">
        <v>0</v>
      </c>
      <c r="I162" s="413">
        <v>0</v>
      </c>
      <c r="J162" s="414">
        <v>5</v>
      </c>
      <c r="K162" s="415">
        <v>802</v>
      </c>
      <c r="L162" s="413">
        <v>0</v>
      </c>
      <c r="M162" s="413">
        <v>0</v>
      </c>
      <c r="N162" s="413">
        <v>0</v>
      </c>
      <c r="O162" s="413">
        <v>0</v>
      </c>
      <c r="P162" s="413">
        <v>0</v>
      </c>
      <c r="Q162" s="413">
        <v>0</v>
      </c>
      <c r="R162" s="413">
        <v>0</v>
      </c>
      <c r="S162" s="413">
        <v>0</v>
      </c>
      <c r="T162" s="413"/>
      <c r="U162" s="413"/>
      <c r="V162" s="413">
        <f>_xlfn.IFNA(VLOOKUP(A162,[3]進出口值表查詢結果!$C$11:$F$68,4,0),-[4]整車!$B$22)</f>
        <v>0</v>
      </c>
      <c r="W162" s="413">
        <f>_xlfn.IFNA(VLOOKUP(A162,[3]進出口值表查詢結果!$C$11:$F$68,3,0),-[4]整車!$B$22)</f>
        <v>0</v>
      </c>
      <c r="X162" s="413">
        <f>_xlfn.IFNA(VLOOKUP(A162,[5]進出口值表查詢結果!$C$11:$F$75,4,0),-[4]整車!$B$22)</f>
        <v>0</v>
      </c>
      <c r="Y162" s="413">
        <f>_xlfn.IFNA(VLOOKUP(A162,[5]進出口值表查詢結果!$C$11:$F$75,3,0),-[4]整車!$B$22)</f>
        <v>0</v>
      </c>
      <c r="Z162" s="407">
        <f t="shared" si="26"/>
        <v>5</v>
      </c>
      <c r="AA162" s="407">
        <f t="shared" si="27"/>
        <v>802</v>
      </c>
    </row>
    <row r="163" spans="1:27">
      <c r="A163" s="449" t="s">
        <v>345</v>
      </c>
      <c r="B163" s="413"/>
      <c r="C163" s="413"/>
      <c r="D163" s="413"/>
      <c r="E163" s="413"/>
      <c r="F163" s="413">
        <v>0</v>
      </c>
      <c r="G163" s="413"/>
      <c r="H163" s="413">
        <v>0</v>
      </c>
      <c r="I163" s="413">
        <v>0</v>
      </c>
      <c r="J163" s="414">
        <v>120</v>
      </c>
      <c r="K163" s="415">
        <v>401</v>
      </c>
      <c r="L163" s="413">
        <v>82</v>
      </c>
      <c r="M163" s="413">
        <v>6803</v>
      </c>
      <c r="N163" s="413">
        <v>0</v>
      </c>
      <c r="O163" s="413">
        <v>0</v>
      </c>
      <c r="P163" s="413">
        <v>512</v>
      </c>
      <c r="Q163" s="413">
        <v>5219</v>
      </c>
      <c r="R163" s="413">
        <v>0</v>
      </c>
      <c r="S163" s="413">
        <v>0</v>
      </c>
      <c r="T163" s="413"/>
      <c r="U163" s="413"/>
      <c r="V163" s="413">
        <f>_xlfn.IFNA(VLOOKUP(A163,[3]進出口值表查詢結果!$C$11:$F$68,4,0),-[4]整車!$B$22)</f>
        <v>0</v>
      </c>
      <c r="W163" s="413">
        <f>_xlfn.IFNA(VLOOKUP(A163,[3]進出口值表查詢結果!$C$11:$F$68,3,0),-[4]整車!$B$22)</f>
        <v>0</v>
      </c>
      <c r="X163" s="413">
        <f>_xlfn.IFNA(VLOOKUP(A163,[5]進出口值表查詢結果!$C$11:$F$75,4,0),-[4]整車!$B$22)</f>
        <v>0</v>
      </c>
      <c r="Y163" s="413">
        <f>_xlfn.IFNA(VLOOKUP(A163,[5]進出口值表查詢結果!$C$11:$F$75,3,0),-[4]整車!$B$22)</f>
        <v>0</v>
      </c>
      <c r="Z163" s="407">
        <f t="shared" si="26"/>
        <v>714</v>
      </c>
      <c r="AA163" s="407">
        <f t="shared" si="27"/>
        <v>12423</v>
      </c>
    </row>
    <row r="164" spans="1:27">
      <c r="A164" s="449" t="s">
        <v>346</v>
      </c>
      <c r="B164" s="413"/>
      <c r="C164" s="413"/>
      <c r="D164" s="413"/>
      <c r="E164" s="413"/>
      <c r="F164" s="413">
        <v>0</v>
      </c>
      <c r="G164" s="413"/>
      <c r="H164" s="413">
        <v>0</v>
      </c>
      <c r="I164" s="413">
        <v>0</v>
      </c>
      <c r="J164" s="414"/>
      <c r="K164" s="415"/>
      <c r="L164" s="413">
        <v>0</v>
      </c>
      <c r="M164" s="413">
        <v>0</v>
      </c>
      <c r="N164" s="413">
        <v>0</v>
      </c>
      <c r="O164" s="413">
        <v>0</v>
      </c>
      <c r="P164" s="413">
        <v>0</v>
      </c>
      <c r="Q164" s="413">
        <v>0</v>
      </c>
      <c r="R164" s="413">
        <v>0</v>
      </c>
      <c r="S164" s="413">
        <v>0</v>
      </c>
      <c r="T164" s="413"/>
      <c r="U164" s="413"/>
      <c r="V164" s="413">
        <f>_xlfn.IFNA(VLOOKUP(A164,[3]進出口值表查詢結果!$C$11:$F$68,4,0),-[4]整車!$B$22)</f>
        <v>0</v>
      </c>
      <c r="W164" s="413">
        <f>_xlfn.IFNA(VLOOKUP(A164,[3]進出口值表查詢結果!$C$11:$F$68,3,0),-[4]整車!$B$22)</f>
        <v>0</v>
      </c>
      <c r="X164" s="413">
        <f>_xlfn.IFNA(VLOOKUP(A164,[5]進出口值表查詢結果!$C$11:$F$75,4,0),-[4]整車!$B$22)</f>
        <v>0</v>
      </c>
      <c r="Y164" s="413">
        <f>_xlfn.IFNA(VLOOKUP(A164,[5]進出口值表查詢結果!$C$11:$F$75,3,0),-[4]整車!$B$22)</f>
        <v>0</v>
      </c>
      <c r="Z164" s="407">
        <f t="shared" si="26"/>
        <v>0</v>
      </c>
      <c r="AA164" s="407">
        <f t="shared" si="27"/>
        <v>0</v>
      </c>
    </row>
    <row r="165" spans="1:27">
      <c r="A165" s="449" t="s">
        <v>347</v>
      </c>
      <c r="B165" s="413"/>
      <c r="C165" s="413"/>
      <c r="D165" s="413"/>
      <c r="E165" s="413"/>
      <c r="F165" s="413">
        <v>0</v>
      </c>
      <c r="G165" s="413"/>
      <c r="H165" s="413">
        <v>0</v>
      </c>
      <c r="I165" s="413">
        <v>0</v>
      </c>
      <c r="J165" s="414"/>
      <c r="K165" s="415"/>
      <c r="L165" s="413">
        <v>0</v>
      </c>
      <c r="M165" s="413">
        <v>0</v>
      </c>
      <c r="N165" s="413">
        <v>0</v>
      </c>
      <c r="O165" s="413">
        <v>0</v>
      </c>
      <c r="P165" s="413">
        <v>0</v>
      </c>
      <c r="Q165" s="413">
        <v>0</v>
      </c>
      <c r="R165" s="413">
        <v>0</v>
      </c>
      <c r="S165" s="413">
        <v>0</v>
      </c>
      <c r="T165" s="413"/>
      <c r="U165" s="413"/>
      <c r="V165" s="413">
        <f>_xlfn.IFNA(VLOOKUP(A165,[3]進出口值表查詢結果!$C$11:$F$68,4,0),-[4]整車!$B$22)</f>
        <v>0</v>
      </c>
      <c r="W165" s="413">
        <f>_xlfn.IFNA(VLOOKUP(A165,[3]進出口值表查詢結果!$C$11:$F$68,3,0),-[4]整車!$B$22)</f>
        <v>0</v>
      </c>
      <c r="X165" s="413">
        <f>_xlfn.IFNA(VLOOKUP(A165,[5]進出口值表查詢結果!$C$11:$F$75,4,0),-[4]整車!$B$22)</f>
        <v>0</v>
      </c>
      <c r="Y165" s="413">
        <f>_xlfn.IFNA(VLOOKUP(A165,[5]進出口值表查詢結果!$C$11:$F$75,3,0),-[4]整車!$B$22)</f>
        <v>0</v>
      </c>
      <c r="Z165" s="407">
        <f t="shared" si="26"/>
        <v>0</v>
      </c>
      <c r="AA165" s="407">
        <f t="shared" si="27"/>
        <v>0</v>
      </c>
    </row>
    <row r="166" spans="1:27">
      <c r="A166" s="449" t="s">
        <v>348</v>
      </c>
      <c r="B166" s="413"/>
      <c r="C166" s="413"/>
      <c r="D166" s="413"/>
      <c r="E166" s="413"/>
      <c r="F166" s="413">
        <v>0</v>
      </c>
      <c r="G166" s="413"/>
      <c r="H166" s="413">
        <v>0</v>
      </c>
      <c r="I166" s="413">
        <v>0</v>
      </c>
      <c r="J166" s="414"/>
      <c r="K166" s="415"/>
      <c r="L166" s="413">
        <v>0</v>
      </c>
      <c r="M166" s="413">
        <v>0</v>
      </c>
      <c r="N166" s="413">
        <v>0</v>
      </c>
      <c r="O166" s="413">
        <v>0</v>
      </c>
      <c r="P166" s="413">
        <v>0</v>
      </c>
      <c r="Q166" s="413">
        <v>0</v>
      </c>
      <c r="R166" s="413">
        <v>0</v>
      </c>
      <c r="S166" s="413">
        <v>0</v>
      </c>
      <c r="T166" s="413"/>
      <c r="U166" s="413"/>
      <c r="V166" s="413">
        <f>_xlfn.IFNA(VLOOKUP(A166,[3]進出口值表查詢結果!$C$11:$F$68,4,0),-[4]整車!$B$22)</f>
        <v>0</v>
      </c>
      <c r="W166" s="413">
        <f>_xlfn.IFNA(VLOOKUP(A166,[3]進出口值表查詢結果!$C$11:$F$68,3,0),-[4]整車!$B$22)</f>
        <v>0</v>
      </c>
      <c r="X166" s="413">
        <f>_xlfn.IFNA(VLOOKUP(A166,[5]進出口值表查詢結果!$C$11:$F$75,4,0),-[4]整車!$B$22)</f>
        <v>0</v>
      </c>
      <c r="Y166" s="413">
        <f>_xlfn.IFNA(VLOOKUP(A166,[5]進出口值表查詢結果!$C$11:$F$75,3,0),-[4]整車!$B$22)</f>
        <v>0</v>
      </c>
      <c r="Z166" s="407">
        <f t="shared" si="26"/>
        <v>0</v>
      </c>
      <c r="AA166" s="407">
        <f t="shared" si="27"/>
        <v>0</v>
      </c>
    </row>
    <row r="167" spans="1:27">
      <c r="A167" s="449" t="s">
        <v>349</v>
      </c>
      <c r="B167" s="413"/>
      <c r="C167" s="413"/>
      <c r="D167" s="413"/>
      <c r="E167" s="413"/>
      <c r="F167" s="413">
        <v>0</v>
      </c>
      <c r="G167" s="413"/>
      <c r="H167" s="413">
        <v>0</v>
      </c>
      <c r="I167" s="413">
        <v>0</v>
      </c>
      <c r="J167" s="414"/>
      <c r="K167" s="415"/>
      <c r="L167" s="413">
        <v>0</v>
      </c>
      <c r="M167" s="413">
        <v>0</v>
      </c>
      <c r="N167" s="413">
        <v>0</v>
      </c>
      <c r="O167" s="413">
        <v>0</v>
      </c>
      <c r="P167" s="413">
        <v>0</v>
      </c>
      <c r="Q167" s="413">
        <v>0</v>
      </c>
      <c r="R167" s="413">
        <v>0</v>
      </c>
      <c r="S167" s="413">
        <v>0</v>
      </c>
      <c r="T167" s="413"/>
      <c r="U167" s="413"/>
      <c r="V167" s="413">
        <f>_xlfn.IFNA(VLOOKUP(A167,[3]進出口值表查詢結果!$C$11:$F$68,4,0),-[4]整車!$B$22)</f>
        <v>0</v>
      </c>
      <c r="W167" s="413">
        <f>_xlfn.IFNA(VLOOKUP(A167,[3]進出口值表查詢結果!$C$11:$F$68,3,0),-[4]整車!$B$22)</f>
        <v>0</v>
      </c>
      <c r="X167" s="413">
        <f>_xlfn.IFNA(VLOOKUP(A167,[5]進出口值表查詢結果!$C$11:$F$75,4,0),-[4]整車!$B$22)</f>
        <v>0</v>
      </c>
      <c r="Y167" s="413">
        <f>_xlfn.IFNA(VLOOKUP(A167,[5]進出口值表查詢結果!$C$11:$F$75,3,0),-[4]整車!$B$22)</f>
        <v>0</v>
      </c>
      <c r="Z167" s="407">
        <f t="shared" si="26"/>
        <v>0</v>
      </c>
      <c r="AA167" s="407">
        <f t="shared" si="27"/>
        <v>0</v>
      </c>
    </row>
    <row r="168" spans="1:27">
      <c r="A168" s="449" t="s">
        <v>350</v>
      </c>
      <c r="B168" s="413">
        <v>30</v>
      </c>
      <c r="C168" s="413">
        <v>67</v>
      </c>
      <c r="D168" s="413">
        <v>30</v>
      </c>
      <c r="E168" s="413">
        <v>167</v>
      </c>
      <c r="F168" s="413">
        <v>0</v>
      </c>
      <c r="G168" s="413"/>
      <c r="H168" s="413">
        <v>0</v>
      </c>
      <c r="I168" s="413">
        <v>0</v>
      </c>
      <c r="J168" s="414"/>
      <c r="K168" s="415"/>
      <c r="L168" s="413">
        <v>0</v>
      </c>
      <c r="M168" s="413">
        <v>0</v>
      </c>
      <c r="N168" s="413">
        <v>0</v>
      </c>
      <c r="O168" s="413">
        <v>0</v>
      </c>
      <c r="P168" s="413">
        <v>0</v>
      </c>
      <c r="Q168" s="413">
        <v>0</v>
      </c>
      <c r="R168" s="413">
        <v>0</v>
      </c>
      <c r="S168" s="413">
        <v>0</v>
      </c>
      <c r="T168" s="413">
        <v>10</v>
      </c>
      <c r="U168" s="413">
        <v>103</v>
      </c>
      <c r="V168" s="413">
        <f>_xlfn.IFNA(VLOOKUP(A168,[3]進出口值表查詢結果!$C$11:$F$68,4,0),-[4]整車!$B$22)</f>
        <v>0</v>
      </c>
      <c r="W168" s="413">
        <f>_xlfn.IFNA(VLOOKUP(A168,[3]進出口值表查詢結果!$C$11:$F$68,3,0),-[4]整車!$B$22)</f>
        <v>0</v>
      </c>
      <c r="X168" s="413">
        <f>_xlfn.IFNA(VLOOKUP(A168,[5]進出口值表查詢結果!$C$11:$F$75,4,0),-[4]整車!$B$22)</f>
        <v>0</v>
      </c>
      <c r="Y168" s="413">
        <f>_xlfn.IFNA(VLOOKUP(A168,[5]進出口值表查詢結果!$C$11:$F$75,3,0),-[4]整車!$B$22)</f>
        <v>0</v>
      </c>
      <c r="Z168" s="407">
        <f t="shared" ref="Z168:Z185" si="29">SUM(B168,D168,F168,H168,J168,L168,N168,P168,R168,T168,V168,X168)</f>
        <v>70</v>
      </c>
      <c r="AA168" s="407">
        <f t="shared" ref="AA168:AA185" si="30">SUM(C168,E168,G168,I168,K168,M168,O168,Q168,S168,U168,W168,Y168)</f>
        <v>337</v>
      </c>
    </row>
    <row r="169" spans="1:27">
      <c r="A169" s="449" t="s">
        <v>404</v>
      </c>
      <c r="B169" s="413"/>
      <c r="C169" s="413"/>
      <c r="D169" s="413"/>
      <c r="E169" s="413"/>
      <c r="F169" s="413">
        <v>0</v>
      </c>
      <c r="G169" s="413"/>
      <c r="H169" s="413">
        <v>0</v>
      </c>
      <c r="I169" s="413">
        <v>0</v>
      </c>
      <c r="J169" s="414"/>
      <c r="K169" s="415"/>
      <c r="L169" s="413">
        <v>0</v>
      </c>
      <c r="M169" s="413">
        <v>0</v>
      </c>
      <c r="N169" s="413">
        <v>0</v>
      </c>
      <c r="O169" s="413">
        <v>0</v>
      </c>
      <c r="P169" s="413">
        <v>0</v>
      </c>
      <c r="Q169" s="413">
        <v>0</v>
      </c>
      <c r="R169" s="413">
        <v>0</v>
      </c>
      <c r="S169" s="413">
        <v>0</v>
      </c>
      <c r="T169" s="413"/>
      <c r="U169" s="413"/>
      <c r="V169" s="413">
        <f>_xlfn.IFNA(VLOOKUP(A169,[3]進出口值表查詢結果!$C$11:$F$68,4,0),-[4]整車!$B$22)</f>
        <v>0</v>
      </c>
      <c r="W169" s="413">
        <f>_xlfn.IFNA(VLOOKUP(A169,[3]進出口值表查詢結果!$C$11:$F$68,3,0),-[4]整車!$B$22)</f>
        <v>0</v>
      </c>
      <c r="X169" s="413">
        <f>_xlfn.IFNA(VLOOKUP(A169,[5]進出口值表查詢結果!$C$11:$F$75,4,0),-[4]整車!$B$22)</f>
        <v>52</v>
      </c>
      <c r="Y169" s="413">
        <f>_xlfn.IFNA(VLOOKUP(A169,[5]進出口值表查詢結果!$C$11:$F$75,3,0),-[4]整車!$B$22)</f>
        <v>175</v>
      </c>
      <c r="Z169" s="407">
        <f t="shared" si="29"/>
        <v>52</v>
      </c>
      <c r="AA169" s="407">
        <f t="shared" si="30"/>
        <v>175</v>
      </c>
    </row>
    <row r="170" spans="1:27">
      <c r="A170" s="449" t="s">
        <v>351</v>
      </c>
      <c r="B170" s="413">
        <v>6</v>
      </c>
      <c r="C170" s="413">
        <v>400</v>
      </c>
      <c r="D170" s="413"/>
      <c r="E170" s="413"/>
      <c r="F170" s="413">
        <v>0</v>
      </c>
      <c r="G170" s="413"/>
      <c r="H170" s="413">
        <v>0</v>
      </c>
      <c r="I170" s="413">
        <v>0</v>
      </c>
      <c r="J170" s="414"/>
      <c r="K170" s="415"/>
      <c r="L170" s="413">
        <v>0</v>
      </c>
      <c r="M170" s="413">
        <v>0</v>
      </c>
      <c r="N170" s="413">
        <v>0</v>
      </c>
      <c r="O170" s="413">
        <v>0</v>
      </c>
      <c r="P170" s="413">
        <v>0</v>
      </c>
      <c r="Q170" s="413">
        <v>0</v>
      </c>
      <c r="R170" s="413">
        <v>0</v>
      </c>
      <c r="S170" s="413">
        <v>0</v>
      </c>
      <c r="T170" s="413"/>
      <c r="U170" s="413"/>
      <c r="V170" s="413">
        <f>_xlfn.IFNA(VLOOKUP(A170,[3]進出口值表查詢結果!$C$11:$F$68,4,0),-[4]整車!$B$22)</f>
        <v>0</v>
      </c>
      <c r="W170" s="413">
        <f>_xlfn.IFNA(VLOOKUP(A170,[3]進出口值表查詢結果!$C$11:$F$68,3,0),-[4]整車!$B$22)</f>
        <v>0</v>
      </c>
      <c r="X170" s="413">
        <f>_xlfn.IFNA(VLOOKUP(A170,[5]進出口值表查詢結果!$C$11:$F$75,4,0),-[4]整車!$B$22)</f>
        <v>0</v>
      </c>
      <c r="Y170" s="413">
        <f>_xlfn.IFNA(VLOOKUP(A170,[5]進出口值表查詢結果!$C$11:$F$75,3,0),-[4]整車!$B$22)</f>
        <v>0</v>
      </c>
      <c r="Z170" s="407">
        <f t="shared" si="29"/>
        <v>6</v>
      </c>
      <c r="AA170" s="407">
        <f t="shared" si="30"/>
        <v>400</v>
      </c>
    </row>
    <row r="171" spans="1:27">
      <c r="A171" s="449" t="s">
        <v>352</v>
      </c>
      <c r="B171" s="413"/>
      <c r="C171" s="413"/>
      <c r="D171" s="413"/>
      <c r="E171" s="413"/>
      <c r="F171" s="413">
        <v>0</v>
      </c>
      <c r="G171" s="413"/>
      <c r="H171" s="413">
        <v>0</v>
      </c>
      <c r="I171" s="413">
        <v>0</v>
      </c>
      <c r="J171" s="414"/>
      <c r="K171" s="415"/>
      <c r="L171" s="413">
        <v>0</v>
      </c>
      <c r="M171" s="413">
        <v>0</v>
      </c>
      <c r="N171" s="413">
        <v>0</v>
      </c>
      <c r="O171" s="413">
        <v>0</v>
      </c>
      <c r="P171" s="413">
        <v>12</v>
      </c>
      <c r="Q171" s="413">
        <v>407</v>
      </c>
      <c r="R171" s="413">
        <v>0</v>
      </c>
      <c r="S171" s="413">
        <v>0</v>
      </c>
      <c r="T171" s="413"/>
      <c r="U171" s="413"/>
      <c r="V171" s="413">
        <f>_xlfn.IFNA(VLOOKUP(A171,[3]進出口值表查詢結果!$C$11:$F$68,4,0),-[4]整車!$B$22)</f>
        <v>0</v>
      </c>
      <c r="W171" s="413">
        <f>_xlfn.IFNA(VLOOKUP(A171,[3]進出口值表查詢結果!$C$11:$F$68,3,0),-[4]整車!$B$22)</f>
        <v>0</v>
      </c>
      <c r="X171" s="413">
        <f>_xlfn.IFNA(VLOOKUP(A171,[5]進出口值表查詢結果!$C$11:$F$75,4,0),-[4]整車!$B$22)</f>
        <v>40</v>
      </c>
      <c r="Y171" s="413">
        <f>_xlfn.IFNA(VLOOKUP(A171,[5]進出口值表查詢結果!$C$11:$F$75,3,0),-[4]整車!$B$22)</f>
        <v>420</v>
      </c>
      <c r="Z171" s="407">
        <f t="shared" si="29"/>
        <v>52</v>
      </c>
      <c r="AA171" s="407">
        <f t="shared" si="30"/>
        <v>827</v>
      </c>
    </row>
    <row r="172" spans="1:27">
      <c r="A172" s="449" t="s">
        <v>353</v>
      </c>
      <c r="B172" s="413"/>
      <c r="C172" s="413"/>
      <c r="D172" s="413"/>
      <c r="E172" s="413"/>
      <c r="F172" s="413">
        <v>0</v>
      </c>
      <c r="G172" s="413"/>
      <c r="H172" s="413">
        <v>0</v>
      </c>
      <c r="I172" s="413">
        <v>0</v>
      </c>
      <c r="J172" s="414"/>
      <c r="K172" s="415"/>
      <c r="L172" s="413">
        <v>0</v>
      </c>
      <c r="M172" s="413">
        <v>0</v>
      </c>
      <c r="N172" s="413">
        <v>0</v>
      </c>
      <c r="O172" s="413">
        <v>0</v>
      </c>
      <c r="P172" s="413">
        <v>0</v>
      </c>
      <c r="Q172" s="413">
        <v>0</v>
      </c>
      <c r="R172" s="413">
        <v>0</v>
      </c>
      <c r="S172" s="413">
        <v>0</v>
      </c>
      <c r="T172" s="413"/>
      <c r="U172" s="413"/>
      <c r="V172" s="413">
        <f>_xlfn.IFNA(VLOOKUP(A172,[3]進出口值表查詢結果!$C$11:$F$68,4,0),-[4]整車!$B$22)</f>
        <v>0</v>
      </c>
      <c r="W172" s="413">
        <f>_xlfn.IFNA(VLOOKUP(A172,[3]進出口值表查詢結果!$C$11:$F$68,3,0),-[4]整車!$B$22)</f>
        <v>0</v>
      </c>
      <c r="X172" s="413">
        <f>_xlfn.IFNA(VLOOKUP(A172,[5]進出口值表查詢結果!$C$11:$F$75,4,0),-[4]整車!$B$22)</f>
        <v>0</v>
      </c>
      <c r="Y172" s="413">
        <f>_xlfn.IFNA(VLOOKUP(A172,[5]進出口值表查詢結果!$C$11:$F$75,3,0),-[4]整車!$B$22)</f>
        <v>0</v>
      </c>
      <c r="Z172" s="407">
        <f t="shared" si="29"/>
        <v>0</v>
      </c>
      <c r="AA172" s="407">
        <f t="shared" si="30"/>
        <v>0</v>
      </c>
    </row>
    <row r="173" spans="1:27">
      <c r="A173" s="449" t="s">
        <v>193</v>
      </c>
      <c r="B173" s="413"/>
      <c r="C173" s="413"/>
      <c r="D173" s="413"/>
      <c r="E173" s="413"/>
      <c r="F173" s="413">
        <v>0</v>
      </c>
      <c r="G173" s="413"/>
      <c r="H173" s="413">
        <v>0</v>
      </c>
      <c r="I173" s="413">
        <v>0</v>
      </c>
      <c r="J173" s="414"/>
      <c r="K173" s="415"/>
      <c r="L173" s="413">
        <v>0</v>
      </c>
      <c r="M173" s="413">
        <v>0</v>
      </c>
      <c r="N173" s="413">
        <v>0</v>
      </c>
      <c r="O173" s="413">
        <v>0</v>
      </c>
      <c r="P173" s="413">
        <v>0</v>
      </c>
      <c r="Q173" s="413">
        <v>0</v>
      </c>
      <c r="R173" s="413">
        <v>0</v>
      </c>
      <c r="S173" s="413">
        <v>0</v>
      </c>
      <c r="T173" s="413"/>
      <c r="U173" s="413"/>
      <c r="V173" s="413">
        <f>_xlfn.IFNA(VLOOKUP(A173,[3]進出口值表查詢結果!$C$11:$F$68,4,0),-[4]整車!$B$22)</f>
        <v>0</v>
      </c>
      <c r="W173" s="413">
        <f>_xlfn.IFNA(VLOOKUP(A173,[3]進出口值表查詢結果!$C$11:$F$68,3,0),-[4]整車!$B$22)</f>
        <v>0</v>
      </c>
      <c r="X173" s="413">
        <f>_xlfn.IFNA(VLOOKUP(A173,[5]進出口值表查詢結果!$C$11:$F$75,4,0),-[4]整車!$B$22)</f>
        <v>0</v>
      </c>
      <c r="Y173" s="413">
        <f>_xlfn.IFNA(VLOOKUP(A173,[5]進出口值表查詢結果!$C$11:$F$75,3,0),-[4]整車!$B$22)</f>
        <v>0</v>
      </c>
      <c r="Z173" s="407">
        <f t="shared" si="29"/>
        <v>0</v>
      </c>
      <c r="AA173" s="407">
        <f t="shared" si="30"/>
        <v>0</v>
      </c>
    </row>
    <row r="174" spans="1:27">
      <c r="A174" s="449" t="s">
        <v>354</v>
      </c>
      <c r="B174" s="413"/>
      <c r="C174" s="413"/>
      <c r="D174" s="413"/>
      <c r="E174" s="413"/>
      <c r="F174" s="413">
        <v>0</v>
      </c>
      <c r="G174" s="413"/>
      <c r="H174" s="413">
        <v>0</v>
      </c>
      <c r="I174" s="413">
        <v>0</v>
      </c>
      <c r="J174" s="414"/>
      <c r="K174" s="415"/>
      <c r="L174" s="413">
        <v>0</v>
      </c>
      <c r="M174" s="413">
        <v>0</v>
      </c>
      <c r="N174" s="413">
        <v>0</v>
      </c>
      <c r="O174" s="413">
        <v>0</v>
      </c>
      <c r="P174" s="413">
        <v>0</v>
      </c>
      <c r="Q174" s="413">
        <v>0</v>
      </c>
      <c r="R174" s="413">
        <v>0</v>
      </c>
      <c r="S174" s="413">
        <v>0</v>
      </c>
      <c r="T174" s="413"/>
      <c r="U174" s="413"/>
      <c r="V174" s="413">
        <f>_xlfn.IFNA(VLOOKUP(A174,[3]進出口值表查詢結果!$C$11:$F$68,4,0),-[4]整車!$B$22)</f>
        <v>0</v>
      </c>
      <c r="W174" s="413">
        <f>_xlfn.IFNA(VLOOKUP(A174,[3]進出口值表查詢結果!$C$11:$F$68,3,0),-[4]整車!$B$22)</f>
        <v>0</v>
      </c>
      <c r="X174" s="413">
        <f>_xlfn.IFNA(VLOOKUP(A174,[5]進出口值表查詢結果!$C$11:$F$75,4,0),-[4]整車!$B$22)</f>
        <v>18</v>
      </c>
      <c r="Y174" s="413">
        <f>_xlfn.IFNA(VLOOKUP(A174,[5]進出口值表查詢結果!$C$11:$F$75,3,0),-[4]整車!$B$22)</f>
        <v>3324</v>
      </c>
      <c r="Z174" s="407">
        <f t="shared" si="29"/>
        <v>18</v>
      </c>
      <c r="AA174" s="407">
        <f t="shared" si="30"/>
        <v>3324</v>
      </c>
    </row>
    <row r="175" spans="1:27">
      <c r="A175" s="449" t="s">
        <v>355</v>
      </c>
      <c r="B175" s="413"/>
      <c r="C175" s="413"/>
      <c r="D175" s="413"/>
      <c r="E175" s="413"/>
      <c r="F175" s="413">
        <v>0</v>
      </c>
      <c r="G175" s="413"/>
      <c r="H175" s="413">
        <v>0</v>
      </c>
      <c r="I175" s="413">
        <v>0</v>
      </c>
      <c r="J175" s="414"/>
      <c r="K175" s="415"/>
      <c r="L175" s="413">
        <v>0</v>
      </c>
      <c r="M175" s="413">
        <v>0</v>
      </c>
      <c r="N175" s="413">
        <v>0</v>
      </c>
      <c r="O175" s="413">
        <v>0</v>
      </c>
      <c r="P175" s="413">
        <v>0</v>
      </c>
      <c r="Q175" s="413">
        <v>0</v>
      </c>
      <c r="R175" s="413">
        <v>0</v>
      </c>
      <c r="S175" s="413">
        <v>0</v>
      </c>
      <c r="T175" s="413"/>
      <c r="U175" s="413"/>
      <c r="V175" s="413">
        <f>_xlfn.IFNA(VLOOKUP(A175,[3]進出口值表查詢結果!$C$11:$F$68,4,0),-[4]整車!$B$22)</f>
        <v>0</v>
      </c>
      <c r="W175" s="413">
        <f>_xlfn.IFNA(VLOOKUP(A175,[3]進出口值表查詢結果!$C$11:$F$68,3,0),-[4]整車!$B$22)</f>
        <v>0</v>
      </c>
      <c r="X175" s="413">
        <f>_xlfn.IFNA(VLOOKUP(A175,[5]進出口值表查詢結果!$C$11:$F$75,4,0),-[4]整車!$B$22)</f>
        <v>0</v>
      </c>
      <c r="Y175" s="413">
        <f>_xlfn.IFNA(VLOOKUP(A175,[5]進出口值表查詢結果!$C$11:$F$75,3,0),-[4]整車!$B$22)</f>
        <v>0</v>
      </c>
      <c r="Z175" s="407">
        <f t="shared" si="29"/>
        <v>0</v>
      </c>
      <c r="AA175" s="407">
        <f t="shared" si="30"/>
        <v>0</v>
      </c>
    </row>
    <row r="176" spans="1:27">
      <c r="A176" s="449" t="s">
        <v>356</v>
      </c>
      <c r="B176" s="413"/>
      <c r="C176" s="413"/>
      <c r="D176" s="413"/>
      <c r="E176" s="413"/>
      <c r="F176" s="413">
        <v>0</v>
      </c>
      <c r="G176" s="413"/>
      <c r="H176" s="413">
        <v>0</v>
      </c>
      <c r="I176" s="413">
        <v>0</v>
      </c>
      <c r="J176" s="414"/>
      <c r="K176" s="415"/>
      <c r="L176" s="413">
        <v>0</v>
      </c>
      <c r="M176" s="413">
        <v>0</v>
      </c>
      <c r="N176" s="413">
        <v>0</v>
      </c>
      <c r="O176" s="413">
        <v>0</v>
      </c>
      <c r="P176" s="413">
        <v>0</v>
      </c>
      <c r="Q176" s="413">
        <v>0</v>
      </c>
      <c r="R176" s="413">
        <v>0</v>
      </c>
      <c r="S176" s="413">
        <v>0</v>
      </c>
      <c r="T176" s="413"/>
      <c r="U176" s="413"/>
      <c r="V176" s="413">
        <f>_xlfn.IFNA(VLOOKUP(A176,[3]進出口值表查詢結果!$C$11:$F$68,4,0),-[4]整車!$B$22)</f>
        <v>0</v>
      </c>
      <c r="W176" s="413">
        <f>_xlfn.IFNA(VLOOKUP(A176,[3]進出口值表查詢結果!$C$11:$F$68,3,0),-[4]整車!$B$22)</f>
        <v>0</v>
      </c>
      <c r="X176" s="413">
        <f>_xlfn.IFNA(VLOOKUP(A176,[5]進出口值表查詢結果!$C$11:$F$75,4,0),-[4]整車!$B$22)</f>
        <v>0</v>
      </c>
      <c r="Y176" s="413">
        <f>_xlfn.IFNA(VLOOKUP(A176,[5]進出口值表查詢結果!$C$11:$F$75,3,0),-[4]整車!$B$22)</f>
        <v>0</v>
      </c>
      <c r="Z176" s="407">
        <f t="shared" si="29"/>
        <v>0</v>
      </c>
      <c r="AA176" s="407">
        <f t="shared" si="30"/>
        <v>0</v>
      </c>
    </row>
    <row r="177" spans="1:27">
      <c r="A177" s="449" t="s">
        <v>357</v>
      </c>
      <c r="B177" s="413"/>
      <c r="C177" s="413"/>
      <c r="D177" s="413"/>
      <c r="E177" s="413"/>
      <c r="F177" s="413">
        <v>0</v>
      </c>
      <c r="G177" s="413"/>
      <c r="H177" s="413">
        <v>0</v>
      </c>
      <c r="I177" s="413">
        <v>0</v>
      </c>
      <c r="J177" s="414"/>
      <c r="K177" s="415"/>
      <c r="L177" s="413">
        <v>0</v>
      </c>
      <c r="M177" s="413">
        <v>0</v>
      </c>
      <c r="N177" s="413">
        <v>0</v>
      </c>
      <c r="O177" s="413">
        <v>0</v>
      </c>
      <c r="P177" s="413">
        <v>0</v>
      </c>
      <c r="Q177" s="413">
        <v>0</v>
      </c>
      <c r="R177" s="413">
        <v>0</v>
      </c>
      <c r="S177" s="413">
        <v>0</v>
      </c>
      <c r="T177" s="413"/>
      <c r="U177" s="413"/>
      <c r="V177" s="413">
        <f>_xlfn.IFNA(VLOOKUP(A177,[3]進出口值表查詢結果!$C$11:$F$68,4,0),-[4]整車!$B$22)</f>
        <v>0</v>
      </c>
      <c r="W177" s="413">
        <f>_xlfn.IFNA(VLOOKUP(A177,[3]進出口值表查詢結果!$C$11:$F$68,3,0),-[4]整車!$B$22)</f>
        <v>0</v>
      </c>
      <c r="X177" s="413">
        <f>_xlfn.IFNA(VLOOKUP(A177,[5]進出口值表查詢結果!$C$11:$F$75,4,0),-[4]整車!$B$22)</f>
        <v>0</v>
      </c>
      <c r="Y177" s="413">
        <f>_xlfn.IFNA(VLOOKUP(A177,[5]進出口值表查詢結果!$C$11:$F$75,3,0),-[4]整車!$B$22)</f>
        <v>0</v>
      </c>
      <c r="Z177" s="407">
        <f t="shared" si="29"/>
        <v>0</v>
      </c>
      <c r="AA177" s="407">
        <f t="shared" si="30"/>
        <v>0</v>
      </c>
    </row>
    <row r="178" spans="1:27">
      <c r="A178" s="449" t="s">
        <v>358</v>
      </c>
      <c r="B178" s="413"/>
      <c r="C178" s="413"/>
      <c r="D178" s="413"/>
      <c r="E178" s="413"/>
      <c r="F178" s="413">
        <v>0</v>
      </c>
      <c r="G178" s="413"/>
      <c r="H178" s="413">
        <v>0</v>
      </c>
      <c r="I178" s="413">
        <v>0</v>
      </c>
      <c r="J178" s="414"/>
      <c r="K178" s="415">
        <v>0</v>
      </c>
      <c r="L178" s="413">
        <v>0</v>
      </c>
      <c r="M178" s="413">
        <v>0</v>
      </c>
      <c r="N178" s="413">
        <v>0</v>
      </c>
      <c r="O178" s="413">
        <v>0</v>
      </c>
      <c r="P178" s="413">
        <v>0</v>
      </c>
      <c r="Q178" s="413">
        <v>0</v>
      </c>
      <c r="R178" s="413">
        <v>0</v>
      </c>
      <c r="S178" s="413">
        <v>0</v>
      </c>
      <c r="T178" s="413"/>
      <c r="U178" s="413"/>
      <c r="V178" s="413">
        <f>_xlfn.IFNA(VLOOKUP(A178,[3]進出口值表查詢結果!$C$11:$F$68,4,0),-[4]整車!$B$22)</f>
        <v>0</v>
      </c>
      <c r="W178" s="413">
        <f>_xlfn.IFNA(VLOOKUP(A178,[3]進出口值表查詢結果!$C$11:$F$68,3,0),-[4]整車!$B$22)</f>
        <v>0</v>
      </c>
      <c r="X178" s="413">
        <f>_xlfn.IFNA(VLOOKUP(A178,[5]進出口值表查詢結果!$C$11:$F$75,4,0),-[4]整車!$B$22)</f>
        <v>0</v>
      </c>
      <c r="Y178" s="413">
        <f>_xlfn.IFNA(VLOOKUP(A178,[5]進出口值表查詢結果!$C$11:$F$75,3,0),-[4]整車!$B$22)</f>
        <v>0</v>
      </c>
      <c r="Z178" s="407">
        <f t="shared" si="29"/>
        <v>0</v>
      </c>
      <c r="AA178" s="407">
        <f t="shared" si="30"/>
        <v>0</v>
      </c>
    </row>
    <row r="179" spans="1:27">
      <c r="A179" s="449" t="s">
        <v>359</v>
      </c>
      <c r="B179" s="413"/>
      <c r="C179" s="413"/>
      <c r="D179" s="413"/>
      <c r="E179" s="413"/>
      <c r="F179" s="413">
        <v>0</v>
      </c>
      <c r="G179" s="413"/>
      <c r="H179" s="413">
        <v>0</v>
      </c>
      <c r="I179" s="413">
        <v>0</v>
      </c>
      <c r="J179" s="414"/>
      <c r="K179" s="415">
        <v>0</v>
      </c>
      <c r="L179" s="413">
        <v>0</v>
      </c>
      <c r="M179" s="413">
        <v>0</v>
      </c>
      <c r="N179" s="413">
        <v>0</v>
      </c>
      <c r="O179" s="413">
        <v>0</v>
      </c>
      <c r="P179" s="413">
        <v>0</v>
      </c>
      <c r="Q179" s="413">
        <v>0</v>
      </c>
      <c r="R179" s="413">
        <v>0</v>
      </c>
      <c r="S179" s="413">
        <v>0</v>
      </c>
      <c r="T179" s="413"/>
      <c r="U179" s="413"/>
      <c r="V179" s="413">
        <f>_xlfn.IFNA(VLOOKUP(A179,[3]進出口值表查詢結果!$C$11:$F$68,4,0),-[4]整車!$B$22)</f>
        <v>0</v>
      </c>
      <c r="W179" s="413">
        <f>_xlfn.IFNA(VLOOKUP(A179,[3]進出口值表查詢結果!$C$11:$F$68,3,0),-[4]整車!$B$22)</f>
        <v>0</v>
      </c>
      <c r="X179" s="413">
        <f>_xlfn.IFNA(VLOOKUP(A179,[5]進出口值表查詢結果!$C$11:$F$75,4,0),-[4]整車!$B$22)</f>
        <v>0</v>
      </c>
      <c r="Y179" s="413">
        <f>_xlfn.IFNA(VLOOKUP(A179,[5]進出口值表查詢結果!$C$11:$F$75,3,0),-[4]整車!$B$22)</f>
        <v>0</v>
      </c>
      <c r="Z179" s="407">
        <f t="shared" si="29"/>
        <v>0</v>
      </c>
      <c r="AA179" s="407">
        <f t="shared" si="30"/>
        <v>0</v>
      </c>
    </row>
    <row r="180" spans="1:27">
      <c r="A180" s="449" t="s">
        <v>360</v>
      </c>
      <c r="B180" s="413"/>
      <c r="C180" s="413"/>
      <c r="D180" s="413"/>
      <c r="E180" s="413"/>
      <c r="F180" s="413">
        <v>0</v>
      </c>
      <c r="G180" s="413"/>
      <c r="H180" s="413">
        <v>0</v>
      </c>
      <c r="I180" s="413">
        <v>0</v>
      </c>
      <c r="J180" s="414"/>
      <c r="K180" s="415">
        <v>0</v>
      </c>
      <c r="L180" s="413">
        <v>0</v>
      </c>
      <c r="M180" s="413">
        <v>0</v>
      </c>
      <c r="N180" s="413">
        <v>0</v>
      </c>
      <c r="O180" s="413">
        <v>0</v>
      </c>
      <c r="P180" s="413">
        <v>0</v>
      </c>
      <c r="Q180" s="413">
        <v>0</v>
      </c>
      <c r="R180" s="413">
        <v>0</v>
      </c>
      <c r="S180" s="413">
        <v>0</v>
      </c>
      <c r="T180" s="413"/>
      <c r="U180" s="413"/>
      <c r="V180" s="413">
        <f>_xlfn.IFNA(VLOOKUP(A180,[3]進出口值表查詢結果!$C$11:$F$68,4,0),-[4]整車!$B$22)</f>
        <v>0</v>
      </c>
      <c r="W180" s="413">
        <f>_xlfn.IFNA(VLOOKUP(A180,[3]進出口值表查詢結果!$C$11:$F$68,3,0),-[4]整車!$B$22)</f>
        <v>0</v>
      </c>
      <c r="X180" s="413">
        <f>_xlfn.IFNA(VLOOKUP(A180,[5]進出口值表查詢結果!$C$11:$F$75,4,0),-[4]整車!$B$22)</f>
        <v>0</v>
      </c>
      <c r="Y180" s="413">
        <f>_xlfn.IFNA(VLOOKUP(A180,[5]進出口值表查詢結果!$C$11:$F$75,3,0),-[4]整車!$B$22)</f>
        <v>0</v>
      </c>
      <c r="Z180" s="407">
        <f t="shared" si="29"/>
        <v>0</v>
      </c>
      <c r="AA180" s="407">
        <f t="shared" si="30"/>
        <v>0</v>
      </c>
    </row>
    <row r="181" spans="1:27">
      <c r="A181" s="449" t="s">
        <v>361</v>
      </c>
      <c r="B181" s="413"/>
      <c r="C181" s="413"/>
      <c r="D181" s="413"/>
      <c r="E181" s="413"/>
      <c r="F181" s="413">
        <v>0</v>
      </c>
      <c r="G181" s="413"/>
      <c r="H181" s="413">
        <v>0</v>
      </c>
      <c r="I181" s="413">
        <v>0</v>
      </c>
      <c r="J181" s="414"/>
      <c r="K181" s="415">
        <v>0</v>
      </c>
      <c r="L181" s="413">
        <v>0</v>
      </c>
      <c r="M181" s="413">
        <v>0</v>
      </c>
      <c r="N181" s="413">
        <v>0</v>
      </c>
      <c r="O181" s="413">
        <v>0</v>
      </c>
      <c r="P181" s="413">
        <v>0</v>
      </c>
      <c r="Q181" s="413">
        <v>0</v>
      </c>
      <c r="R181" s="413">
        <v>0</v>
      </c>
      <c r="S181" s="413">
        <v>0</v>
      </c>
      <c r="T181" s="413"/>
      <c r="U181" s="413"/>
      <c r="V181" s="413">
        <f>_xlfn.IFNA(VLOOKUP(A181,[3]進出口值表查詢結果!$C$11:$F$68,4,0),-[4]整車!$B$22)</f>
        <v>0</v>
      </c>
      <c r="W181" s="413">
        <f>_xlfn.IFNA(VLOOKUP(A181,[3]進出口值表查詢結果!$C$11:$F$68,3,0),-[4]整車!$B$22)</f>
        <v>0</v>
      </c>
      <c r="X181" s="413">
        <f>_xlfn.IFNA(VLOOKUP(A181,[5]進出口值表查詢結果!$C$11:$F$75,4,0),-[4]整車!$B$22)</f>
        <v>0</v>
      </c>
      <c r="Y181" s="413">
        <f>_xlfn.IFNA(VLOOKUP(A181,[5]進出口值表查詢結果!$C$11:$F$75,3,0),-[4]整車!$B$22)</f>
        <v>0</v>
      </c>
      <c r="Z181" s="407">
        <f t="shared" si="29"/>
        <v>0</v>
      </c>
      <c r="AA181" s="407">
        <f t="shared" si="30"/>
        <v>0</v>
      </c>
    </row>
    <row r="182" spans="1:27">
      <c r="A182" s="449" t="s">
        <v>362</v>
      </c>
      <c r="B182" s="413"/>
      <c r="C182" s="413"/>
      <c r="D182" s="413"/>
      <c r="E182" s="413"/>
      <c r="F182" s="413">
        <v>0</v>
      </c>
      <c r="G182" s="413"/>
      <c r="H182" s="413">
        <v>0</v>
      </c>
      <c r="I182" s="413">
        <v>0</v>
      </c>
      <c r="J182" s="414"/>
      <c r="K182" s="415">
        <v>0</v>
      </c>
      <c r="L182" s="413">
        <v>0</v>
      </c>
      <c r="M182" s="413">
        <v>0</v>
      </c>
      <c r="N182" s="413">
        <v>0</v>
      </c>
      <c r="O182" s="413">
        <v>0</v>
      </c>
      <c r="P182" s="413">
        <v>0</v>
      </c>
      <c r="Q182" s="413">
        <v>0</v>
      </c>
      <c r="R182" s="413">
        <v>0</v>
      </c>
      <c r="S182" s="413">
        <v>0</v>
      </c>
      <c r="T182" s="413"/>
      <c r="U182" s="413"/>
      <c r="V182" s="413">
        <f>_xlfn.IFNA(VLOOKUP(A182,[3]進出口值表查詢結果!$C$11:$F$68,4,0),-[4]整車!$B$22)</f>
        <v>0</v>
      </c>
      <c r="W182" s="413">
        <f>_xlfn.IFNA(VLOOKUP(A182,[3]進出口值表查詢結果!$C$11:$F$68,3,0),-[4]整車!$B$22)</f>
        <v>0</v>
      </c>
      <c r="X182" s="413">
        <f>_xlfn.IFNA(VLOOKUP(A182,[5]進出口值表查詢結果!$C$11:$F$75,4,0),-[4]整車!$B$22)</f>
        <v>0</v>
      </c>
      <c r="Y182" s="413">
        <f>_xlfn.IFNA(VLOOKUP(A182,[5]進出口值表查詢結果!$C$11:$F$75,3,0),-[4]整車!$B$22)</f>
        <v>0</v>
      </c>
      <c r="Z182" s="407">
        <f t="shared" si="29"/>
        <v>0</v>
      </c>
      <c r="AA182" s="407">
        <f t="shared" si="30"/>
        <v>0</v>
      </c>
    </row>
    <row r="183" spans="1:27">
      <c r="A183" s="449" t="s">
        <v>363</v>
      </c>
      <c r="B183" s="413"/>
      <c r="C183" s="413"/>
      <c r="D183" s="413"/>
      <c r="E183" s="413"/>
      <c r="F183" s="413">
        <v>0</v>
      </c>
      <c r="G183" s="413"/>
      <c r="H183" s="413">
        <v>0</v>
      </c>
      <c r="I183" s="413">
        <v>0</v>
      </c>
      <c r="J183" s="414"/>
      <c r="K183" s="415">
        <v>0</v>
      </c>
      <c r="L183" s="413">
        <v>0</v>
      </c>
      <c r="M183" s="413">
        <v>0</v>
      </c>
      <c r="N183" s="413">
        <v>0</v>
      </c>
      <c r="O183" s="413">
        <v>0</v>
      </c>
      <c r="P183" s="413">
        <v>0</v>
      </c>
      <c r="Q183" s="413">
        <v>0</v>
      </c>
      <c r="R183" s="413">
        <v>0</v>
      </c>
      <c r="S183" s="413">
        <v>0</v>
      </c>
      <c r="T183" s="413"/>
      <c r="U183" s="413"/>
      <c r="V183" s="413">
        <f>_xlfn.IFNA(VLOOKUP(A183,[3]進出口值表查詢結果!$C$11:$F$68,4,0),-[4]整車!$B$22)</f>
        <v>0</v>
      </c>
      <c r="W183" s="413">
        <f>_xlfn.IFNA(VLOOKUP(A183,[3]進出口值表查詢結果!$C$11:$F$68,3,0),-[4]整車!$B$22)</f>
        <v>0</v>
      </c>
      <c r="X183" s="413">
        <f>_xlfn.IFNA(VLOOKUP(A183,[5]進出口值表查詢結果!$C$11:$F$75,4,0),-[4]整車!$B$22)</f>
        <v>0</v>
      </c>
      <c r="Y183" s="413">
        <f>_xlfn.IFNA(VLOOKUP(A183,[5]進出口值表查詢結果!$C$11:$F$75,3,0),-[4]整車!$B$22)</f>
        <v>0</v>
      </c>
      <c r="Z183" s="407">
        <f t="shared" si="29"/>
        <v>0</v>
      </c>
      <c r="AA183" s="407">
        <f t="shared" si="30"/>
        <v>0</v>
      </c>
    </row>
    <row r="184" spans="1:27">
      <c r="A184" s="449" t="s">
        <v>364</v>
      </c>
      <c r="B184" s="413"/>
      <c r="C184" s="413"/>
      <c r="D184" s="413"/>
      <c r="E184" s="413"/>
      <c r="F184" s="413">
        <v>0</v>
      </c>
      <c r="G184" s="413"/>
      <c r="H184" s="413">
        <v>0</v>
      </c>
      <c r="I184" s="413">
        <v>0</v>
      </c>
      <c r="J184" s="414"/>
      <c r="K184" s="415">
        <v>0</v>
      </c>
      <c r="L184" s="413">
        <v>0</v>
      </c>
      <c r="M184" s="413">
        <v>0</v>
      </c>
      <c r="N184" s="413">
        <v>0</v>
      </c>
      <c r="O184" s="413">
        <v>0</v>
      </c>
      <c r="P184" s="413">
        <v>0</v>
      </c>
      <c r="Q184" s="413">
        <v>0</v>
      </c>
      <c r="R184" s="413">
        <v>0</v>
      </c>
      <c r="S184" s="413">
        <v>0</v>
      </c>
      <c r="T184" s="413"/>
      <c r="U184" s="413"/>
      <c r="V184" s="413">
        <f>_xlfn.IFNA(VLOOKUP(A184,[3]進出口值表查詢結果!$C$11:$F$68,4,0),-[4]整車!$B$22)</f>
        <v>0</v>
      </c>
      <c r="W184" s="413">
        <f>_xlfn.IFNA(VLOOKUP(A184,[3]進出口值表查詢結果!$C$11:$F$68,3,0),-[4]整車!$B$22)</f>
        <v>0</v>
      </c>
      <c r="X184" s="413">
        <f>_xlfn.IFNA(VLOOKUP(A184,[5]進出口值表查詢結果!$C$11:$F$75,4,0),-[4]整車!$B$22)</f>
        <v>0</v>
      </c>
      <c r="Y184" s="413">
        <f>_xlfn.IFNA(VLOOKUP(A184,[5]進出口值表查詢結果!$C$11:$F$75,3,0),-[4]整車!$B$22)</f>
        <v>0</v>
      </c>
      <c r="Z184" s="407">
        <f t="shared" si="29"/>
        <v>0</v>
      </c>
      <c r="AA184" s="407">
        <f t="shared" si="30"/>
        <v>0</v>
      </c>
    </row>
    <row r="185" spans="1:27">
      <c r="A185" s="449" t="s">
        <v>365</v>
      </c>
      <c r="B185" s="413"/>
      <c r="C185" s="413"/>
      <c r="D185" s="413"/>
      <c r="E185" s="413"/>
      <c r="F185" s="413">
        <v>0</v>
      </c>
      <c r="G185" s="413"/>
      <c r="H185" s="413">
        <v>0</v>
      </c>
      <c r="I185" s="413">
        <v>0</v>
      </c>
      <c r="J185" s="414"/>
      <c r="K185" s="415">
        <v>0</v>
      </c>
      <c r="L185" s="413">
        <v>0</v>
      </c>
      <c r="M185" s="413">
        <v>0</v>
      </c>
      <c r="N185" s="413">
        <v>0</v>
      </c>
      <c r="O185" s="413">
        <v>0</v>
      </c>
      <c r="P185" s="413">
        <v>0</v>
      </c>
      <c r="Q185" s="413">
        <v>0</v>
      </c>
      <c r="R185" s="413">
        <v>0</v>
      </c>
      <c r="S185" s="413">
        <v>0</v>
      </c>
      <c r="T185" s="413"/>
      <c r="U185" s="413"/>
      <c r="V185" s="413">
        <f>_xlfn.IFNA(VLOOKUP(A185,[3]進出口值表查詢結果!$C$11:$F$68,4,0),-[4]整車!$B$22)</f>
        <v>0</v>
      </c>
      <c r="W185" s="413">
        <f>_xlfn.IFNA(VLOOKUP(A185,[3]進出口值表查詢結果!$C$11:$F$68,3,0),-[4]整車!$B$22)</f>
        <v>0</v>
      </c>
      <c r="X185" s="413">
        <f>_xlfn.IFNA(VLOOKUP(A185,[5]進出口值表查詢結果!$C$11:$F$75,4,0),-[4]整車!$B$22)</f>
        <v>0</v>
      </c>
      <c r="Y185" s="413">
        <f>_xlfn.IFNA(VLOOKUP(A185,[5]進出口值表查詢結果!$C$11:$F$75,3,0),-[4]整車!$B$22)</f>
        <v>0</v>
      </c>
      <c r="Z185" s="407">
        <f t="shared" si="29"/>
        <v>0</v>
      </c>
      <c r="AA185" s="407">
        <f t="shared" si="30"/>
        <v>0</v>
      </c>
    </row>
    <row r="186" spans="1:27">
      <c r="A186" s="449" t="s">
        <v>366</v>
      </c>
      <c r="B186" s="413"/>
      <c r="C186" s="413"/>
      <c r="D186" s="413"/>
      <c r="E186" s="413"/>
      <c r="F186" s="413">
        <v>0</v>
      </c>
      <c r="G186" s="413"/>
      <c r="H186" s="413">
        <v>0</v>
      </c>
      <c r="I186" s="413">
        <v>0</v>
      </c>
      <c r="J186" s="414"/>
      <c r="K186" s="415"/>
      <c r="L186" s="413">
        <v>0</v>
      </c>
      <c r="M186" s="413">
        <v>0</v>
      </c>
      <c r="N186" s="413">
        <v>0</v>
      </c>
      <c r="O186" s="413">
        <v>0</v>
      </c>
      <c r="P186" s="413">
        <v>0</v>
      </c>
      <c r="Q186" s="413">
        <v>0</v>
      </c>
      <c r="R186" s="413">
        <v>0</v>
      </c>
      <c r="S186" s="413">
        <v>0</v>
      </c>
      <c r="T186" s="413"/>
      <c r="U186" s="413"/>
      <c r="V186" s="413">
        <f>_xlfn.IFNA(VLOOKUP(A186,[3]進出口值表查詢結果!$C$11:$F$68,4,0),-[4]整車!$B$22)</f>
        <v>0</v>
      </c>
      <c r="W186" s="413">
        <f>_xlfn.IFNA(VLOOKUP(A186,[3]進出口值表查詢結果!$C$11:$F$68,3,0),-[4]整車!$B$22)</f>
        <v>0</v>
      </c>
      <c r="X186" s="413">
        <f>_xlfn.IFNA(VLOOKUP(A186,[5]進出口值表查詢結果!$C$11:$F$75,4,0),-[4]整車!$B$22)</f>
        <v>0</v>
      </c>
      <c r="Y186" s="413">
        <f>_xlfn.IFNA(VLOOKUP(A186,[5]進出口值表查詢結果!$C$11:$F$75,3,0),-[4]整車!$B$22)</f>
        <v>0</v>
      </c>
      <c r="Z186" s="407">
        <f t="shared" ref="Z186:Z200" si="31">SUM(B186,D186,F186,H186,J186,L186,N186,P186,R186,T186,V186,X186)</f>
        <v>0</v>
      </c>
      <c r="AA186" s="407"/>
    </row>
    <row r="187" spans="1:27">
      <c r="A187" s="449" t="s">
        <v>367</v>
      </c>
      <c r="B187" s="413"/>
      <c r="C187" s="413"/>
      <c r="D187" s="413"/>
      <c r="E187" s="413"/>
      <c r="F187" s="413">
        <v>0</v>
      </c>
      <c r="G187" s="413"/>
      <c r="H187" s="413">
        <v>0</v>
      </c>
      <c r="I187" s="413">
        <v>0</v>
      </c>
      <c r="J187" s="414"/>
      <c r="K187" s="415">
        <v>0</v>
      </c>
      <c r="L187" s="413">
        <v>0</v>
      </c>
      <c r="M187" s="413">
        <v>0</v>
      </c>
      <c r="N187" s="413">
        <v>0</v>
      </c>
      <c r="O187" s="413">
        <v>0</v>
      </c>
      <c r="P187" s="413">
        <v>0</v>
      </c>
      <c r="Q187" s="413">
        <v>0</v>
      </c>
      <c r="R187" s="413">
        <v>0</v>
      </c>
      <c r="S187" s="413">
        <v>0</v>
      </c>
      <c r="T187" s="413"/>
      <c r="U187" s="413"/>
      <c r="V187" s="413">
        <f>_xlfn.IFNA(VLOOKUP(A187,[3]進出口值表查詢結果!$C$11:$F$68,4,0),-[4]整車!$B$22)</f>
        <v>0</v>
      </c>
      <c r="W187" s="413">
        <f>_xlfn.IFNA(VLOOKUP(A187,[3]進出口值表查詢結果!$C$11:$F$68,3,0),-[4]整車!$B$22)</f>
        <v>0</v>
      </c>
      <c r="X187" s="413">
        <f>_xlfn.IFNA(VLOOKUP(A187,[5]進出口值表查詢結果!$C$11:$F$75,4,0),-[4]整車!$B$22)</f>
        <v>0</v>
      </c>
      <c r="Y187" s="413">
        <f>_xlfn.IFNA(VLOOKUP(A187,[5]進出口值表查詢結果!$C$11:$F$75,3,0),-[4]整車!$B$22)</f>
        <v>0</v>
      </c>
      <c r="Z187" s="407">
        <f t="shared" si="31"/>
        <v>0</v>
      </c>
      <c r="AA187" s="407">
        <f t="shared" ref="AA187:AA200" si="32">SUM(C187,E187,G187,I187,K187,M187,O187,Q187,S187,U187,W187,Y187)</f>
        <v>0</v>
      </c>
    </row>
    <row r="188" spans="1:27">
      <c r="A188" s="449" t="s">
        <v>368</v>
      </c>
      <c r="B188" s="413"/>
      <c r="C188" s="413"/>
      <c r="D188" s="413"/>
      <c r="E188" s="413"/>
      <c r="F188" s="413">
        <v>0</v>
      </c>
      <c r="G188" s="413"/>
      <c r="H188" s="413">
        <v>0</v>
      </c>
      <c r="I188" s="413">
        <v>0</v>
      </c>
      <c r="J188" s="414"/>
      <c r="K188" s="415">
        <v>0</v>
      </c>
      <c r="L188" s="413">
        <v>0</v>
      </c>
      <c r="M188" s="413">
        <v>0</v>
      </c>
      <c r="N188" s="413">
        <v>0</v>
      </c>
      <c r="O188" s="413">
        <v>0</v>
      </c>
      <c r="P188" s="413">
        <v>0</v>
      </c>
      <c r="Q188" s="413">
        <v>0</v>
      </c>
      <c r="R188" s="413">
        <v>0</v>
      </c>
      <c r="S188" s="413">
        <v>0</v>
      </c>
      <c r="T188" s="413"/>
      <c r="U188" s="413"/>
      <c r="V188" s="413">
        <f>_xlfn.IFNA(VLOOKUP(A188,[3]進出口值表查詢結果!$C$11:$F$68,4,0),-[4]整車!$B$22)</f>
        <v>0</v>
      </c>
      <c r="W188" s="413">
        <f>_xlfn.IFNA(VLOOKUP(A188,[3]進出口值表查詢結果!$C$11:$F$68,3,0),-[4]整車!$B$22)</f>
        <v>0</v>
      </c>
      <c r="X188" s="413">
        <f>_xlfn.IFNA(VLOOKUP(A188,[5]進出口值表查詢結果!$C$11:$F$75,4,0),-[4]整車!$B$22)</f>
        <v>0</v>
      </c>
      <c r="Y188" s="413">
        <f>_xlfn.IFNA(VLOOKUP(A188,[5]進出口值表查詢結果!$C$11:$F$75,3,0),-[4]整車!$B$22)</f>
        <v>0</v>
      </c>
      <c r="Z188" s="407">
        <f t="shared" si="31"/>
        <v>0</v>
      </c>
      <c r="AA188" s="407">
        <f t="shared" si="32"/>
        <v>0</v>
      </c>
    </row>
    <row r="189" spans="1:27">
      <c r="A189" s="455" t="s">
        <v>369</v>
      </c>
      <c r="B189" s="434">
        <f t="shared" ref="B189:Y189" si="33">SUM(B190:B203)</f>
        <v>0</v>
      </c>
      <c r="C189" s="434">
        <f t="shared" si="33"/>
        <v>0</v>
      </c>
      <c r="D189" s="434">
        <f t="shared" si="33"/>
        <v>0</v>
      </c>
      <c r="E189" s="434">
        <f t="shared" si="33"/>
        <v>0</v>
      </c>
      <c r="F189" s="434">
        <f t="shared" si="33"/>
        <v>0</v>
      </c>
      <c r="G189" s="434">
        <f t="shared" si="33"/>
        <v>0</v>
      </c>
      <c r="H189" s="434">
        <f t="shared" si="33"/>
        <v>10</v>
      </c>
      <c r="I189" s="434">
        <f t="shared" si="33"/>
        <v>1060</v>
      </c>
      <c r="J189" s="435">
        <f t="shared" si="33"/>
        <v>0</v>
      </c>
      <c r="K189" s="436">
        <f t="shared" si="33"/>
        <v>0</v>
      </c>
      <c r="L189" s="434">
        <f t="shared" si="33"/>
        <v>10</v>
      </c>
      <c r="M189" s="434">
        <f t="shared" si="33"/>
        <v>1039</v>
      </c>
      <c r="N189" s="434">
        <f t="shared" si="33"/>
        <v>1</v>
      </c>
      <c r="O189" s="434">
        <f t="shared" si="33"/>
        <v>2028</v>
      </c>
      <c r="P189" s="434">
        <f t="shared" si="33"/>
        <v>0</v>
      </c>
      <c r="Q189" s="434">
        <f t="shared" si="33"/>
        <v>0</v>
      </c>
      <c r="R189" s="434">
        <f t="shared" si="33"/>
        <v>5</v>
      </c>
      <c r="S189" s="434">
        <f t="shared" si="33"/>
        <v>543</v>
      </c>
      <c r="T189" s="434">
        <f t="shared" si="33"/>
        <v>19</v>
      </c>
      <c r="U189" s="434">
        <f t="shared" si="33"/>
        <v>12461</v>
      </c>
      <c r="V189" s="434">
        <f>SUM(V190:V203)</f>
        <v>7</v>
      </c>
      <c r="W189" s="434">
        <f>SUM(W190:W203)</f>
        <v>8701</v>
      </c>
      <c r="X189" s="434">
        <f t="shared" si="33"/>
        <v>0</v>
      </c>
      <c r="Y189" s="434">
        <f t="shared" si="33"/>
        <v>0</v>
      </c>
      <c r="Z189" s="420">
        <f t="shared" si="31"/>
        <v>52</v>
      </c>
      <c r="AA189" s="420">
        <f t="shared" si="32"/>
        <v>25832</v>
      </c>
    </row>
    <row r="190" spans="1:27">
      <c r="A190" s="416" t="s">
        <v>142</v>
      </c>
      <c r="B190" s="413"/>
      <c r="C190" s="413"/>
      <c r="D190" s="413">
        <v>0</v>
      </c>
      <c r="E190" s="413">
        <v>0</v>
      </c>
      <c r="F190" s="413">
        <v>0</v>
      </c>
      <c r="G190" s="413"/>
      <c r="H190" s="413">
        <v>0</v>
      </c>
      <c r="I190" s="413">
        <v>0</v>
      </c>
      <c r="J190" s="414">
        <v>0</v>
      </c>
      <c r="K190" s="415">
        <v>0</v>
      </c>
      <c r="L190" s="413">
        <v>0</v>
      </c>
      <c r="M190" s="413">
        <v>0</v>
      </c>
      <c r="N190" s="413">
        <v>0</v>
      </c>
      <c r="O190" s="413">
        <v>0</v>
      </c>
      <c r="P190" s="413">
        <v>0</v>
      </c>
      <c r="Q190" s="413">
        <v>0</v>
      </c>
      <c r="R190" s="413">
        <v>0</v>
      </c>
      <c r="S190" s="413">
        <v>0</v>
      </c>
      <c r="T190" s="413"/>
      <c r="U190" s="413"/>
      <c r="V190" s="413">
        <f>_xlfn.IFNA(VLOOKUP(A190,[3]進出口值表查詢結果!$C$11:$F$68,4,0),-[4]整車!$B$22)</f>
        <v>0</v>
      </c>
      <c r="W190" s="413">
        <f>_xlfn.IFNA(VLOOKUP(A190,[3]進出口值表查詢結果!$C$11:$F$68,3,0),-[4]整車!$B$22)</f>
        <v>0</v>
      </c>
      <c r="X190" s="413">
        <f>_xlfn.IFNA(VLOOKUP(A190,[5]進出口值表查詢結果!$C$11:$F$80,4,0),-[4]整車!$B$22)</f>
        <v>0</v>
      </c>
      <c r="Y190" s="413">
        <f>_xlfn.IFNA(VLOOKUP(A190,[5]進出口值表查詢結果!$C$11:$F$80,3,0),-[4]整車!$B$22)</f>
        <v>0</v>
      </c>
      <c r="Z190" s="407">
        <f t="shared" si="31"/>
        <v>0</v>
      </c>
      <c r="AA190" s="407">
        <f t="shared" si="32"/>
        <v>0</v>
      </c>
    </row>
    <row r="191" spans="1:27">
      <c r="A191" s="418" t="s">
        <v>370</v>
      </c>
      <c r="B191" s="413"/>
      <c r="C191" s="413"/>
      <c r="D191" s="413"/>
      <c r="E191" s="413">
        <v>0</v>
      </c>
      <c r="F191" s="413">
        <v>0</v>
      </c>
      <c r="G191" s="413"/>
      <c r="H191" s="413">
        <v>0</v>
      </c>
      <c r="I191" s="413">
        <v>0</v>
      </c>
      <c r="J191" s="414">
        <v>0</v>
      </c>
      <c r="K191" s="415">
        <v>0</v>
      </c>
      <c r="L191" s="413">
        <v>0</v>
      </c>
      <c r="M191" s="413">
        <v>0</v>
      </c>
      <c r="N191" s="413">
        <v>0</v>
      </c>
      <c r="O191" s="413">
        <v>0</v>
      </c>
      <c r="P191" s="413">
        <v>0</v>
      </c>
      <c r="Q191" s="413">
        <v>0</v>
      </c>
      <c r="R191" s="413">
        <v>0</v>
      </c>
      <c r="S191" s="413">
        <v>0</v>
      </c>
      <c r="T191" s="413"/>
      <c r="U191" s="413"/>
      <c r="V191" s="413">
        <f>_xlfn.IFNA(VLOOKUP(A191,[3]進出口值表查詢結果!$C$11:$F$68,4,0),-[4]整車!$B$22)</f>
        <v>0</v>
      </c>
      <c r="W191" s="413">
        <f>_xlfn.IFNA(VLOOKUP(A191,[3]進出口值表查詢結果!$C$11:$F$68,3,0),-[4]整車!$B$22)</f>
        <v>0</v>
      </c>
      <c r="X191" s="413">
        <f>_xlfn.IFNA(VLOOKUP(A191,[5]進出口值表查詢結果!$C$11:$F$80,4,0),-[4]整車!$B$22)</f>
        <v>0</v>
      </c>
      <c r="Y191" s="413">
        <f>_xlfn.IFNA(VLOOKUP(A191,[5]進出口值表查詢結果!$C$11:$F$80,3,0),-[4]整車!$B$22)</f>
        <v>0</v>
      </c>
      <c r="Z191" s="407">
        <f t="shared" si="31"/>
        <v>0</v>
      </c>
      <c r="AA191" s="407">
        <f t="shared" si="32"/>
        <v>0</v>
      </c>
    </row>
    <row r="192" spans="1:27">
      <c r="A192" s="416" t="s">
        <v>371</v>
      </c>
      <c r="B192" s="413"/>
      <c r="C192" s="413"/>
      <c r="D192" s="413"/>
      <c r="E192" s="413">
        <v>0</v>
      </c>
      <c r="F192" s="413">
        <v>0</v>
      </c>
      <c r="G192" s="413"/>
      <c r="H192" s="413">
        <v>0</v>
      </c>
      <c r="I192" s="413">
        <v>0</v>
      </c>
      <c r="J192" s="414">
        <v>0</v>
      </c>
      <c r="K192" s="415">
        <v>0</v>
      </c>
      <c r="L192" s="413">
        <v>0</v>
      </c>
      <c r="M192" s="413">
        <v>0</v>
      </c>
      <c r="N192" s="413">
        <v>0</v>
      </c>
      <c r="O192" s="413">
        <v>0</v>
      </c>
      <c r="P192" s="413">
        <v>0</v>
      </c>
      <c r="Q192" s="413">
        <v>0</v>
      </c>
      <c r="R192" s="413">
        <v>0</v>
      </c>
      <c r="S192" s="413">
        <v>0</v>
      </c>
      <c r="T192" s="413"/>
      <c r="U192" s="413"/>
      <c r="V192" s="413">
        <f>_xlfn.IFNA(VLOOKUP(A192,[3]進出口值表查詢結果!$C$11:$F$68,4,0),-[4]整車!$B$22)</f>
        <v>0</v>
      </c>
      <c r="W192" s="413">
        <f>_xlfn.IFNA(VLOOKUP(A192,[3]進出口值表查詢結果!$C$11:$F$68,3,0),-[4]整車!$B$22)</f>
        <v>0</v>
      </c>
      <c r="X192" s="413">
        <f>_xlfn.IFNA(VLOOKUP(A192,[5]進出口值表查詢結果!$C$11:$F$80,4,0),-[4]整車!$B$22)</f>
        <v>0</v>
      </c>
      <c r="Y192" s="413">
        <f>_xlfn.IFNA(VLOOKUP(A192,[5]進出口值表查詢結果!$C$11:$F$80,3,0),-[4]整車!$B$22)</f>
        <v>0</v>
      </c>
      <c r="Z192" s="407">
        <f t="shared" si="31"/>
        <v>0</v>
      </c>
      <c r="AA192" s="407">
        <f t="shared" si="32"/>
        <v>0</v>
      </c>
    </row>
    <row r="193" spans="1:27">
      <c r="A193" s="438" t="s">
        <v>372</v>
      </c>
      <c r="B193" s="413"/>
      <c r="C193" s="413"/>
      <c r="D193" s="413"/>
      <c r="E193" s="413">
        <v>0</v>
      </c>
      <c r="F193" s="413">
        <v>0</v>
      </c>
      <c r="G193" s="413"/>
      <c r="H193" s="413">
        <v>10</v>
      </c>
      <c r="I193" s="413">
        <v>1060</v>
      </c>
      <c r="J193" s="414">
        <v>0</v>
      </c>
      <c r="K193" s="415">
        <v>0</v>
      </c>
      <c r="L193" s="413">
        <v>0</v>
      </c>
      <c r="M193" s="413">
        <v>0</v>
      </c>
      <c r="N193" s="413">
        <v>0</v>
      </c>
      <c r="O193" s="413">
        <v>0</v>
      </c>
      <c r="P193" s="413">
        <v>0</v>
      </c>
      <c r="Q193" s="413">
        <v>0</v>
      </c>
      <c r="R193" s="413">
        <v>0</v>
      </c>
      <c r="S193" s="413">
        <v>0</v>
      </c>
      <c r="T193" s="413"/>
      <c r="U193" s="413"/>
      <c r="V193" s="413">
        <f>_xlfn.IFNA(VLOOKUP(A193,[3]進出口值表查詢結果!$C$11:$F$68,4,0),-[4]整車!$B$22)</f>
        <v>0</v>
      </c>
      <c r="W193" s="413">
        <f>_xlfn.IFNA(VLOOKUP(A193,[3]進出口值表查詢結果!$C$11:$F$68,3,0),-[4]整車!$B$22)</f>
        <v>0</v>
      </c>
      <c r="X193" s="413">
        <f>_xlfn.IFNA(VLOOKUP(A193,[5]進出口值表查詢結果!$C$11:$F$80,4,0),-[4]整車!$B$22)</f>
        <v>0</v>
      </c>
      <c r="Y193" s="413">
        <f>_xlfn.IFNA(VLOOKUP(A193,[5]進出口值表查詢結果!$C$11:$F$80,3,0),-[4]整車!$B$22)</f>
        <v>0</v>
      </c>
      <c r="Z193" s="407">
        <f t="shared" si="31"/>
        <v>10</v>
      </c>
      <c r="AA193" s="407">
        <f t="shared" si="32"/>
        <v>1060</v>
      </c>
    </row>
    <row r="194" spans="1:27">
      <c r="A194" s="449" t="s">
        <v>373</v>
      </c>
      <c r="B194" s="413"/>
      <c r="C194" s="413"/>
      <c r="D194" s="413"/>
      <c r="E194" s="413">
        <v>0</v>
      </c>
      <c r="F194" s="413">
        <v>0</v>
      </c>
      <c r="G194" s="413"/>
      <c r="H194" s="413">
        <v>0</v>
      </c>
      <c r="I194" s="413">
        <v>0</v>
      </c>
      <c r="J194" s="414">
        <v>0</v>
      </c>
      <c r="K194" s="415">
        <v>0</v>
      </c>
      <c r="L194" s="413">
        <v>0</v>
      </c>
      <c r="M194" s="413">
        <v>0</v>
      </c>
      <c r="N194" s="413">
        <v>0</v>
      </c>
      <c r="O194" s="413">
        <v>0</v>
      </c>
      <c r="P194" s="413">
        <v>0</v>
      </c>
      <c r="Q194" s="413">
        <v>0</v>
      </c>
      <c r="R194" s="413">
        <v>0</v>
      </c>
      <c r="S194" s="413">
        <v>0</v>
      </c>
      <c r="T194" s="413"/>
      <c r="U194" s="413"/>
      <c r="V194" s="413">
        <f>_xlfn.IFNA(VLOOKUP(A194,[3]進出口值表查詢結果!$C$11:$F$68,4,0),-[4]整車!$B$22)</f>
        <v>0</v>
      </c>
      <c r="W194" s="413">
        <f>_xlfn.IFNA(VLOOKUP(A194,[3]進出口值表查詢結果!$C$11:$F$68,3,0),-[4]整車!$B$22)</f>
        <v>0</v>
      </c>
      <c r="X194" s="413">
        <f>_xlfn.IFNA(VLOOKUP(A194,[5]進出口值表查詢結果!$C$11:$F$80,4,0),-[4]整車!$B$22)</f>
        <v>0</v>
      </c>
      <c r="Y194" s="413">
        <f>_xlfn.IFNA(VLOOKUP(A194,[5]進出口值表查詢結果!$C$11:$F$80,3,0),-[4]整車!$B$22)</f>
        <v>0</v>
      </c>
      <c r="Z194" s="407">
        <f t="shared" si="31"/>
        <v>0</v>
      </c>
      <c r="AA194" s="407">
        <f t="shared" si="32"/>
        <v>0</v>
      </c>
    </row>
    <row r="195" spans="1:27">
      <c r="A195" s="416" t="s">
        <v>143</v>
      </c>
      <c r="B195" s="413"/>
      <c r="C195" s="413"/>
      <c r="D195" s="413"/>
      <c r="E195" s="413">
        <v>0</v>
      </c>
      <c r="F195" s="413">
        <v>0</v>
      </c>
      <c r="G195" s="413"/>
      <c r="H195" s="413">
        <v>0</v>
      </c>
      <c r="I195" s="413">
        <v>0</v>
      </c>
      <c r="J195" s="414">
        <v>0</v>
      </c>
      <c r="K195" s="415">
        <v>0</v>
      </c>
      <c r="L195" s="413">
        <v>0</v>
      </c>
      <c r="M195" s="413">
        <v>0</v>
      </c>
      <c r="N195" s="413">
        <v>0</v>
      </c>
      <c r="O195" s="413">
        <v>0</v>
      </c>
      <c r="P195" s="413">
        <v>0</v>
      </c>
      <c r="Q195" s="413">
        <v>0</v>
      </c>
      <c r="R195" s="413">
        <v>0</v>
      </c>
      <c r="S195" s="413">
        <v>0</v>
      </c>
      <c r="T195" s="413"/>
      <c r="U195" s="413"/>
      <c r="V195" s="413">
        <f>_xlfn.IFNA(VLOOKUP(A195,[3]進出口值表查詢結果!$C$11:$F$68,4,0),-[4]整車!$B$22)</f>
        <v>0</v>
      </c>
      <c r="W195" s="413">
        <f>_xlfn.IFNA(VLOOKUP(A195,[3]進出口值表查詢結果!$C$11:$F$68,3,0),-[4]整車!$B$22)</f>
        <v>0</v>
      </c>
      <c r="X195" s="413">
        <f>_xlfn.IFNA(VLOOKUP(A195,[5]進出口值表查詢結果!$C$11:$F$80,4,0),-[4]整車!$B$22)</f>
        <v>0</v>
      </c>
      <c r="Y195" s="413">
        <f>_xlfn.IFNA(VLOOKUP(A195,[5]進出口值表查詢結果!$C$11:$F$80,3,0),-[4]整車!$B$22)</f>
        <v>0</v>
      </c>
      <c r="Z195" s="407">
        <f t="shared" si="31"/>
        <v>0</v>
      </c>
      <c r="AA195" s="407">
        <f t="shared" si="32"/>
        <v>0</v>
      </c>
    </row>
    <row r="196" spans="1:27">
      <c r="A196" s="449" t="s">
        <v>374</v>
      </c>
      <c r="B196" s="413"/>
      <c r="C196" s="413"/>
      <c r="D196" s="413"/>
      <c r="E196" s="413">
        <v>0</v>
      </c>
      <c r="F196" s="413">
        <v>0</v>
      </c>
      <c r="G196" s="413"/>
      <c r="H196" s="413">
        <v>0</v>
      </c>
      <c r="I196" s="413">
        <v>0</v>
      </c>
      <c r="J196" s="414">
        <v>0</v>
      </c>
      <c r="K196" s="415">
        <v>0</v>
      </c>
      <c r="L196" s="413">
        <v>0</v>
      </c>
      <c r="M196" s="413">
        <v>0</v>
      </c>
      <c r="N196" s="413">
        <v>0</v>
      </c>
      <c r="O196" s="413">
        <v>0</v>
      </c>
      <c r="P196" s="413">
        <v>0</v>
      </c>
      <c r="Q196" s="413">
        <v>0</v>
      </c>
      <c r="R196" s="413">
        <v>0</v>
      </c>
      <c r="S196" s="413">
        <v>0</v>
      </c>
      <c r="T196" s="413">
        <v>19</v>
      </c>
      <c r="U196" s="413">
        <v>12461</v>
      </c>
      <c r="V196" s="413">
        <f>_xlfn.IFNA(VLOOKUP(A196,[3]進出口值表查詢結果!$C$11:$F$68,4,0),-[4]整車!$B$22)</f>
        <v>0</v>
      </c>
      <c r="W196" s="413">
        <f>_xlfn.IFNA(VLOOKUP(A196,[3]進出口值表查詢結果!$C$11:$F$68,3,0),-[4]整車!$B$22)</f>
        <v>0</v>
      </c>
      <c r="X196" s="413">
        <f>_xlfn.IFNA(VLOOKUP(A196,[5]進出口值表查詢結果!$C$11:$F$80,4,0),-[4]整車!$B$22)</f>
        <v>0</v>
      </c>
      <c r="Y196" s="413">
        <f>_xlfn.IFNA(VLOOKUP(A196,[5]進出口值表查詢結果!$C$11:$F$80,3,0),-[4]整車!$B$22)</f>
        <v>0</v>
      </c>
      <c r="Z196" s="407">
        <f t="shared" si="31"/>
        <v>19</v>
      </c>
      <c r="AA196" s="407">
        <f t="shared" si="32"/>
        <v>12461</v>
      </c>
    </row>
    <row r="197" spans="1:27">
      <c r="A197" s="449" t="s">
        <v>375</v>
      </c>
      <c r="B197" s="413"/>
      <c r="C197" s="413"/>
      <c r="D197" s="413"/>
      <c r="E197" s="413">
        <v>0</v>
      </c>
      <c r="F197" s="413">
        <v>0</v>
      </c>
      <c r="G197" s="413"/>
      <c r="H197" s="413">
        <v>0</v>
      </c>
      <c r="I197" s="413">
        <v>0</v>
      </c>
      <c r="J197" s="414">
        <v>0</v>
      </c>
      <c r="K197" s="415">
        <v>0</v>
      </c>
      <c r="L197" s="413">
        <v>0</v>
      </c>
      <c r="M197" s="413">
        <v>0</v>
      </c>
      <c r="N197" s="413">
        <v>0</v>
      </c>
      <c r="O197" s="413">
        <v>0</v>
      </c>
      <c r="P197" s="413">
        <v>0</v>
      </c>
      <c r="Q197" s="413">
        <v>0</v>
      </c>
      <c r="R197" s="413">
        <v>0</v>
      </c>
      <c r="S197" s="413">
        <v>0</v>
      </c>
      <c r="T197" s="413"/>
      <c r="U197" s="413"/>
      <c r="V197" s="413">
        <f>_xlfn.IFNA(VLOOKUP(A197,[3]進出口值表查詢結果!$C$11:$F$68,4,0),-[4]整車!$B$22)</f>
        <v>0</v>
      </c>
      <c r="W197" s="413">
        <f>_xlfn.IFNA(VLOOKUP(A197,[3]進出口值表查詢結果!$C$11:$F$68,3,0),-[4]整車!$B$22)</f>
        <v>0</v>
      </c>
      <c r="X197" s="413">
        <f>_xlfn.IFNA(VLOOKUP(A197,[5]進出口值表查詢結果!$C$11:$F$80,4,0),-[4]整車!$B$22)</f>
        <v>0</v>
      </c>
      <c r="Y197" s="413">
        <f>_xlfn.IFNA(VLOOKUP(A197,[5]進出口值表查詢結果!$C$11:$F$80,3,0),-[4]整車!$B$22)</f>
        <v>0</v>
      </c>
      <c r="Z197" s="407">
        <f t="shared" si="31"/>
        <v>0</v>
      </c>
      <c r="AA197" s="407">
        <f t="shared" si="32"/>
        <v>0</v>
      </c>
    </row>
    <row r="198" spans="1:27">
      <c r="A198" s="449" t="s">
        <v>376</v>
      </c>
      <c r="B198" s="413"/>
      <c r="C198" s="413"/>
      <c r="D198" s="413"/>
      <c r="E198" s="413">
        <v>0</v>
      </c>
      <c r="F198" s="413">
        <v>0</v>
      </c>
      <c r="G198" s="413"/>
      <c r="H198" s="413">
        <v>0</v>
      </c>
      <c r="I198" s="413">
        <v>0</v>
      </c>
      <c r="J198" s="414">
        <v>0</v>
      </c>
      <c r="K198" s="415">
        <v>0</v>
      </c>
      <c r="L198" s="413">
        <v>0</v>
      </c>
      <c r="M198" s="413">
        <v>0</v>
      </c>
      <c r="N198" s="413">
        <v>0</v>
      </c>
      <c r="O198" s="413">
        <v>0</v>
      </c>
      <c r="P198" s="413">
        <v>0</v>
      </c>
      <c r="Q198" s="413">
        <v>0</v>
      </c>
      <c r="R198" s="413">
        <v>0</v>
      </c>
      <c r="S198" s="413">
        <v>0</v>
      </c>
      <c r="T198" s="413"/>
      <c r="U198" s="413"/>
      <c r="V198" s="413">
        <f>_xlfn.IFNA(VLOOKUP(A198,[3]進出口值表查詢結果!$C$11:$F$68,4,0),-[4]整車!$B$22)</f>
        <v>0</v>
      </c>
      <c r="W198" s="413">
        <f>_xlfn.IFNA(VLOOKUP(A198,[3]進出口值表查詢結果!$C$11:$F$68,3,0),-[4]整車!$B$22)</f>
        <v>0</v>
      </c>
      <c r="X198" s="413">
        <f>_xlfn.IFNA(VLOOKUP(A198,[5]進出口值表查詢結果!$C$11:$F$80,4,0),-[4]整車!$B$22)</f>
        <v>0</v>
      </c>
      <c r="Y198" s="413">
        <f>_xlfn.IFNA(VLOOKUP(A198,[5]進出口值表查詢結果!$C$11:$F$80,3,0),-[4]整車!$B$22)</f>
        <v>0</v>
      </c>
      <c r="Z198" s="407">
        <f t="shared" si="31"/>
        <v>0</v>
      </c>
      <c r="AA198" s="407">
        <f t="shared" si="32"/>
        <v>0</v>
      </c>
    </row>
    <row r="199" spans="1:27">
      <c r="A199" s="449" t="s">
        <v>396</v>
      </c>
      <c r="B199" s="413"/>
      <c r="C199" s="413"/>
      <c r="D199" s="413"/>
      <c r="E199" s="413">
        <v>0</v>
      </c>
      <c r="F199" s="413">
        <v>0</v>
      </c>
      <c r="G199" s="413"/>
      <c r="H199" s="413">
        <v>0</v>
      </c>
      <c r="I199" s="413">
        <v>0</v>
      </c>
      <c r="J199" s="414" t="s">
        <v>57</v>
      </c>
      <c r="K199" s="415">
        <v>0</v>
      </c>
      <c r="L199" s="413">
        <v>10</v>
      </c>
      <c r="M199" s="413">
        <v>1039</v>
      </c>
      <c r="N199" s="413">
        <v>0</v>
      </c>
      <c r="O199" s="413">
        <v>0</v>
      </c>
      <c r="P199" s="413">
        <v>0</v>
      </c>
      <c r="Q199" s="413">
        <v>0</v>
      </c>
      <c r="R199" s="413">
        <v>5</v>
      </c>
      <c r="S199" s="413">
        <v>543</v>
      </c>
      <c r="T199" s="413"/>
      <c r="U199" s="413"/>
      <c r="V199" s="413">
        <f>_xlfn.IFNA(VLOOKUP(A199,[3]進出口值表查詢結果!$C$11:$F$68,4,0),-[4]整車!$B$22)</f>
        <v>2</v>
      </c>
      <c r="W199" s="413">
        <f>_xlfn.IFNA(VLOOKUP(A199,[3]進出口值表查詢結果!$C$11:$F$68,3,0),-[4]整車!$B$22)</f>
        <v>763</v>
      </c>
      <c r="X199" s="413">
        <f>_xlfn.IFNA(VLOOKUP(A199,[5]進出口值表查詢結果!$C$11:$F$80,4,0),-[4]整車!$B$22)</f>
        <v>0</v>
      </c>
      <c r="Y199" s="413">
        <f>_xlfn.IFNA(VLOOKUP(A199,[5]進出口值表查詢結果!$C$11:$F$80,3,0),-[4]整車!$B$22)</f>
        <v>0</v>
      </c>
      <c r="Z199" s="407">
        <f t="shared" si="31"/>
        <v>17</v>
      </c>
      <c r="AA199" s="407">
        <f t="shared" si="32"/>
        <v>2345</v>
      </c>
    </row>
    <row r="200" spans="1:27">
      <c r="A200" s="416" t="s">
        <v>144</v>
      </c>
      <c r="B200" s="413"/>
      <c r="C200" s="413"/>
      <c r="D200" s="413"/>
      <c r="E200" s="413">
        <v>0</v>
      </c>
      <c r="F200" s="413">
        <v>0</v>
      </c>
      <c r="G200" s="413"/>
      <c r="H200" s="413">
        <v>0</v>
      </c>
      <c r="I200" s="413">
        <v>0</v>
      </c>
      <c r="J200" s="414">
        <v>0</v>
      </c>
      <c r="K200" s="415">
        <v>0</v>
      </c>
      <c r="L200" s="413">
        <v>0</v>
      </c>
      <c r="M200" s="413">
        <v>0</v>
      </c>
      <c r="N200" s="413">
        <v>1</v>
      </c>
      <c r="O200" s="413">
        <v>2028</v>
      </c>
      <c r="P200" s="413">
        <v>0</v>
      </c>
      <c r="Q200" s="413">
        <v>0</v>
      </c>
      <c r="R200" s="413">
        <v>0</v>
      </c>
      <c r="S200" s="413">
        <v>0</v>
      </c>
      <c r="T200" s="413"/>
      <c r="U200" s="413"/>
      <c r="V200" s="413">
        <f>_xlfn.IFNA(VLOOKUP(A200,[3]進出口值表查詢結果!$C$11:$F$68,4,0),-[4]整車!$B$22)</f>
        <v>0</v>
      </c>
      <c r="W200" s="413">
        <f>_xlfn.IFNA(VLOOKUP(A200,[3]進出口值表查詢結果!$C$11:$F$68,3,0),-[4]整車!$B$22)</f>
        <v>0</v>
      </c>
      <c r="X200" s="413">
        <f>_xlfn.IFNA(VLOOKUP(A200,[5]進出口值表查詢結果!$C$11:$F$80,4,0),-[4]整車!$B$22)</f>
        <v>0</v>
      </c>
      <c r="Y200" s="413">
        <f>_xlfn.IFNA(VLOOKUP(A200,[5]進出口值表查詢結果!$C$11:$F$80,3,0),-[4]整車!$B$22)</f>
        <v>0</v>
      </c>
      <c r="Z200" s="407">
        <f t="shared" si="31"/>
        <v>1</v>
      </c>
      <c r="AA200" s="407">
        <f t="shared" si="32"/>
        <v>2028</v>
      </c>
    </row>
    <row r="201" spans="1:27">
      <c r="A201" s="453" t="s">
        <v>377</v>
      </c>
      <c r="B201" s="413"/>
      <c r="C201" s="413"/>
      <c r="D201" s="413"/>
      <c r="E201" s="413"/>
      <c r="F201" s="413"/>
      <c r="G201" s="413"/>
      <c r="H201" s="413">
        <v>0</v>
      </c>
      <c r="I201" s="413">
        <v>0</v>
      </c>
      <c r="J201" s="414" t="s">
        <v>57</v>
      </c>
      <c r="K201" s="415"/>
      <c r="L201" s="413">
        <v>0</v>
      </c>
      <c r="M201" s="413">
        <v>0</v>
      </c>
      <c r="N201" s="413">
        <v>0</v>
      </c>
      <c r="O201" s="413">
        <v>0</v>
      </c>
      <c r="P201" s="413">
        <v>0</v>
      </c>
      <c r="Q201" s="413">
        <v>0</v>
      </c>
      <c r="R201" s="413">
        <v>0</v>
      </c>
      <c r="S201" s="413">
        <v>0</v>
      </c>
      <c r="T201" s="413"/>
      <c r="U201" s="413"/>
      <c r="V201" s="413">
        <f>_xlfn.IFNA(VLOOKUP(A201,[3]進出口值表查詢結果!$C$11:$F$68,4,0),-[4]整車!$B$22)</f>
        <v>0</v>
      </c>
      <c r="W201" s="413">
        <f>_xlfn.IFNA(VLOOKUP(A201,[3]進出口值表查詢結果!$C$11:$F$68,3,0),-[4]整車!$B$22)</f>
        <v>0</v>
      </c>
      <c r="X201" s="413">
        <f>_xlfn.IFNA(VLOOKUP(A201,[5]進出口值表查詢結果!$C$11:$F$80,4,0),-[4]整車!$B$22)</f>
        <v>0</v>
      </c>
      <c r="Y201" s="413">
        <f>_xlfn.IFNA(VLOOKUP(A201,[5]進出口值表查詢結果!$C$11:$F$80,3,0),-[4]整車!$B$22)</f>
        <v>0</v>
      </c>
      <c r="Z201" s="407"/>
      <c r="AA201" s="407"/>
    </row>
    <row r="202" spans="1:27">
      <c r="A202" s="449" t="s">
        <v>397</v>
      </c>
      <c r="B202" s="413"/>
      <c r="C202" s="413"/>
      <c r="D202" s="413"/>
      <c r="E202" s="413"/>
      <c r="F202" s="413"/>
      <c r="G202" s="413"/>
      <c r="H202" s="413">
        <v>0</v>
      </c>
      <c r="I202" s="413">
        <v>0</v>
      </c>
      <c r="J202" s="414" t="s">
        <v>57</v>
      </c>
      <c r="K202" s="415"/>
      <c r="L202" s="413">
        <v>0</v>
      </c>
      <c r="M202" s="413">
        <v>0</v>
      </c>
      <c r="N202" s="413">
        <v>0</v>
      </c>
      <c r="O202" s="413">
        <v>0</v>
      </c>
      <c r="P202" s="413">
        <v>0</v>
      </c>
      <c r="Q202" s="413">
        <v>0</v>
      </c>
      <c r="R202" s="413">
        <v>0</v>
      </c>
      <c r="S202" s="413">
        <v>0</v>
      </c>
      <c r="T202" s="413"/>
      <c r="U202" s="413"/>
      <c r="V202" s="413">
        <f>_xlfn.IFNA(VLOOKUP(A202,[3]進出口值表查詢結果!$C$11:$F$68,4,0),-[4]整車!$B$22)</f>
        <v>5</v>
      </c>
      <c r="W202" s="413">
        <f>_xlfn.IFNA(VLOOKUP(A202,[3]進出口值表查詢結果!$C$11:$F$68,3,0),-[4]整車!$B$22)</f>
        <v>7938</v>
      </c>
      <c r="X202" s="413">
        <f>_xlfn.IFNA(VLOOKUP(A202,[5]進出口值表查詢結果!$C$11:$F$80,4,0),-[4]整車!$B$22)</f>
        <v>0</v>
      </c>
      <c r="Y202" s="413">
        <f>_xlfn.IFNA(VLOOKUP(A202,[5]進出口值表查詢結果!$C$11:$F$80,3,0),-[4]整車!$B$22)</f>
        <v>0</v>
      </c>
      <c r="Z202" s="407"/>
      <c r="AA202" s="407"/>
    </row>
    <row r="203" spans="1:27">
      <c r="A203" s="453" t="s">
        <v>398</v>
      </c>
      <c r="B203" s="413"/>
      <c r="C203" s="413"/>
      <c r="D203" s="439">
        <v>0</v>
      </c>
      <c r="E203" s="413">
        <v>0</v>
      </c>
      <c r="F203" s="413">
        <v>0</v>
      </c>
      <c r="G203" s="440"/>
      <c r="H203" s="413">
        <v>0</v>
      </c>
      <c r="I203" s="413">
        <v>0</v>
      </c>
      <c r="J203" s="414">
        <v>0</v>
      </c>
      <c r="K203" s="415">
        <v>0</v>
      </c>
      <c r="L203" s="413">
        <v>0</v>
      </c>
      <c r="M203" s="413">
        <v>0</v>
      </c>
      <c r="N203" s="413">
        <v>0</v>
      </c>
      <c r="O203" s="413">
        <v>0</v>
      </c>
      <c r="P203" s="413">
        <v>0</v>
      </c>
      <c r="Q203" s="413">
        <v>0</v>
      </c>
      <c r="R203" s="413">
        <v>0</v>
      </c>
      <c r="S203" s="413">
        <v>0</v>
      </c>
      <c r="T203" s="413">
        <v>0</v>
      </c>
      <c r="U203" s="413">
        <v>0</v>
      </c>
      <c r="V203" s="413">
        <f>_xlfn.IFNA(VLOOKUP(A203,[3]進出口值表查詢結果!$C$11:$F$68,4,0),-[4]整車!$B$22)</f>
        <v>0</v>
      </c>
      <c r="W203" s="413">
        <f>_xlfn.IFNA(VLOOKUP(A203,[3]進出口值表查詢結果!$C$11:$F$68,3,0),-[4]整車!$B$22)</f>
        <v>0</v>
      </c>
      <c r="X203" s="413">
        <f>_xlfn.IFNA(VLOOKUP(A203,[5]進出口值表查詢結果!$C$11:$F$80,4,0),-[4]整車!$B$22)</f>
        <v>0</v>
      </c>
      <c r="Y203" s="413">
        <f>_xlfn.IFNA(VLOOKUP(A203,[5]進出口值表查詢結果!$C$11:$F$80,3,0),-[4]整車!$B$22)</f>
        <v>0</v>
      </c>
      <c r="Z203" s="413">
        <f>SUM(B203,D203,F203,H203,J203,L203,N203,P203,R203,T203,V203,X203)</f>
        <v>0</v>
      </c>
      <c r="AA203" s="413">
        <f>SUM(C203,E203,G203,I203,K203,M203,O203,Q203,S203,U203,W203,Y203)</f>
        <v>0</v>
      </c>
    </row>
    <row r="204" spans="1:27">
      <c r="A204" s="389"/>
      <c r="B204" s="578" t="s">
        <v>145</v>
      </c>
      <c r="C204" s="579"/>
      <c r="D204" s="390" t="s">
        <v>121</v>
      </c>
      <c r="E204" s="391"/>
      <c r="F204" s="390" t="s">
        <v>122</v>
      </c>
      <c r="G204" s="391"/>
      <c r="H204" s="390" t="s">
        <v>123</v>
      </c>
      <c r="I204" s="391"/>
      <c r="J204" s="392" t="s">
        <v>124</v>
      </c>
      <c r="K204" s="393"/>
      <c r="L204" s="390" t="s">
        <v>125</v>
      </c>
      <c r="M204" s="391"/>
      <c r="N204" s="390" t="s">
        <v>126</v>
      </c>
      <c r="O204" s="391"/>
      <c r="P204" s="390" t="s">
        <v>127</v>
      </c>
      <c r="Q204" s="391"/>
      <c r="R204" s="390" t="s">
        <v>128</v>
      </c>
      <c r="S204" s="391"/>
      <c r="T204" s="390" t="s">
        <v>129</v>
      </c>
      <c r="U204" s="391"/>
      <c r="V204" s="390" t="s">
        <v>130</v>
      </c>
      <c r="W204" s="391"/>
      <c r="X204" s="390" t="s">
        <v>131</v>
      </c>
      <c r="Y204" s="391"/>
      <c r="Z204" s="578" t="s">
        <v>103</v>
      </c>
      <c r="AA204" s="579"/>
    </row>
    <row r="205" spans="1:27">
      <c r="A205" s="441" t="s">
        <v>146</v>
      </c>
      <c r="B205" s="395" t="s">
        <v>133</v>
      </c>
      <c r="C205" s="395" t="s">
        <v>134</v>
      </c>
      <c r="D205" s="395" t="s">
        <v>135</v>
      </c>
      <c r="E205" s="395" t="s">
        <v>136</v>
      </c>
      <c r="F205" s="395" t="s">
        <v>135</v>
      </c>
      <c r="G205" s="395" t="s">
        <v>136</v>
      </c>
      <c r="H205" s="395" t="s">
        <v>135</v>
      </c>
      <c r="I205" s="395" t="s">
        <v>136</v>
      </c>
      <c r="J205" s="396" t="s">
        <v>135</v>
      </c>
      <c r="K205" s="397" t="s">
        <v>136</v>
      </c>
      <c r="L205" s="395" t="s">
        <v>135</v>
      </c>
      <c r="M205" s="395" t="s">
        <v>136</v>
      </c>
      <c r="N205" s="395" t="s">
        <v>135</v>
      </c>
      <c r="O205" s="395" t="s">
        <v>136</v>
      </c>
      <c r="P205" s="395" t="s">
        <v>135</v>
      </c>
      <c r="Q205" s="395" t="s">
        <v>136</v>
      </c>
      <c r="R205" s="395" t="s">
        <v>135</v>
      </c>
      <c r="S205" s="395" t="s">
        <v>136</v>
      </c>
      <c r="T205" s="395" t="s">
        <v>135</v>
      </c>
      <c r="U205" s="395" t="s">
        <v>136</v>
      </c>
      <c r="V205" s="395" t="s">
        <v>135</v>
      </c>
      <c r="W205" s="395" t="s">
        <v>136</v>
      </c>
      <c r="X205" s="395" t="s">
        <v>135</v>
      </c>
      <c r="Y205" s="395" t="s">
        <v>136</v>
      </c>
      <c r="Z205" s="395" t="s">
        <v>135</v>
      </c>
      <c r="AA205" s="395" t="s">
        <v>136</v>
      </c>
    </row>
    <row r="206" spans="1:27">
      <c r="A206" s="394" t="s">
        <v>147</v>
      </c>
      <c r="B206" s="413">
        <v>6025</v>
      </c>
      <c r="C206" s="413">
        <v>1562479</v>
      </c>
      <c r="D206" s="413">
        <v>5953</v>
      </c>
      <c r="E206" s="413">
        <v>1186109</v>
      </c>
      <c r="F206" s="413">
        <v>5066</v>
      </c>
      <c r="G206" s="413">
        <v>1570229</v>
      </c>
      <c r="H206" s="413">
        <v>7242</v>
      </c>
      <c r="I206" s="413">
        <v>1397285</v>
      </c>
      <c r="J206" s="414">
        <v>9565</v>
      </c>
      <c r="K206" s="415">
        <v>2314635</v>
      </c>
      <c r="L206" s="413">
        <v>11407</v>
      </c>
      <c r="M206" s="413">
        <v>2211195</v>
      </c>
      <c r="N206" s="413">
        <v>8718</v>
      </c>
      <c r="O206" s="413">
        <v>1911196</v>
      </c>
      <c r="P206" s="413"/>
      <c r="Q206" s="413"/>
      <c r="R206" s="413"/>
      <c r="S206" s="413"/>
      <c r="T206" s="413"/>
      <c r="U206" s="413"/>
      <c r="V206" s="413"/>
      <c r="W206" s="413"/>
      <c r="X206" s="413"/>
      <c r="Y206" s="413"/>
      <c r="Z206" s="413">
        <f>SUM(B206,D206,F206,H206,J206,L206,N206,P206,R206,T206,V206,X206)</f>
        <v>53976</v>
      </c>
      <c r="AA206" s="40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9" customFormat="1" ht="19.5">
      <c r="B1" s="1"/>
      <c r="C1" s="1"/>
      <c r="D1" s="1"/>
      <c r="E1" s="177" t="s">
        <v>495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13" customFormat="1">
      <c r="A3" s="110" t="s">
        <v>36</v>
      </c>
      <c r="B3" s="111"/>
      <c r="C3" s="111"/>
      <c r="D3" s="111"/>
      <c r="E3" s="111"/>
      <c r="F3" s="111"/>
      <c r="G3" s="111"/>
      <c r="H3" s="111"/>
      <c r="I3" s="111"/>
      <c r="J3" s="112"/>
      <c r="K3" s="5"/>
      <c r="L3" s="5"/>
      <c r="M3" s="5"/>
      <c r="N3" s="5"/>
    </row>
    <row r="4" spans="1:14" s="13" customFormat="1">
      <c r="A4" s="114" t="s">
        <v>37</v>
      </c>
      <c r="B4" s="115"/>
      <c r="C4" s="115"/>
      <c r="D4" s="115"/>
      <c r="E4" s="115"/>
      <c r="F4" s="115"/>
      <c r="G4" s="115"/>
      <c r="H4" s="115"/>
      <c r="I4" s="115"/>
      <c r="J4" s="116"/>
      <c r="K4" s="5"/>
      <c r="L4" s="5"/>
      <c r="M4" s="5"/>
      <c r="N4" s="5"/>
    </row>
    <row r="5" spans="1:14" s="120" customFormat="1">
      <c r="A5" s="117" t="s">
        <v>38</v>
      </c>
      <c r="B5" s="118" t="s">
        <v>39</v>
      </c>
      <c r="C5" s="119" t="s">
        <v>40</v>
      </c>
      <c r="D5" s="118" t="s">
        <v>41</v>
      </c>
      <c r="E5" s="118" t="s">
        <v>42</v>
      </c>
      <c r="F5" s="118" t="s">
        <v>43</v>
      </c>
      <c r="G5" s="118" t="s">
        <v>44</v>
      </c>
      <c r="H5" s="118" t="s">
        <v>45</v>
      </c>
      <c r="I5" s="118" t="s">
        <v>46</v>
      </c>
      <c r="J5" s="118" t="s">
        <v>47</v>
      </c>
      <c r="K5" s="5"/>
      <c r="L5" s="5"/>
      <c r="M5" s="5"/>
      <c r="N5" s="5"/>
    </row>
    <row r="6" spans="1:14" s="120" customFormat="1">
      <c r="A6" s="121"/>
      <c r="B6" s="122" t="s">
        <v>48</v>
      </c>
      <c r="C6" s="123"/>
      <c r="D6" s="123"/>
      <c r="E6" s="123"/>
      <c r="F6" s="123"/>
      <c r="G6" s="123"/>
      <c r="H6" s="123"/>
      <c r="I6" s="123"/>
      <c r="J6" s="123"/>
      <c r="K6" s="5"/>
      <c r="L6" s="5"/>
      <c r="M6" s="5"/>
      <c r="N6" s="5"/>
    </row>
    <row r="7" spans="1:14">
      <c r="A7" s="124">
        <v>1</v>
      </c>
      <c r="B7" s="27">
        <f>SUM(C7:I7)</f>
        <v>52420</v>
      </c>
      <c r="C7" s="371">
        <v>22628</v>
      </c>
      <c r="D7" s="540">
        <v>19372</v>
      </c>
      <c r="E7" s="371">
        <v>5395</v>
      </c>
      <c r="F7" s="371">
        <v>1308</v>
      </c>
      <c r="G7" s="371">
        <v>566</v>
      </c>
      <c r="H7" s="371">
        <v>2820</v>
      </c>
      <c r="I7" s="372">
        <v>331</v>
      </c>
      <c r="J7" s="372">
        <v>0</v>
      </c>
    </row>
    <row r="8" spans="1:14">
      <c r="A8" s="125"/>
      <c r="B8" s="27">
        <f>SUM(C8:I8)</f>
        <v>48431613</v>
      </c>
      <c r="C8" s="373">
        <v>15524350</v>
      </c>
      <c r="D8" s="540">
        <v>20140774</v>
      </c>
      <c r="E8" s="373">
        <v>7136938</v>
      </c>
      <c r="F8" s="373">
        <v>2315233</v>
      </c>
      <c r="G8" s="373">
        <v>448161</v>
      </c>
      <c r="H8" s="373">
        <v>2625567</v>
      </c>
      <c r="I8" s="371">
        <v>240590</v>
      </c>
      <c r="J8" s="371">
        <v>0</v>
      </c>
    </row>
    <row r="9" spans="1:14">
      <c r="A9" s="124">
        <v>2</v>
      </c>
      <c r="B9" s="582">
        <f>SUM(C9:I9)</f>
        <v>69917</v>
      </c>
      <c r="C9" s="583">
        <v>24726</v>
      </c>
      <c r="D9" s="583">
        <v>30681</v>
      </c>
      <c r="E9" s="371">
        <v>8658</v>
      </c>
      <c r="F9" s="371">
        <v>1042</v>
      </c>
      <c r="G9" s="371">
        <v>415</v>
      </c>
      <c r="H9" s="371">
        <v>3931</v>
      </c>
      <c r="I9" s="371">
        <v>464</v>
      </c>
      <c r="J9" s="371">
        <v>0</v>
      </c>
    </row>
    <row r="10" spans="1:14">
      <c r="A10" s="125"/>
      <c r="B10" s="582">
        <f>SUM(C10:I10)</f>
        <v>73872480</v>
      </c>
      <c r="C10" s="584">
        <v>20905621</v>
      </c>
      <c r="D10" s="583">
        <v>33144762</v>
      </c>
      <c r="E10" s="373">
        <v>13215928</v>
      </c>
      <c r="F10" s="373">
        <v>1639978</v>
      </c>
      <c r="G10" s="373">
        <v>355446</v>
      </c>
      <c r="H10" s="373">
        <v>3744249</v>
      </c>
      <c r="I10" s="373">
        <v>866496</v>
      </c>
      <c r="J10" s="373">
        <v>0</v>
      </c>
    </row>
    <row r="11" spans="1:14">
      <c r="A11" s="124">
        <v>3</v>
      </c>
      <c r="B11" s="27"/>
      <c r="C11" s="371"/>
      <c r="D11" s="371"/>
      <c r="E11" s="371"/>
      <c r="F11" s="371"/>
      <c r="G11" s="371"/>
      <c r="H11" s="371"/>
      <c r="I11" s="371"/>
      <c r="J11" s="371"/>
    </row>
    <row r="12" spans="1:14">
      <c r="A12" s="125"/>
      <c r="B12" s="27"/>
      <c r="C12" s="373"/>
      <c r="D12" s="373"/>
      <c r="E12" s="373"/>
      <c r="F12" s="373"/>
      <c r="G12" s="373"/>
      <c r="H12" s="373"/>
      <c r="I12" s="373"/>
      <c r="J12" s="373"/>
      <c r="L12" s="479"/>
    </row>
    <row r="13" spans="1:14">
      <c r="A13" s="124">
        <v>4</v>
      </c>
      <c r="B13" s="27"/>
      <c r="C13" s="372"/>
      <c r="D13" s="372"/>
      <c r="E13" s="372"/>
      <c r="F13" s="372"/>
      <c r="G13" s="372"/>
      <c r="H13" s="372"/>
      <c r="I13" s="372"/>
      <c r="J13" s="373"/>
    </row>
    <row r="14" spans="1:14">
      <c r="A14" s="125"/>
      <c r="B14" s="27"/>
      <c r="C14" s="371"/>
      <c r="D14" s="371"/>
      <c r="E14" s="371"/>
      <c r="F14" s="371"/>
      <c r="G14" s="371"/>
      <c r="H14" s="371"/>
      <c r="I14" s="371"/>
      <c r="J14" s="373"/>
    </row>
    <row r="15" spans="1:14">
      <c r="A15" s="126">
        <v>5</v>
      </c>
      <c r="B15" s="27"/>
      <c r="C15" s="371"/>
      <c r="D15" s="371"/>
      <c r="E15" s="371"/>
      <c r="F15" s="371"/>
      <c r="G15" s="371"/>
      <c r="H15" s="371"/>
      <c r="I15" s="371"/>
      <c r="J15" s="371"/>
    </row>
    <row r="16" spans="1:14">
      <c r="A16" s="126"/>
      <c r="B16" s="27"/>
      <c r="C16" s="371"/>
      <c r="D16" s="371"/>
      <c r="E16" s="371"/>
      <c r="F16" s="371"/>
      <c r="G16" s="371"/>
      <c r="H16" s="371"/>
      <c r="I16" s="371"/>
      <c r="J16" s="371"/>
    </row>
    <row r="17" spans="1:10">
      <c r="A17" s="124">
        <v>6</v>
      </c>
      <c r="B17" s="27"/>
      <c r="C17" s="371"/>
      <c r="D17" s="371"/>
      <c r="E17" s="371"/>
      <c r="F17" s="371"/>
      <c r="G17" s="371"/>
      <c r="H17" s="371"/>
      <c r="I17" s="371"/>
      <c r="J17" s="371"/>
    </row>
    <row r="18" spans="1:10">
      <c r="A18" s="125"/>
      <c r="B18" s="27"/>
      <c r="C18" s="371"/>
      <c r="D18" s="371"/>
      <c r="E18" s="371"/>
      <c r="F18" s="371"/>
      <c r="G18" s="371"/>
      <c r="H18" s="371"/>
      <c r="I18" s="371"/>
      <c r="J18" s="371"/>
    </row>
    <row r="19" spans="1:10">
      <c r="A19" s="124">
        <v>7</v>
      </c>
      <c r="B19" s="27"/>
      <c r="C19" s="371"/>
      <c r="D19" s="371"/>
      <c r="E19" s="371"/>
      <c r="F19" s="371"/>
      <c r="G19" s="371"/>
      <c r="H19" s="371"/>
      <c r="I19" s="371"/>
      <c r="J19" s="371"/>
    </row>
    <row r="20" spans="1:10">
      <c r="A20" s="125"/>
      <c r="B20" s="27"/>
      <c r="C20" s="371"/>
      <c r="D20" s="371"/>
      <c r="E20" s="371"/>
      <c r="F20" s="371"/>
      <c r="G20" s="371"/>
      <c r="H20" s="371"/>
      <c r="I20" s="371"/>
      <c r="J20" s="371"/>
    </row>
    <row r="21" spans="1:10">
      <c r="A21" s="124">
        <v>8</v>
      </c>
      <c r="B21" s="27"/>
      <c r="C21" s="371"/>
      <c r="D21" s="371"/>
      <c r="E21" s="371"/>
      <c r="F21" s="371"/>
      <c r="G21" s="371"/>
      <c r="H21" s="371"/>
      <c r="I21" s="371"/>
      <c r="J21" s="371"/>
    </row>
    <row r="22" spans="1:10">
      <c r="A22" s="125"/>
      <c r="B22" s="27"/>
      <c r="C22" s="371"/>
      <c r="D22" s="371"/>
      <c r="E22" s="371"/>
      <c r="F22" s="371"/>
      <c r="G22" s="371"/>
      <c r="H22" s="371"/>
      <c r="I22" s="371"/>
      <c r="J22" s="371"/>
    </row>
    <row r="23" spans="1:10">
      <c r="A23" s="124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5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4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5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4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5"/>
      <c r="B28" s="27"/>
      <c r="C28" s="27"/>
      <c r="D28" s="27"/>
      <c r="E28" s="27"/>
      <c r="F28" s="27"/>
      <c r="G28" s="27"/>
      <c r="H28" s="27"/>
      <c r="I28" s="508"/>
      <c r="J28" s="27"/>
    </row>
    <row r="29" spans="1:10">
      <c r="A29" s="124">
        <v>12</v>
      </c>
      <c r="B29" s="27"/>
      <c r="C29" s="27"/>
      <c r="D29" s="27"/>
      <c r="E29" s="27"/>
      <c r="F29" s="27"/>
      <c r="G29" s="27"/>
      <c r="H29" s="27"/>
      <c r="I29" s="509"/>
      <c r="J29" s="27"/>
    </row>
    <row r="30" spans="1:10">
      <c r="A30" s="125"/>
      <c r="B30" s="27"/>
      <c r="C30" s="27"/>
      <c r="D30" s="27"/>
      <c r="E30" s="27"/>
      <c r="F30" s="27"/>
      <c r="G30" s="27"/>
      <c r="H30" s="27"/>
      <c r="I30" s="209"/>
      <c r="J30" s="27">
        <v>0</v>
      </c>
    </row>
    <row r="31" spans="1:10" s="113" customFormat="1">
      <c r="A31" s="580" t="s">
        <v>49</v>
      </c>
      <c r="B31" s="570">
        <f>SUM(B7,B9,B11,B13,B15,B17,B19,B21,B23,B25,B27,B29)</f>
        <v>122337</v>
      </c>
      <c r="C31" s="33">
        <f>SUM(C7+C9+C11+C13+C15+C17+C19+C21+C23+C25+C27+C29)</f>
        <v>47354</v>
      </c>
      <c r="D31" s="570">
        <f t="shared" ref="D31:J31" si="0">SUM(D7+D9+D11+D13+D15+D17+D19+D21+D23+D25+D27+D29)</f>
        <v>50053</v>
      </c>
      <c r="E31" s="33">
        <f t="shared" si="0"/>
        <v>14053</v>
      </c>
      <c r="F31" s="33">
        <f t="shared" si="0"/>
        <v>2350</v>
      </c>
      <c r="G31" s="33">
        <f t="shared" si="0"/>
        <v>981</v>
      </c>
      <c r="H31" s="33">
        <f t="shared" si="0"/>
        <v>6751</v>
      </c>
      <c r="I31" s="33">
        <f t="shared" si="0"/>
        <v>795</v>
      </c>
      <c r="J31" s="33">
        <f t="shared" si="0"/>
        <v>0</v>
      </c>
    </row>
    <row r="32" spans="1:10" s="113" customFormat="1">
      <c r="A32" s="577"/>
      <c r="B32" s="570">
        <f>SUM(B8,B10,B12,B14,B16,B18,B20,B22,B24,B26,B28,B30)</f>
        <v>122304093</v>
      </c>
      <c r="C32" s="33">
        <f t="shared" ref="C32:J32" si="1">SUM(C8,C10,C12,C14,C16,C18,C20,C22,C24,C26,C28,C30)</f>
        <v>36429971</v>
      </c>
      <c r="D32" s="570">
        <f t="shared" si="1"/>
        <v>53285536</v>
      </c>
      <c r="E32" s="33">
        <f t="shared" si="1"/>
        <v>20352866</v>
      </c>
      <c r="F32" s="33">
        <f t="shared" si="1"/>
        <v>3955211</v>
      </c>
      <c r="G32" s="33">
        <f t="shared" si="1"/>
        <v>803607</v>
      </c>
      <c r="H32" s="33">
        <f t="shared" si="1"/>
        <v>6369816</v>
      </c>
      <c r="I32" s="33">
        <f t="shared" si="1"/>
        <v>1107086</v>
      </c>
      <c r="J32" s="33">
        <f t="shared" si="1"/>
        <v>0</v>
      </c>
    </row>
    <row r="33" spans="1:10" s="113" customFormat="1">
      <c r="A33" s="488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45" t="s">
        <v>463</v>
      </c>
    </row>
    <row r="35" spans="1:10">
      <c r="D35" s="479"/>
      <c r="E35" s="479"/>
      <c r="F35" s="479"/>
      <c r="G35" s="479"/>
      <c r="H35" s="479"/>
    </row>
    <row r="36" spans="1:10">
      <c r="D36" s="479"/>
      <c r="E36" s="479"/>
      <c r="F36" s="479"/>
      <c r="G36" s="479"/>
      <c r="H36" s="479"/>
    </row>
    <row r="37" spans="1:10">
      <c r="D37" s="479"/>
      <c r="F37" s="479"/>
      <c r="G37" s="479"/>
    </row>
    <row r="38" spans="1:10">
      <c r="D38" s="479"/>
      <c r="E38" s="479"/>
      <c r="G38" s="479"/>
      <c r="H38" s="479"/>
    </row>
    <row r="39" spans="1:10">
      <c r="F39" s="479"/>
      <c r="G39" s="479"/>
      <c r="H39" s="479"/>
    </row>
    <row r="40" spans="1:10">
      <c r="F40" s="479"/>
      <c r="G40" s="479"/>
      <c r="H40" s="479"/>
    </row>
    <row r="41" spans="1:10">
      <c r="G41" s="479"/>
      <c r="H41" s="479"/>
    </row>
    <row r="42" spans="1:10">
      <c r="G42" s="479"/>
      <c r="H42" s="479"/>
    </row>
    <row r="43" spans="1:10">
      <c r="G43" s="479"/>
      <c r="H43" s="479"/>
    </row>
    <row r="44" spans="1:10">
      <c r="G44" s="479"/>
      <c r="H44" s="479"/>
    </row>
    <row r="45" spans="1:10">
      <c r="G45" s="479"/>
      <c r="H45" s="479"/>
    </row>
    <row r="46" spans="1:10">
      <c r="G46" s="479"/>
      <c r="H46" s="479"/>
    </row>
    <row r="47" spans="1:10">
      <c r="G47" s="479"/>
    </row>
    <row r="48" spans="1:10">
      <c r="G48" s="479"/>
      <c r="H48" s="479"/>
    </row>
    <row r="49" spans="7:8">
      <c r="G49" s="479"/>
    </row>
    <row r="50" spans="7:8">
      <c r="G50" s="479"/>
    </row>
    <row r="51" spans="7:8">
      <c r="G51" s="479"/>
    </row>
    <row r="52" spans="7:8">
      <c r="G52" s="479"/>
    </row>
    <row r="53" spans="7:8">
      <c r="G53" s="479"/>
    </row>
    <row r="54" spans="7:8">
      <c r="G54" s="479"/>
    </row>
    <row r="55" spans="7:8">
      <c r="G55" s="479"/>
    </row>
    <row r="56" spans="7:8">
      <c r="G56" s="479"/>
    </row>
    <row r="57" spans="7:8">
      <c r="G57" s="479"/>
    </row>
    <row r="58" spans="7:8">
      <c r="G58" s="479"/>
    </row>
    <row r="59" spans="7:8">
      <c r="G59" s="479"/>
    </row>
    <row r="60" spans="7:8">
      <c r="G60" s="479"/>
    </row>
    <row r="62" spans="7:8">
      <c r="G62" s="479"/>
      <c r="H62" s="479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81" t="s">
        <v>496</v>
      </c>
      <c r="B1" s="581"/>
      <c r="C1" s="581"/>
      <c r="D1" s="581"/>
      <c r="E1" s="581"/>
      <c r="F1" s="581"/>
      <c r="G1" s="581"/>
      <c r="H1" s="581"/>
      <c r="I1" s="581"/>
    </row>
    <row r="2" spans="1:9" ht="12" customHeight="1"/>
    <row r="3" spans="1:9">
      <c r="A3" s="531" t="s">
        <v>104</v>
      </c>
      <c r="B3" s="62"/>
      <c r="C3" s="62"/>
      <c r="D3" s="168"/>
      <c r="E3" s="62"/>
      <c r="F3" s="62"/>
      <c r="G3" s="62"/>
      <c r="H3" s="62"/>
      <c r="I3" s="168"/>
    </row>
    <row r="4" spans="1:9">
      <c r="A4" s="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69" t="s">
        <v>53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54</v>
      </c>
      <c r="H5" s="8"/>
      <c r="I5" s="12" t="s">
        <v>3</v>
      </c>
    </row>
    <row r="6" spans="1:9">
      <c r="A6" s="170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0</v>
      </c>
      <c r="C7" s="22">
        <f>SUM(C8:C10)</f>
        <v>0</v>
      </c>
      <c r="D7" s="23">
        <f>IF(B7,C7/B7,0)</f>
        <v>0</v>
      </c>
      <c r="E7" s="22">
        <f>SUM(E8:E10)</f>
        <v>1</v>
      </c>
      <c r="F7" s="22">
        <f>SUM(F8:F10)</f>
        <v>122</v>
      </c>
      <c r="G7" s="207">
        <v>122</v>
      </c>
      <c r="H7" s="24">
        <f>G7/$G$66</f>
        <v>2.1606775459732851E-5</v>
      </c>
      <c r="I7" s="25">
        <f>IF(E7,G7/E7,0)</f>
        <v>122</v>
      </c>
    </row>
    <row r="8" spans="1:9">
      <c r="A8" s="26" t="s">
        <v>386</v>
      </c>
      <c r="B8" s="27">
        <v>0</v>
      </c>
      <c r="C8" s="28">
        <v>0</v>
      </c>
      <c r="D8" s="23">
        <f t="shared" ref="D8:D65" si="0">IF(B8,C8/B8,0)</f>
        <v>0</v>
      </c>
      <c r="E8" s="28">
        <f>VLOOKUP(A8,[6]進出口值表查詢結果!$A$10:$C$24,3,0)</f>
        <v>1</v>
      </c>
      <c r="F8" s="24">
        <v>122</v>
      </c>
      <c r="G8" s="28">
        <f>VLOOKUP(A8,[6]進出口值表查詢結果!$A$10:$C$24,2,0)</f>
        <v>122</v>
      </c>
      <c r="H8" s="24">
        <f>G8/$G$66</f>
        <v>2.1606775459732851E-5</v>
      </c>
      <c r="I8" s="25">
        <f t="shared" ref="I8:I65" si="1">IF(E8,G8/E8,0)</f>
        <v>122</v>
      </c>
    </row>
    <row r="9" spans="1:9">
      <c r="A9" s="30" t="s">
        <v>6</v>
      </c>
      <c r="B9" s="27">
        <v>0</v>
      </c>
      <c r="C9" s="28">
        <v>0</v>
      </c>
      <c r="D9" s="23">
        <f t="shared" si="0"/>
        <v>0</v>
      </c>
      <c r="E9" s="28">
        <v>0</v>
      </c>
      <c r="F9" s="24"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7</v>
      </c>
      <c r="B10" s="27">
        <v>0</v>
      </c>
      <c r="C10" s="28">
        <v>0</v>
      </c>
      <c r="D10" s="23">
        <f t="shared" si="0"/>
        <v>0</v>
      </c>
      <c r="E10" s="28">
        <v>0</v>
      </c>
      <c r="F10" s="24"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34</v>
      </c>
      <c r="C12" s="33">
        <f>SUM(C13:C39)</f>
        <v>168447</v>
      </c>
      <c r="D12" s="23">
        <f t="shared" si="0"/>
        <v>4954.3235294117649</v>
      </c>
      <c r="E12" s="33">
        <f>SUM(E13:E39)</f>
        <v>39</v>
      </c>
      <c r="F12" s="33">
        <f t="shared" ref="F12:G12" si="2">SUM(F13:F39)</f>
        <v>17087</v>
      </c>
      <c r="G12" s="585">
        <f t="shared" si="2"/>
        <v>185534</v>
      </c>
      <c r="H12" s="586">
        <f t="shared" ref="H12:H39" si="3">G12/$G$66</f>
        <v>3.2858946542180939E-2</v>
      </c>
      <c r="I12" s="25">
        <f t="shared" si="1"/>
        <v>4757.2820512820517</v>
      </c>
    </row>
    <row r="13" spans="1:9">
      <c r="A13" s="445" t="s">
        <v>197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0</v>
      </c>
      <c r="G13" s="28">
        <v>0</v>
      </c>
      <c r="H13" s="24">
        <f t="shared" si="3"/>
        <v>0</v>
      </c>
      <c r="I13" s="25">
        <f t="shared" si="1"/>
        <v>0</v>
      </c>
    </row>
    <row r="14" spans="1:9">
      <c r="A14" s="445" t="s">
        <v>198</v>
      </c>
      <c r="B14" s="27">
        <f>VLOOKUP(A14,[7]進出口值表查詢結果!$A$3:$C$15,3,0)</f>
        <v>5</v>
      </c>
      <c r="C14" s="28">
        <f>VLOOKUP(A14,[7]進出口值表查詢結果!$A$3:$C$15,2,0)</f>
        <v>29753</v>
      </c>
      <c r="D14" s="23">
        <f>IF(B14,C14/B14,0)</f>
        <v>5950.6</v>
      </c>
      <c r="E14" s="28">
        <f>VLOOKUP(A14,[6]進出口值表查詢結果!$A$10:$C$24,3,0)</f>
        <v>8</v>
      </c>
      <c r="F14" s="24">
        <v>16874</v>
      </c>
      <c r="G14" s="28">
        <f>VLOOKUP(A14,[6]進出口值表查詢結果!$A$10:$C$24,2,0)</f>
        <v>46627</v>
      </c>
      <c r="H14" s="24">
        <f t="shared" si="3"/>
        <v>8.2578616341062588E-3</v>
      </c>
      <c r="I14" s="25">
        <f t="shared" si="1"/>
        <v>5828.375</v>
      </c>
    </row>
    <row r="15" spans="1:9">
      <c r="A15" s="446" t="s">
        <v>9</v>
      </c>
      <c r="B15" s="27">
        <f>VLOOKUP(A15,[7]進出口值表查詢結果!$A$3:$C$15,3,0)</f>
        <v>11</v>
      </c>
      <c r="C15" s="28">
        <f>VLOOKUP(A15,[7]進出口值表查詢結果!$A$3:$C$15,2,0)</f>
        <v>17119</v>
      </c>
      <c r="D15" s="23">
        <f t="shared" si="0"/>
        <v>1556.2727272727273</v>
      </c>
      <c r="E15" s="28">
        <f>VLOOKUP(A15,[6]進出口值表查詢結果!$A$10:$C$24,3,0)</f>
        <v>11</v>
      </c>
      <c r="F15" s="24">
        <v>0</v>
      </c>
      <c r="G15" s="28">
        <f>VLOOKUP(A15,[6]進出口值表查詢結果!$A$10:$C$24,2,0)</f>
        <v>17119</v>
      </c>
      <c r="H15" s="24">
        <f t="shared" si="3"/>
        <v>3.0318556483210383E-3</v>
      </c>
      <c r="I15" s="25">
        <f t="shared" si="1"/>
        <v>1556.2727272727273</v>
      </c>
    </row>
    <row r="16" spans="1:9">
      <c r="A16" s="445" t="s">
        <v>199</v>
      </c>
      <c r="B16" s="27">
        <v>0</v>
      </c>
      <c r="C16" s="28">
        <v>0</v>
      </c>
      <c r="D16" s="23">
        <f t="shared" si="0"/>
        <v>0</v>
      </c>
      <c r="E16" s="28">
        <f>VLOOKUP(A16,[6]進出口值表查詢結果!$A$10:$C$24,3,0)</f>
        <v>1</v>
      </c>
      <c r="F16" s="24">
        <v>91</v>
      </c>
      <c r="G16" s="28">
        <f>VLOOKUP(A16,[6]進出口值表查詢結果!$A$10:$C$24,2,0)</f>
        <v>91</v>
      </c>
      <c r="H16" s="24">
        <f t="shared" si="3"/>
        <v>1.611652923635811E-5</v>
      </c>
      <c r="I16" s="25">
        <f t="shared" si="1"/>
        <v>91</v>
      </c>
    </row>
    <row r="17" spans="1:9">
      <c r="A17" s="446" t="s">
        <v>10</v>
      </c>
      <c r="B17" s="27">
        <f>VLOOKUP(A17,[7]進出口值表查詢結果!$A$3:$C$15,3,0)</f>
        <v>18</v>
      </c>
      <c r="C17" s="28">
        <f>VLOOKUP(A17,[7]進出口值表查詢結果!$A$3:$C$15,2,0)</f>
        <v>121575</v>
      </c>
      <c r="D17" s="23">
        <f t="shared" si="0"/>
        <v>6754.166666666667</v>
      </c>
      <c r="E17" s="28">
        <f>VLOOKUP(A17,[6]進出口值表查詢結果!$A$10:$C$24,3,0)</f>
        <v>19</v>
      </c>
      <c r="F17" s="24">
        <v>122</v>
      </c>
      <c r="G17" s="28">
        <f>VLOOKUP(A17,[6]進出口值表查詢結果!$A$10:$C$24,2,0)</f>
        <v>121697</v>
      </c>
      <c r="H17" s="24">
        <f t="shared" si="3"/>
        <v>2.1553112730517285E-2</v>
      </c>
      <c r="I17" s="25">
        <f t="shared" si="1"/>
        <v>6405.105263157895</v>
      </c>
    </row>
    <row r="18" spans="1:9">
      <c r="A18" s="446" t="s">
        <v>11</v>
      </c>
      <c r="B18" s="27">
        <v>0</v>
      </c>
      <c r="C18" s="27">
        <f>_xlfn.IFNA(VLOOKUP(A18,[8]進!$C$3:$F$550,3,0),-[4]整車!$B$22)</f>
        <v>0</v>
      </c>
      <c r="D18" s="23">
        <f t="shared" si="0"/>
        <v>0</v>
      </c>
      <c r="E18" s="28">
        <v>0</v>
      </c>
      <c r="F18" s="24">
        <v>0</v>
      </c>
      <c r="G18" s="28">
        <v>0</v>
      </c>
      <c r="H18" s="24">
        <f t="shared" si="3"/>
        <v>0</v>
      </c>
      <c r="I18" s="25">
        <f t="shared" si="1"/>
        <v>0</v>
      </c>
    </row>
    <row r="19" spans="1:9">
      <c r="A19" s="445" t="s">
        <v>200</v>
      </c>
      <c r="B19" s="27">
        <v>0</v>
      </c>
      <c r="C19" s="27">
        <f>_xlfn.IFNA(VLOOKUP(A19,[8]進!$C$3:$F$550,3,0),-[4]整車!$B$22)</f>
        <v>0</v>
      </c>
      <c r="D19" s="23">
        <f t="shared" si="0"/>
        <v>0</v>
      </c>
      <c r="E19" s="28">
        <v>0</v>
      </c>
      <c r="F19" s="24">
        <v>0</v>
      </c>
      <c r="G19" s="28">
        <v>0</v>
      </c>
      <c r="H19" s="24">
        <f t="shared" si="3"/>
        <v>0</v>
      </c>
      <c r="I19" s="25">
        <f t="shared" si="1"/>
        <v>0</v>
      </c>
    </row>
    <row r="20" spans="1:9">
      <c r="A20" s="446" t="s">
        <v>201</v>
      </c>
      <c r="B20" s="27">
        <v>0</v>
      </c>
      <c r="C20" s="27">
        <f>_xlfn.IFNA(VLOOKUP(A20,[8]進!$C$3:$F$550,3,0),-[4]整車!$B$22)</f>
        <v>0</v>
      </c>
      <c r="D20" s="23">
        <f t="shared" si="0"/>
        <v>0</v>
      </c>
      <c r="E20" s="28">
        <v>0</v>
      </c>
      <c r="F20" s="24">
        <v>0</v>
      </c>
      <c r="G20" s="28">
        <v>0</v>
      </c>
      <c r="H20" s="24">
        <f t="shared" si="3"/>
        <v>0</v>
      </c>
      <c r="I20" s="25">
        <f t="shared" si="1"/>
        <v>0</v>
      </c>
    </row>
    <row r="21" spans="1:9">
      <c r="A21" s="445" t="s">
        <v>202</v>
      </c>
      <c r="B21" s="27">
        <v>0</v>
      </c>
      <c r="C21" s="27">
        <f>_xlfn.IFNA(VLOOKUP(A21,[8]進!$C$3:$F$550,3,0),-[4]整車!$B$22)</f>
        <v>0</v>
      </c>
      <c r="D21" s="23">
        <f t="shared" si="0"/>
        <v>0</v>
      </c>
      <c r="E21" s="28">
        <v>0</v>
      </c>
      <c r="F21" s="24"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46" t="s">
        <v>13</v>
      </c>
      <c r="B22" s="27">
        <v>0</v>
      </c>
      <c r="C22" s="27">
        <f>_xlfn.IFNA(VLOOKUP(A22,[8]進!$C$3:$F$550,3,0),-[4]整車!$B$22)</f>
        <v>0</v>
      </c>
      <c r="D22" s="23">
        <f t="shared" si="0"/>
        <v>0</v>
      </c>
      <c r="E22" s="28">
        <v>0</v>
      </c>
      <c r="F22" s="24"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46" t="s">
        <v>14</v>
      </c>
      <c r="B23" s="27">
        <v>0</v>
      </c>
      <c r="C23" s="27">
        <f>_xlfn.IFNA(VLOOKUP(A23,[8]進!$C$3:$F$550,3,0),-[4]整車!$B$22)</f>
        <v>0</v>
      </c>
      <c r="D23" s="23">
        <f t="shared" si="0"/>
        <v>0</v>
      </c>
      <c r="E23" s="28">
        <v>0</v>
      </c>
      <c r="F23" s="24"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46" t="s">
        <v>15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v>0</v>
      </c>
      <c r="G24" s="28">
        <v>0</v>
      </c>
      <c r="H24" s="24">
        <f t="shared" si="3"/>
        <v>0</v>
      </c>
      <c r="I24" s="25">
        <f t="shared" si="1"/>
        <v>0</v>
      </c>
    </row>
    <row r="25" spans="1:9">
      <c r="A25" s="445" t="s">
        <v>203</v>
      </c>
      <c r="B25" s="27">
        <v>0</v>
      </c>
      <c r="C25" s="27">
        <f>_xlfn.IFNA(VLOOKUP(A25,[8]進!$C$3:$F$550,3,0),-[4]整車!$B$22)</f>
        <v>0</v>
      </c>
      <c r="D25" s="23">
        <f t="shared" si="0"/>
        <v>0</v>
      </c>
      <c r="E25" s="28">
        <v>0</v>
      </c>
      <c r="F25" s="24"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45" t="s">
        <v>204</v>
      </c>
      <c r="B26" s="27">
        <v>0</v>
      </c>
      <c r="C26" s="27">
        <f>_xlfn.IFNA(VLOOKUP(A26,[8]進!$C$3:$F$550,3,0),-[4]整車!$B$22)</f>
        <v>0</v>
      </c>
      <c r="D26" s="23">
        <f t="shared" si="0"/>
        <v>0</v>
      </c>
      <c r="E26" s="28">
        <v>0</v>
      </c>
      <c r="F26" s="24"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47" t="s">
        <v>205</v>
      </c>
      <c r="B27" s="27">
        <v>0</v>
      </c>
      <c r="C27" s="27">
        <f>_xlfn.IFNA(VLOOKUP(A27,[8]進!$C$3:$F$550,3,0),-[4]整車!$B$22)</f>
        <v>0</v>
      </c>
      <c r="D27" s="23">
        <f t="shared" si="0"/>
        <v>0</v>
      </c>
      <c r="E27" s="28">
        <v>0</v>
      </c>
      <c r="F27" s="24"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47" t="s">
        <v>206</v>
      </c>
      <c r="B28" s="27">
        <v>0</v>
      </c>
      <c r="C28" s="27">
        <f>_xlfn.IFNA(VLOOKUP(A28,[8]進!$C$3:$F$550,3,0),-[4]整車!$B$22)</f>
        <v>0</v>
      </c>
      <c r="D28" s="23">
        <f t="shared" si="0"/>
        <v>0</v>
      </c>
      <c r="E28" s="28">
        <v>0</v>
      </c>
      <c r="F28" s="24">
        <v>0</v>
      </c>
      <c r="G28" s="28">
        <v>0</v>
      </c>
      <c r="H28" s="24">
        <f t="shared" si="3"/>
        <v>0</v>
      </c>
      <c r="I28" s="25">
        <f t="shared" si="1"/>
        <v>0</v>
      </c>
    </row>
    <row r="29" spans="1:9">
      <c r="A29" s="446" t="s">
        <v>207</v>
      </c>
      <c r="B29" s="27">
        <v>0</v>
      </c>
      <c r="C29" s="27">
        <f>_xlfn.IFNA(VLOOKUP(A29,[8]進!$C$3:$F$550,3,0),-[4]整車!$B$22)</f>
        <v>0</v>
      </c>
      <c r="D29" s="23">
        <f t="shared" si="0"/>
        <v>0</v>
      </c>
      <c r="E29" s="28">
        <v>0</v>
      </c>
      <c r="F29" s="24"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46" t="s">
        <v>208</v>
      </c>
      <c r="B30" s="27">
        <v>0</v>
      </c>
      <c r="C30" s="27">
        <f>_xlfn.IFNA(VLOOKUP(A30,[8]進!$C$3:$F$550,3,0),-[4]整車!$B$22)</f>
        <v>0</v>
      </c>
      <c r="D30" s="23">
        <f t="shared" si="0"/>
        <v>0</v>
      </c>
      <c r="E30" s="28">
        <v>0</v>
      </c>
      <c r="F30" s="24">
        <v>0</v>
      </c>
      <c r="G30" s="28">
        <v>0</v>
      </c>
      <c r="H30" s="24">
        <f t="shared" si="3"/>
        <v>0</v>
      </c>
      <c r="I30" s="25">
        <f t="shared" si="1"/>
        <v>0</v>
      </c>
    </row>
    <row r="31" spans="1:9">
      <c r="A31" s="446" t="s">
        <v>16</v>
      </c>
      <c r="B31" s="27">
        <v>0</v>
      </c>
      <c r="C31" s="27">
        <f>_xlfn.IFNA(VLOOKUP(A31,[8]進!$C$3:$F$550,3,0),-[4]整車!$B$22)</f>
        <v>0</v>
      </c>
      <c r="D31" s="23">
        <f t="shared" si="0"/>
        <v>0</v>
      </c>
      <c r="E31" s="28">
        <v>0</v>
      </c>
      <c r="F31" s="24">
        <v>0</v>
      </c>
      <c r="G31" s="28">
        <v>0</v>
      </c>
      <c r="H31" s="24">
        <f t="shared" si="3"/>
        <v>0</v>
      </c>
      <c r="I31" s="25">
        <f t="shared" si="1"/>
        <v>0</v>
      </c>
    </row>
    <row r="32" spans="1:9">
      <c r="A32" s="446" t="s">
        <v>17</v>
      </c>
      <c r="B32" s="27">
        <v>0</v>
      </c>
      <c r="C32" s="27">
        <v>0</v>
      </c>
      <c r="D32" s="23">
        <f t="shared" si="0"/>
        <v>0</v>
      </c>
      <c r="E32" s="28">
        <v>0</v>
      </c>
      <c r="F32" s="24">
        <v>0</v>
      </c>
      <c r="G32" s="28">
        <v>0</v>
      </c>
      <c r="H32" s="24">
        <f t="shared" si="3"/>
        <v>0</v>
      </c>
      <c r="I32" s="25">
        <f t="shared" si="1"/>
        <v>0</v>
      </c>
    </row>
    <row r="33" spans="1:9">
      <c r="A33" s="446" t="s">
        <v>209</v>
      </c>
      <c r="B33" s="27">
        <v>0</v>
      </c>
      <c r="C33" s="27">
        <f>_xlfn.IFNA(VLOOKUP(A33,[8]進!$C$3:$F$550,3,0),-[4]整車!$B$22)</f>
        <v>0</v>
      </c>
      <c r="D33" s="23">
        <f t="shared" si="0"/>
        <v>0</v>
      </c>
      <c r="E33" s="28">
        <v>0</v>
      </c>
      <c r="F33" s="24">
        <v>0</v>
      </c>
      <c r="G33" s="28">
        <v>0</v>
      </c>
      <c r="H33" s="24">
        <f t="shared" si="3"/>
        <v>0</v>
      </c>
      <c r="I33" s="25">
        <f t="shared" si="1"/>
        <v>0</v>
      </c>
    </row>
    <row r="34" spans="1:9">
      <c r="A34" s="446" t="s">
        <v>210</v>
      </c>
      <c r="B34" s="27">
        <v>0</v>
      </c>
      <c r="C34" s="27">
        <f>_xlfn.IFNA(VLOOKUP(A34,[8]進!$C$3:$F$550,3,0),-[4]整車!$B$22)</f>
        <v>0</v>
      </c>
      <c r="D34" s="23">
        <f t="shared" si="0"/>
        <v>0</v>
      </c>
      <c r="E34" s="28">
        <v>0</v>
      </c>
      <c r="F34" s="24">
        <v>0</v>
      </c>
      <c r="G34" s="28">
        <v>0</v>
      </c>
      <c r="H34" s="24">
        <f t="shared" si="3"/>
        <v>0</v>
      </c>
      <c r="I34" s="25">
        <f t="shared" si="1"/>
        <v>0</v>
      </c>
    </row>
    <row r="35" spans="1:9">
      <c r="A35" s="446" t="s">
        <v>211</v>
      </c>
      <c r="B35" s="27">
        <v>0</v>
      </c>
      <c r="C35" s="27">
        <f>_xlfn.IFNA(VLOOKUP(A35,[8]進!$C$3:$F$550,3,0),-[4]整車!$B$22)</f>
        <v>0</v>
      </c>
      <c r="D35" s="23">
        <f t="shared" si="0"/>
        <v>0</v>
      </c>
      <c r="E35" s="28">
        <v>0</v>
      </c>
      <c r="F35" s="24">
        <v>0</v>
      </c>
      <c r="G35" s="28">
        <v>0</v>
      </c>
      <c r="H35" s="24">
        <f t="shared" si="3"/>
        <v>0</v>
      </c>
      <c r="I35" s="25">
        <f t="shared" si="1"/>
        <v>0</v>
      </c>
    </row>
    <row r="36" spans="1:9">
      <c r="A36" s="446" t="s">
        <v>212</v>
      </c>
      <c r="B36" s="27">
        <v>0</v>
      </c>
      <c r="C36" s="27">
        <f>_xlfn.IFNA(VLOOKUP(A36,[8]進!$C$3:$F$550,3,0),-[4]整車!$B$22)</f>
        <v>0</v>
      </c>
      <c r="D36" s="23">
        <f t="shared" si="0"/>
        <v>0</v>
      </c>
      <c r="E36" s="28">
        <v>0</v>
      </c>
      <c r="F36" s="24"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46" t="s">
        <v>213</v>
      </c>
      <c r="B37" s="27">
        <v>0</v>
      </c>
      <c r="C37" s="27">
        <f>_xlfn.IFNA(VLOOKUP(A37,[8]進!$C$3:$F$550,3,0),-[4]整車!$B$22)</f>
        <v>0</v>
      </c>
      <c r="D37" s="23">
        <f t="shared" si="0"/>
        <v>0</v>
      </c>
      <c r="E37" s="28">
        <v>0</v>
      </c>
      <c r="F37" s="24"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46" t="s">
        <v>214</v>
      </c>
      <c r="B38" s="27">
        <v>0</v>
      </c>
      <c r="C38" s="27">
        <f>_xlfn.IFNA(VLOOKUP(A38,[8]進!$C$3:$F$550,3,0),-[4]整車!$B$22)</f>
        <v>0</v>
      </c>
      <c r="D38" s="23">
        <f t="shared" si="0"/>
        <v>0</v>
      </c>
      <c r="E38" s="28">
        <v>0</v>
      </c>
      <c r="F38" s="24"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46" t="s">
        <v>18</v>
      </c>
      <c r="B39" s="27">
        <v>0</v>
      </c>
      <c r="C39" s="27">
        <f>_xlfn.IFNA(VLOOKUP(A39,[8]進!$C$3:$F$550,3,0),-[4]整車!$B$22)</f>
        <v>0</v>
      </c>
      <c r="D39" s="23">
        <f t="shared" si="0"/>
        <v>0</v>
      </c>
      <c r="E39" s="28">
        <v>0</v>
      </c>
      <c r="F39" s="24"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8">
        <v>0</v>
      </c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0</v>
      </c>
      <c r="F41" s="33">
        <f t="shared" ref="F41:G41" si="4">SUM(F42:F45)</f>
        <v>0</v>
      </c>
      <c r="G41" s="33">
        <f t="shared" si="4"/>
        <v>0</v>
      </c>
      <c r="H41" s="24">
        <f>G41/$G$66</f>
        <v>0</v>
      </c>
      <c r="I41" s="25">
        <f t="shared" si="1"/>
        <v>0</v>
      </c>
    </row>
    <row r="42" spans="1:9">
      <c r="A42" s="26" t="s">
        <v>215</v>
      </c>
      <c r="B42" s="27">
        <v>0</v>
      </c>
      <c r="C42" s="27">
        <f>_xlfn.IFNA(VLOOKUP(A42,[8]進!$C$3:$F$50,3,0),-[4]整車!$B$22)</f>
        <v>0</v>
      </c>
      <c r="D42" s="23">
        <f t="shared" si="0"/>
        <v>0</v>
      </c>
      <c r="E42" s="28">
        <v>0</v>
      </c>
      <c r="F42" s="24">
        <v>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216</v>
      </c>
      <c r="B43" s="27">
        <v>0</v>
      </c>
      <c r="C43" s="27">
        <f>_xlfn.IFNA(VLOOKUP(A43,[8]進!$C$3:$F$50,3,0),-[4]整車!$B$22)</f>
        <v>0</v>
      </c>
      <c r="D43" s="23">
        <f t="shared" si="0"/>
        <v>0</v>
      </c>
      <c r="E43" s="28">
        <v>0</v>
      </c>
      <c r="F43" s="24"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217</v>
      </c>
      <c r="B44" s="27">
        <v>0</v>
      </c>
      <c r="C44" s="27">
        <f>_xlfn.IFNA(VLOOKUP(A44,[8]進!$C$3:$F$50,3,0),-[4]整車!$B$22)</f>
        <v>0</v>
      </c>
      <c r="D44" s="23">
        <f t="shared" si="0"/>
        <v>0</v>
      </c>
      <c r="E44" s="28">
        <v>0</v>
      </c>
      <c r="F44" s="24"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20</v>
      </c>
      <c r="B45" s="27">
        <v>0</v>
      </c>
      <c r="C45" s="27">
        <f>_xlfn.IFNA(VLOOKUP(A45,[8]進!$C$3:$F$50,3,0),-[4]整車!$B$22)</f>
        <v>0</v>
      </c>
      <c r="D45" s="23">
        <f t="shared" si="0"/>
        <v>0</v>
      </c>
      <c r="E45" s="28">
        <v>0</v>
      </c>
      <c r="F45" s="24"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11701</v>
      </c>
      <c r="C47" s="33">
        <f>SUM(C48:C64)</f>
        <v>2450663</v>
      </c>
      <c r="D47" s="23">
        <f t="shared" si="0"/>
        <v>209.44047517306214</v>
      </c>
      <c r="E47" s="33">
        <f>SUM(E48:E64)</f>
        <v>31510</v>
      </c>
      <c r="F47" s="33">
        <f t="shared" ref="F47:G47" si="5">SUM(F48:F64)</f>
        <v>2989828</v>
      </c>
      <c r="G47" s="33">
        <f t="shared" si="5"/>
        <v>5440491</v>
      </c>
      <c r="H47" s="24">
        <f t="shared" ref="H47:H66" si="6">G47/$G$66</f>
        <v>0.96353661825981507</v>
      </c>
      <c r="I47" s="25">
        <f t="shared" si="1"/>
        <v>172.65918755950491</v>
      </c>
    </row>
    <row r="48" spans="1:9" ht="16.899999999999999" customHeight="1">
      <c r="A48" s="477" t="s">
        <v>158</v>
      </c>
      <c r="B48" s="27">
        <f>VLOOKUP(A48,[7]進出口值表查詢結果!$A$3:$C$15,3,0)</f>
        <v>112</v>
      </c>
      <c r="C48" s="28">
        <f>VLOOKUP(A48,[7]進出口值表查詢結果!$A$3:$C$15,2,0)</f>
        <v>158224</v>
      </c>
      <c r="D48" s="23">
        <f t="shared" si="0"/>
        <v>1412.7142857142858</v>
      </c>
      <c r="E48" s="28">
        <f>VLOOKUP(A48,[6]進出口值表查詢結果!$A$10:$C$24,3,0)</f>
        <v>176</v>
      </c>
      <c r="F48" s="24">
        <v>127759</v>
      </c>
      <c r="G48" s="28">
        <f>VLOOKUP(A48,[6]進出口值表查詢結果!$A$10:$C$24,2,0)</f>
        <v>285983</v>
      </c>
      <c r="H48" s="24">
        <f t="shared" si="6"/>
        <v>5.0648938248367054E-2</v>
      </c>
      <c r="I48" s="25">
        <f t="shared" si="1"/>
        <v>1624.903409090909</v>
      </c>
    </row>
    <row r="49" spans="1:9">
      <c r="A49" s="26" t="s">
        <v>218</v>
      </c>
      <c r="B49" s="27">
        <f>VLOOKUP(A49,[7]進出口值表查詢結果!$A$3:$C$15,3,0)</f>
        <v>8</v>
      </c>
      <c r="C49" s="28">
        <f>VLOOKUP(A49,[7]進出口值表查詢結果!$A$3:$C$15,2,0)</f>
        <v>763</v>
      </c>
      <c r="D49" s="23">
        <f t="shared" si="0"/>
        <v>95.375</v>
      </c>
      <c r="E49" s="28">
        <f>VLOOKUP(A49,[6]進出口值表查詢結果!$A$10:$C$24,3,0)</f>
        <v>21</v>
      </c>
      <c r="F49" s="24">
        <v>1082</v>
      </c>
      <c r="G49" s="28">
        <f>VLOOKUP(A49,[6]進出口值表查詢結果!$A$10:$C$24,2,0)</f>
        <v>1845</v>
      </c>
      <c r="H49" s="24">
        <f t="shared" si="6"/>
        <v>3.2675820264923861E-4</v>
      </c>
      <c r="I49" s="25">
        <f t="shared" si="1"/>
        <v>87.857142857142861</v>
      </c>
    </row>
    <row r="50" spans="1:9">
      <c r="A50" s="458" t="s">
        <v>219</v>
      </c>
      <c r="B50" s="27">
        <v>0</v>
      </c>
      <c r="C50" s="27">
        <v>0</v>
      </c>
      <c r="D50" s="23">
        <f t="shared" si="0"/>
        <v>0</v>
      </c>
      <c r="E50" s="28">
        <v>0</v>
      </c>
      <c r="F50" s="24">
        <v>0</v>
      </c>
      <c r="G50" s="28">
        <v>0</v>
      </c>
      <c r="H50" s="24">
        <f t="shared" si="6"/>
        <v>0</v>
      </c>
      <c r="I50" s="25">
        <f t="shared" si="1"/>
        <v>0</v>
      </c>
    </row>
    <row r="51" spans="1:9">
      <c r="A51" s="26" t="s">
        <v>220</v>
      </c>
      <c r="B51" s="27">
        <v>0</v>
      </c>
      <c r="C51" s="27">
        <v>0</v>
      </c>
      <c r="D51" s="23">
        <f t="shared" si="0"/>
        <v>0</v>
      </c>
      <c r="E51" s="28">
        <v>0</v>
      </c>
      <c r="F51" s="24">
        <v>0</v>
      </c>
      <c r="G51" s="28">
        <v>0</v>
      </c>
      <c r="H51" s="24">
        <f t="shared" si="6"/>
        <v>0</v>
      </c>
      <c r="I51" s="25">
        <f t="shared" si="1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0"/>
        <v>0</v>
      </c>
      <c r="E52" s="28">
        <v>0</v>
      </c>
      <c r="F52" s="24">
        <v>0</v>
      </c>
      <c r="G52" s="28">
        <v>0</v>
      </c>
      <c r="H52" s="24">
        <f t="shared" si="6"/>
        <v>0</v>
      </c>
      <c r="I52" s="25">
        <f t="shared" si="1"/>
        <v>0</v>
      </c>
    </row>
    <row r="53" spans="1:9">
      <c r="A53" s="26" t="s">
        <v>221</v>
      </c>
      <c r="B53" s="27">
        <v>0</v>
      </c>
      <c r="C53" s="27">
        <v>0</v>
      </c>
      <c r="D53" s="23">
        <f t="shared" si="0"/>
        <v>0</v>
      </c>
      <c r="E53" s="28">
        <v>0</v>
      </c>
      <c r="F53" s="24">
        <v>0</v>
      </c>
      <c r="G53" s="28">
        <v>0</v>
      </c>
      <c r="H53" s="24">
        <f t="shared" si="6"/>
        <v>0</v>
      </c>
      <c r="I53" s="25">
        <f t="shared" si="1"/>
        <v>0</v>
      </c>
    </row>
    <row r="54" spans="1:9">
      <c r="A54" s="30" t="s">
        <v>108</v>
      </c>
      <c r="B54" s="27">
        <v>0</v>
      </c>
      <c r="C54" s="27">
        <v>0</v>
      </c>
      <c r="D54" s="23">
        <f t="shared" si="0"/>
        <v>0</v>
      </c>
      <c r="E54" s="28">
        <v>0</v>
      </c>
      <c r="F54" s="24">
        <v>0</v>
      </c>
      <c r="G54" s="28">
        <v>0</v>
      </c>
      <c r="H54" s="24">
        <f t="shared" si="6"/>
        <v>0</v>
      </c>
      <c r="I54" s="25">
        <f t="shared" si="1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0"/>
        <v>0</v>
      </c>
      <c r="E55" s="28">
        <v>0</v>
      </c>
      <c r="F55" s="24">
        <v>0</v>
      </c>
      <c r="G55" s="28">
        <v>0</v>
      </c>
      <c r="H55" s="24">
        <f t="shared" si="6"/>
        <v>0</v>
      </c>
      <c r="I55" s="25">
        <f t="shared" si="1"/>
        <v>0</v>
      </c>
    </row>
    <row r="56" spans="1:9">
      <c r="A56" s="289" t="s">
        <v>226</v>
      </c>
      <c r="B56" s="27">
        <v>0</v>
      </c>
      <c r="C56" s="27">
        <v>0</v>
      </c>
      <c r="D56" s="23">
        <f t="shared" si="0"/>
        <v>0</v>
      </c>
      <c r="E56" s="28">
        <v>0</v>
      </c>
      <c r="F56" s="24">
        <v>0</v>
      </c>
      <c r="G56" s="28">
        <v>0</v>
      </c>
      <c r="H56" s="24">
        <f t="shared" si="6"/>
        <v>0</v>
      </c>
      <c r="I56" s="25">
        <f t="shared" si="1"/>
        <v>0</v>
      </c>
    </row>
    <row r="57" spans="1:9">
      <c r="A57" s="37" t="s">
        <v>224</v>
      </c>
      <c r="B57" s="27">
        <f>VLOOKUP(A57,[7]進出口值表查詢結果!$A$3:$C$15,3,0)</f>
        <v>1</v>
      </c>
      <c r="C57" s="28">
        <f>VLOOKUP(A57,[7]進出口值表查詢結果!$A$3:$C$15,2,0)</f>
        <v>92</v>
      </c>
      <c r="D57" s="23">
        <f t="shared" si="0"/>
        <v>92</v>
      </c>
      <c r="E57" s="28">
        <f>VLOOKUP(A57,[6]進出口值表查詢結果!$A$10:$C$24,3,0)</f>
        <v>1</v>
      </c>
      <c r="F57" s="24">
        <v>0</v>
      </c>
      <c r="G57" s="28">
        <f>VLOOKUP(A57,[6]進出口值表查詢結果!$A$10:$C$24,2,0)</f>
        <v>92</v>
      </c>
      <c r="H57" s="24">
        <f t="shared" si="6"/>
        <v>1.6293633953241168E-5</v>
      </c>
      <c r="I57" s="25">
        <f t="shared" si="1"/>
        <v>92</v>
      </c>
    </row>
    <row r="58" spans="1:9">
      <c r="A58" s="37" t="s">
        <v>387</v>
      </c>
      <c r="B58" s="27">
        <f>VLOOKUP(A58,[7]進出口值表查詢結果!$A$3:$C$15,3,0)</f>
        <v>400</v>
      </c>
      <c r="C58" s="28">
        <f>VLOOKUP(A58,[7]進出口值表查詢結果!$A$3:$C$15,2,0)</f>
        <v>253860</v>
      </c>
      <c r="D58" s="23">
        <f t="shared" si="0"/>
        <v>634.65</v>
      </c>
      <c r="E58" s="28">
        <f>VLOOKUP(A58,[6]進出口值表查詢結果!$A$10:$C$24,3,0)</f>
        <v>606</v>
      </c>
      <c r="F58" s="24">
        <v>207265</v>
      </c>
      <c r="G58" s="28">
        <f>VLOOKUP(A58,[6]進出口值表查詢結果!$A$10:$C$24,2,0)</f>
        <v>461125</v>
      </c>
      <c r="H58" s="24">
        <f t="shared" si="6"/>
        <v>8.1667412572699272E-2</v>
      </c>
      <c r="I58" s="25">
        <f t="shared" si="1"/>
        <v>760.93234323432341</v>
      </c>
    </row>
    <row r="59" spans="1:9">
      <c r="A59" s="37" t="s">
        <v>109</v>
      </c>
      <c r="B59" s="27">
        <f>VLOOKUP(A59,[7]進出口值表查詢結果!$A$3:$C$15,3,0)</f>
        <v>471</v>
      </c>
      <c r="C59" s="28">
        <f>VLOOKUP(A59,[7]進出口值表查詢結果!$A$3:$C$15,2,0)</f>
        <v>330943</v>
      </c>
      <c r="D59" s="23">
        <f t="shared" si="0"/>
        <v>702.6390658174098</v>
      </c>
      <c r="E59" s="28">
        <f>VLOOKUP(A59,[6]進出口值表查詢結果!$A$10:$C$24,3,0)</f>
        <v>474</v>
      </c>
      <c r="F59" s="24">
        <v>2858</v>
      </c>
      <c r="G59" s="28">
        <f>VLOOKUP(A59,[6]進出口值表查詢結果!$A$10:$C$24,2,0)</f>
        <v>333801</v>
      </c>
      <c r="H59" s="24">
        <f t="shared" si="6"/>
        <v>5.9117731600281033E-2</v>
      </c>
      <c r="I59" s="25">
        <f t="shared" si="1"/>
        <v>704.22151898734182</v>
      </c>
    </row>
    <row r="60" spans="1:9">
      <c r="A60" s="37" t="s">
        <v>110</v>
      </c>
      <c r="B60" s="27">
        <v>0</v>
      </c>
      <c r="C60" s="27">
        <f>_xlfn.IFNA(VLOOKUP(A60,[8]進!$C$3:$F$150,3,0),-[4]整車!$B$22)</f>
        <v>0</v>
      </c>
      <c r="D60" s="23">
        <f t="shared" si="0"/>
        <v>0</v>
      </c>
      <c r="E60" s="28">
        <v>0</v>
      </c>
      <c r="F60" s="24">
        <v>0</v>
      </c>
      <c r="G60" s="28">
        <v>0</v>
      </c>
      <c r="H60" s="24">
        <f t="shared" si="6"/>
        <v>0</v>
      </c>
      <c r="I60" s="25">
        <f t="shared" si="1"/>
        <v>0</v>
      </c>
    </row>
    <row r="61" spans="1:9">
      <c r="A61" s="37" t="s">
        <v>111</v>
      </c>
      <c r="B61" s="27">
        <f>VLOOKUP(A61,[7]進出口值表查詢結果!$A$3:$C$15,3,0)</f>
        <v>10709</v>
      </c>
      <c r="C61" s="28">
        <f>VLOOKUP(A61,[7]進出口值表查詢結果!$A$3:$C$15,2,0)</f>
        <v>1706781</v>
      </c>
      <c r="D61" s="23">
        <f t="shared" si="0"/>
        <v>159.37818657204221</v>
      </c>
      <c r="E61" s="28">
        <f>VLOOKUP(A61,[6]進出口值表查詢結果!$A$10:$C$24,3,0)</f>
        <v>30232</v>
      </c>
      <c r="F61" s="24">
        <v>2650864</v>
      </c>
      <c r="G61" s="28">
        <f>VLOOKUP(A61,[6]進出口值表查詢結果!$A$10:$C$24,2,0)</f>
        <v>4357645</v>
      </c>
      <c r="H61" s="24">
        <f t="shared" si="6"/>
        <v>0.77175948400186523</v>
      </c>
      <c r="I61" s="25">
        <f t="shared" si="1"/>
        <v>144.14014951045249</v>
      </c>
    </row>
    <row r="62" spans="1:9">
      <c r="A62" s="37" t="s">
        <v>388</v>
      </c>
      <c r="B62" s="27">
        <v>0</v>
      </c>
      <c r="C62" s="27">
        <f>_xlfn.IFNA(VLOOKUP(A62,[8]進!$C$3:$F$150,3,0),-[4]整車!$B$22)</f>
        <v>0</v>
      </c>
      <c r="D62" s="23">
        <f t="shared" si="0"/>
        <v>0</v>
      </c>
      <c r="E62" s="28">
        <v>0</v>
      </c>
      <c r="F62" s="24">
        <v>0</v>
      </c>
      <c r="G62" s="28">
        <v>0</v>
      </c>
      <c r="H62" s="24">
        <f t="shared" si="6"/>
        <v>0</v>
      </c>
      <c r="I62" s="25">
        <f t="shared" si="1"/>
        <v>0</v>
      </c>
    </row>
    <row r="63" spans="1:9">
      <c r="A63" s="37" t="s">
        <v>389</v>
      </c>
      <c r="B63" s="27">
        <v>0</v>
      </c>
      <c r="C63" s="27">
        <f>_xlfn.IFNA(VLOOKUP(A63,[8]進!$C$3:$F$150,3,0),-[4]整車!$B$22)</f>
        <v>0</v>
      </c>
      <c r="D63" s="23">
        <f t="shared" si="0"/>
        <v>0</v>
      </c>
      <c r="E63" s="28">
        <v>0</v>
      </c>
      <c r="F63" s="24">
        <v>0</v>
      </c>
      <c r="G63" s="28">
        <v>0</v>
      </c>
      <c r="H63" s="24">
        <f t="shared" si="6"/>
        <v>0</v>
      </c>
      <c r="I63" s="25">
        <f t="shared" si="1"/>
        <v>0</v>
      </c>
    </row>
    <row r="64" spans="1:9">
      <c r="A64" s="37" t="s">
        <v>390</v>
      </c>
      <c r="B64" s="27">
        <v>0</v>
      </c>
      <c r="C64" s="27">
        <f>_xlfn.IFNA(VLOOKUP(A64,[8]進!$C$3:$F$150,3,0),-[4]整車!$B$22)</f>
        <v>0</v>
      </c>
      <c r="D64" s="23">
        <f t="shared" si="0"/>
        <v>0</v>
      </c>
      <c r="E64" s="28">
        <v>0</v>
      </c>
      <c r="F64" s="24">
        <v>0</v>
      </c>
      <c r="G64" s="28">
        <v>0</v>
      </c>
      <c r="H64" s="24">
        <f t="shared" si="6"/>
        <v>0</v>
      </c>
      <c r="I64" s="25">
        <f t="shared" si="1"/>
        <v>0</v>
      </c>
    </row>
    <row r="65" spans="1:9">
      <c r="A65" s="30" t="s">
        <v>29</v>
      </c>
      <c r="B65" s="27">
        <f>B66-B47-B41-B12-B7</f>
        <v>59</v>
      </c>
      <c r="C65" s="27">
        <f>C66-C47-C41-C12-C7</f>
        <v>19896</v>
      </c>
      <c r="D65" s="23">
        <f t="shared" si="0"/>
        <v>337.22033898305085</v>
      </c>
      <c r="E65" s="27">
        <f>E66-E47-E41-E12-E7</f>
        <v>60</v>
      </c>
      <c r="F65" s="24">
        <v>334</v>
      </c>
      <c r="G65" s="27">
        <f>G66-G47-G41-G12-G7</f>
        <v>20230</v>
      </c>
      <c r="H65" s="24">
        <f t="shared" si="6"/>
        <v>3.5828284225442263E-3</v>
      </c>
      <c r="I65" s="25">
        <f t="shared" si="1"/>
        <v>337.16666666666669</v>
      </c>
    </row>
    <row r="66" spans="1:9">
      <c r="A66" s="32" t="s">
        <v>399</v>
      </c>
      <c r="B66" s="27">
        <f>VLOOKUP(A66,[7]進出口值表查詢結果!$A$3:$C$15,3,0)</f>
        <v>11794</v>
      </c>
      <c r="C66" s="28">
        <f>VLOOKUP(A66,[7]進出口值表查詢結果!$A$3:$C$15,2,0)</f>
        <v>2639006</v>
      </c>
      <c r="D66" s="52">
        <f t="shared" ref="D66" si="7">C66/B66</f>
        <v>223.7583517042564</v>
      </c>
      <c r="E66" s="28">
        <f>VLOOKUP(A66,[6]進出口值表查詢結果!$A$10:$C$24,3,0)</f>
        <v>31610</v>
      </c>
      <c r="F66" s="544">
        <v>3007371</v>
      </c>
      <c r="G66" s="28">
        <f>VLOOKUP(A66,[6]進出口值表查詢結果!$A$10:$C$24,2,0)</f>
        <v>5646377</v>
      </c>
      <c r="H66" s="544">
        <f t="shared" si="6"/>
        <v>1</v>
      </c>
      <c r="I66" s="52">
        <f>G66/E66</f>
        <v>178.62628914900347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149</v>
      </c>
      <c r="B68" s="101"/>
      <c r="C68" s="101"/>
      <c r="D68" s="171"/>
      <c r="E68" s="101"/>
      <c r="F68" s="172"/>
      <c r="G68" s="101"/>
      <c r="H68" s="173"/>
      <c r="I68" s="174"/>
    </row>
    <row r="69" spans="1:9">
      <c r="A69" s="8" t="s">
        <v>486</v>
      </c>
      <c r="B69" s="8" t="s">
        <v>487</v>
      </c>
      <c r="C69" s="8" t="s">
        <v>488</v>
      </c>
      <c r="D69" s="9" t="s">
        <v>0</v>
      </c>
      <c r="E69" s="10" t="s">
        <v>489</v>
      </c>
      <c r="F69" s="11" t="s">
        <v>1</v>
      </c>
      <c r="G69" s="72" t="s">
        <v>490</v>
      </c>
      <c r="H69" s="45" t="s">
        <v>1</v>
      </c>
      <c r="I69" s="500" t="s">
        <v>112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58" t="s">
        <v>3</v>
      </c>
      <c r="H70" s="51"/>
      <c r="I70" s="43" t="s">
        <v>3</v>
      </c>
    </row>
    <row r="71" spans="1:9">
      <c r="A71" s="32" t="s">
        <v>30</v>
      </c>
      <c r="B71" s="27">
        <v>304</v>
      </c>
      <c r="C71" s="27">
        <v>55294</v>
      </c>
      <c r="D71" s="510">
        <f>C71/B71</f>
        <v>181.88815789473685</v>
      </c>
      <c r="E71" s="27">
        <v>371</v>
      </c>
      <c r="F71" s="27">
        <v>28582</v>
      </c>
      <c r="G71" s="27">
        <v>83876</v>
      </c>
      <c r="H71" s="557">
        <v>1</v>
      </c>
      <c r="I71" s="52">
        <f>G71/E71</f>
        <v>226.08086253369271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462</v>
      </c>
      <c r="B73" s="13"/>
      <c r="C73" s="166"/>
      <c r="D73" s="175"/>
      <c r="E73" s="13"/>
      <c r="F73" s="166"/>
      <c r="G73" s="167"/>
      <c r="H73" s="13"/>
      <c r="I73" s="176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9.125" style="5" customWidth="1"/>
    <col min="4" max="4" width="13.875" style="5" customWidth="1"/>
    <col min="5" max="5" width="13.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497</v>
      </c>
      <c r="B1" s="1"/>
      <c r="C1" s="1"/>
      <c r="D1" s="1"/>
      <c r="E1" s="2"/>
      <c r="F1" s="2"/>
      <c r="G1" s="2"/>
      <c r="H1" s="2"/>
      <c r="I1" s="2"/>
    </row>
    <row r="2" spans="1:9" ht="13.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6" customFormat="1" ht="17.25">
      <c r="A3" s="212" t="s">
        <v>152</v>
      </c>
      <c r="B3" s="213"/>
      <c r="C3" s="213"/>
      <c r="D3" s="213"/>
      <c r="E3" s="214"/>
      <c r="F3" s="214"/>
      <c r="G3" s="214"/>
      <c r="H3" s="214"/>
      <c r="I3" s="215"/>
    </row>
    <row r="4" spans="1:9" s="216" customFormat="1" ht="17.25">
      <c r="A4" s="217" t="s">
        <v>156</v>
      </c>
      <c r="B4" s="218"/>
      <c r="C4" s="218"/>
      <c r="D4" s="218"/>
      <c r="E4" s="219"/>
      <c r="F4" s="219"/>
      <c r="G4" s="219"/>
      <c r="H4" s="219"/>
      <c r="I4" s="220"/>
    </row>
    <row r="5" spans="1:9" s="224" customFormat="1">
      <c r="A5" s="8" t="s">
        <v>486</v>
      </c>
      <c r="B5" s="8" t="s">
        <v>487</v>
      </c>
      <c r="C5" s="8" t="s">
        <v>488</v>
      </c>
      <c r="D5" s="9" t="s">
        <v>0</v>
      </c>
      <c r="E5" s="10" t="s">
        <v>489</v>
      </c>
      <c r="F5" s="11" t="s">
        <v>1</v>
      </c>
      <c r="G5" s="8" t="s">
        <v>490</v>
      </c>
      <c r="H5" s="223" t="s">
        <v>1</v>
      </c>
      <c r="I5" s="222" t="s">
        <v>0</v>
      </c>
    </row>
    <row r="6" spans="1:9" s="224" customFormat="1">
      <c r="A6" s="225"/>
      <c r="B6" s="226" t="s">
        <v>2</v>
      </c>
      <c r="C6" s="227" t="s">
        <v>3</v>
      </c>
      <c r="D6" s="225" t="s">
        <v>3</v>
      </c>
      <c r="E6" s="223" t="s">
        <v>2</v>
      </c>
      <c r="F6" s="223"/>
      <c r="G6" s="221" t="s">
        <v>3</v>
      </c>
      <c r="H6" s="221"/>
      <c r="I6" s="222" t="s">
        <v>3</v>
      </c>
    </row>
    <row r="7" spans="1:9" s="224" customFormat="1">
      <c r="A7" s="228" t="s">
        <v>4</v>
      </c>
      <c r="B7" s="229"/>
      <c r="C7" s="230"/>
      <c r="D7" s="228"/>
      <c r="E7" s="231"/>
      <c r="F7" s="232"/>
      <c r="G7" s="232"/>
      <c r="H7" s="232"/>
      <c r="I7" s="233"/>
    </row>
    <row r="8" spans="1:9" s="224" customFormat="1">
      <c r="A8" s="234" t="s">
        <v>5</v>
      </c>
      <c r="B8" s="235">
        <f>SUM(B9:B11)</f>
        <v>6524</v>
      </c>
      <c r="C8" s="236">
        <f>SUM(C9:C11)</f>
        <v>15004578</v>
      </c>
      <c r="D8" s="237">
        <f>IF(B8,C8/B8,0)</f>
        <v>2299.9046597179645</v>
      </c>
      <c r="E8" s="236">
        <f>SUM(E9:E11)</f>
        <v>17315</v>
      </c>
      <c r="F8" s="238">
        <f>E8/E64</f>
        <v>0.3239051948294891</v>
      </c>
      <c r="G8" s="235">
        <f>SUM(G9:G11)</f>
        <v>42426774</v>
      </c>
      <c r="H8" s="238">
        <f>G8/G64</f>
        <v>0.37639627642586165</v>
      </c>
      <c r="I8" s="239">
        <f>IF(E8,G8/E8,0)</f>
        <v>2450.2901530464915</v>
      </c>
    </row>
    <row r="9" spans="1:9" s="224" customFormat="1">
      <c r="A9" s="240" t="s">
        <v>159</v>
      </c>
      <c r="B9" s="241">
        <f>VLOOKUP(A9,[9]進出口值表查詢結果!$A$3:$C$37,3,0)</f>
        <v>6179</v>
      </c>
      <c r="C9" s="241">
        <f>VLOOKUP(A9,[9]進出口值表查詢結果!$A$3:$C$37,2,0)</f>
        <v>13909371</v>
      </c>
      <c r="D9" s="237">
        <f t="shared" ref="D9:D63" si="0">IF(B9,C9/B9,0)</f>
        <v>2251.0715326104546</v>
      </c>
      <c r="E9" s="242">
        <f>VLOOKUP(A9,[10]進出口值表查詢結果!$A$10:$C$49,3,0)</f>
        <v>16571</v>
      </c>
      <c r="F9" s="238">
        <f>E9/E64</f>
        <v>0.30998746656190956</v>
      </c>
      <c r="G9" s="243">
        <f>VLOOKUP(A9,[10]進出口值表查詢結果!$A$10:$C$49,2,0)</f>
        <v>40271185</v>
      </c>
      <c r="H9" s="238">
        <f>G9/G64</f>
        <v>0.35727260529534993</v>
      </c>
      <c r="I9" s="239">
        <f t="shared" ref="I9:I63" si="1">IF(E9,G9/E9,0)</f>
        <v>2430.2205660491218</v>
      </c>
    </row>
    <row r="10" spans="1:9" s="224" customFormat="1">
      <c r="A10" s="37" t="s">
        <v>6</v>
      </c>
      <c r="B10" s="241">
        <f>VLOOKUP(A10,[9]進出口值表查詢結果!$A$3:$C$37,3,0)</f>
        <v>192</v>
      </c>
      <c r="C10" s="241">
        <f>VLOOKUP(A10,[9]進出口值表查詢結果!$A$3:$C$37,2,0)</f>
        <v>375280</v>
      </c>
      <c r="D10" s="237">
        <f t="shared" si="0"/>
        <v>1954.5833333333333</v>
      </c>
      <c r="E10" s="242">
        <f>VLOOKUP(A10,[10]進出口值表查詢結果!$A$10:$C$49,3,0)</f>
        <v>561</v>
      </c>
      <c r="F10" s="238">
        <f>E10/E64</f>
        <v>1.0494416072731353E-2</v>
      </c>
      <c r="G10" s="243">
        <f>VLOOKUP(A10,[10]進出口值表查詢結果!$A$10:$C$49,2,0)</f>
        <v>1392062</v>
      </c>
      <c r="H10" s="238">
        <f>G10/G64</f>
        <v>1.2349912660197493E-2</v>
      </c>
      <c r="I10" s="239">
        <f t="shared" si="1"/>
        <v>2481.3939393939395</v>
      </c>
    </row>
    <row r="11" spans="1:9" s="224" customFormat="1">
      <c r="A11" s="37" t="s">
        <v>7</v>
      </c>
      <c r="B11" s="241">
        <f>VLOOKUP(A11,[9]進出口值表查詢結果!$A$3:$C$37,3,0)</f>
        <v>153</v>
      </c>
      <c r="C11" s="241">
        <f>VLOOKUP(A11,[9]進出口值表查詢結果!$A$3:$C$37,2,0)</f>
        <v>719927</v>
      </c>
      <c r="D11" s="237">
        <f t="shared" si="0"/>
        <v>4705.4052287581699</v>
      </c>
      <c r="E11" s="242">
        <f>VLOOKUP(A11,[10]進出口值表查詢結果!$A$10:$C$49,3,0)</f>
        <v>183</v>
      </c>
      <c r="F11" s="238">
        <f>E11/E64</f>
        <v>3.4233121948481957E-3</v>
      </c>
      <c r="G11" s="243">
        <f>VLOOKUP(A11,[10]進出口值表查詢結果!$A$10:$C$49,2,0)</f>
        <v>763527</v>
      </c>
      <c r="H11" s="238">
        <f>G11/G64</f>
        <v>6.7737584703142619E-3</v>
      </c>
      <c r="I11" s="239">
        <f t="shared" si="1"/>
        <v>4172.2786885245905</v>
      </c>
    </row>
    <row r="12" spans="1:9" s="224" customFormat="1">
      <c r="A12" s="37"/>
      <c r="B12" s="34"/>
      <c r="C12" s="34"/>
      <c r="D12" s="237"/>
      <c r="E12" s="243"/>
      <c r="F12" s="244"/>
      <c r="G12" s="243"/>
      <c r="H12" s="244"/>
      <c r="I12" s="239"/>
    </row>
    <row r="13" spans="1:9" s="224" customFormat="1">
      <c r="A13" s="245" t="s">
        <v>8</v>
      </c>
      <c r="B13" s="246">
        <f>SUM(B14:B40)</f>
        <v>19438</v>
      </c>
      <c r="C13" s="246">
        <f>SUM(C14:C40)</f>
        <v>36047051</v>
      </c>
      <c r="D13" s="237">
        <f t="shared" si="0"/>
        <v>1854.4629591521762</v>
      </c>
      <c r="E13" s="246">
        <f>SUM(E14:E40)</f>
        <v>28981</v>
      </c>
      <c r="F13" s="238">
        <f>E13/E64</f>
        <v>0.54213667059505766</v>
      </c>
      <c r="G13" s="246">
        <f>SUM(G14:G40)</f>
        <v>53192290</v>
      </c>
      <c r="H13" s="238">
        <f>G13/G64</f>
        <v>0.47190436611005582</v>
      </c>
      <c r="I13" s="239">
        <f t="shared" si="1"/>
        <v>1835.4194127186777</v>
      </c>
    </row>
    <row r="14" spans="1:9" s="224" customFormat="1">
      <c r="A14" s="240" t="s">
        <v>244</v>
      </c>
      <c r="B14" s="241">
        <f>VLOOKUP(A14,[9]進出口值表查詢結果!$A$3:$C$37,3,0)</f>
        <v>11217</v>
      </c>
      <c r="C14" s="241">
        <f>VLOOKUP(A14,[9]進出口值表查詢結果!$A$3:$C$37,2,0)</f>
        <v>22074361</v>
      </c>
      <c r="D14" s="237">
        <f t="shared" si="0"/>
        <v>1967.9380404742801</v>
      </c>
      <c r="E14" s="242">
        <f>VLOOKUP(A14,[10]進出口值表查詢結果!$A$10:$C$49,3,0)</f>
        <v>16570</v>
      </c>
      <c r="F14" s="238">
        <f>E14/E64</f>
        <v>0.30996875993789402</v>
      </c>
      <c r="G14" s="243">
        <f>VLOOKUP(A14,[10]進出口值表查詢結果!$A$10:$C$49,2,0)</f>
        <v>33779255</v>
      </c>
      <c r="H14" s="238">
        <f>G14/G64</f>
        <v>0.29967835410817872</v>
      </c>
      <c r="I14" s="239">
        <f t="shared" si="1"/>
        <v>2038.5790585395293</v>
      </c>
    </row>
    <row r="15" spans="1:9" s="224" customFormat="1">
      <c r="A15" s="240" t="s">
        <v>245</v>
      </c>
      <c r="B15" s="241">
        <f>VLOOKUP(A15,[9]進出口值表查詢結果!$A$3:$C$37,3,0)</f>
        <v>4758</v>
      </c>
      <c r="C15" s="241">
        <f>VLOOKUP(A15,[9]進出口值表查詢結果!$A$3:$C$37,2,0)</f>
        <v>6248187</v>
      </c>
      <c r="D15" s="237">
        <f t="shared" si="0"/>
        <v>1313.1960907944515</v>
      </c>
      <c r="E15" s="242">
        <f>VLOOKUP(A15,[10]進出口值表查詢結果!$A$10:$C$49,3,0)</f>
        <v>7938</v>
      </c>
      <c r="F15" s="238">
        <f>E15/E64</f>
        <v>0.14849318143554632</v>
      </c>
      <c r="G15" s="243">
        <f>VLOOKUP(A15,[10]進出口值表查詢結果!$A$10:$C$49,2,0)</f>
        <v>10608538</v>
      </c>
      <c r="H15" s="238">
        <f>G15/G64</f>
        <v>9.411543289909946E-2</v>
      </c>
      <c r="I15" s="239">
        <f t="shared" si="1"/>
        <v>1336.424540186445</v>
      </c>
    </row>
    <row r="16" spans="1:9" s="224" customFormat="1">
      <c r="A16" s="37" t="s">
        <v>9</v>
      </c>
      <c r="B16" s="241">
        <f>VLOOKUP(A16,[9]進出口值表查詢結果!$A$3:$C$37,3,0)</f>
        <v>900</v>
      </c>
      <c r="C16" s="241">
        <f>VLOOKUP(A16,[9]進出口值表查詢結果!$A$3:$C$37,2,0)</f>
        <v>2494599</v>
      </c>
      <c r="D16" s="237">
        <f t="shared" si="0"/>
        <v>2771.7766666666666</v>
      </c>
      <c r="E16" s="242">
        <f>VLOOKUP(A16,[10]進出口值表查詢結果!$A$10:$C$49,3,0)</f>
        <v>932</v>
      </c>
      <c r="F16" s="238">
        <f>E16/E64</f>
        <v>1.7434573582505566E-2</v>
      </c>
      <c r="G16" s="243">
        <f>VLOOKUP(A16,[10]進出口值表查詢結果!$A$10:$C$49,2,0)</f>
        <v>2538351</v>
      </c>
      <c r="H16" s="238">
        <f>G16/G64</f>
        <v>2.251940872671258E-2</v>
      </c>
      <c r="I16" s="239">
        <f t="shared" si="1"/>
        <v>2723.552575107296</v>
      </c>
    </row>
    <row r="17" spans="1:9" s="224" customFormat="1">
      <c r="A17" s="240" t="s">
        <v>246</v>
      </c>
      <c r="B17" s="241">
        <f>VLOOKUP(A17,[9]進出口值表查詢結果!$A$3:$C$37,3,0)</f>
        <v>691</v>
      </c>
      <c r="C17" s="241">
        <f>VLOOKUP(A17,[9]進出口值表查詢結果!$A$3:$C$37,2,0)</f>
        <v>909886</v>
      </c>
      <c r="D17" s="237">
        <f t="shared" si="0"/>
        <v>1316.7670043415339</v>
      </c>
      <c r="E17" s="242">
        <f>VLOOKUP(A17,[10]進出口值表查詢結果!$A$10:$C$49,3,0)</f>
        <v>691</v>
      </c>
      <c r="F17" s="238">
        <f>E17/E64</f>
        <v>1.2926277194754662E-2</v>
      </c>
      <c r="G17" s="243">
        <f>VLOOKUP(A17,[10]進出口值表查詢結果!$A$10:$C$49,2,0)</f>
        <v>909886</v>
      </c>
      <c r="H17" s="238">
        <f>G17/G64</f>
        <v>8.072207007113516E-3</v>
      </c>
      <c r="I17" s="239">
        <f t="shared" si="1"/>
        <v>1316.7670043415339</v>
      </c>
    </row>
    <row r="18" spans="1:9" s="224" customFormat="1">
      <c r="A18" s="37" t="s">
        <v>10</v>
      </c>
      <c r="B18" s="241">
        <f>VLOOKUP(A18,[9]進出口值表查詢結果!$A$3:$C$37,3,0)</f>
        <v>1185</v>
      </c>
      <c r="C18" s="241">
        <f>VLOOKUP(A18,[9]進出口值表查詢結果!$A$3:$C$37,2,0)</f>
        <v>3652121</v>
      </c>
      <c r="D18" s="237">
        <f t="shared" si="0"/>
        <v>3081.9586497890296</v>
      </c>
      <c r="E18" s="242">
        <f>VLOOKUP(A18,[10]進出口值表查詢結果!$A$10:$C$49,3,0)</f>
        <v>1462</v>
      </c>
      <c r="F18" s="238">
        <f>E18/E64</f>
        <v>2.7349084310754439E-2</v>
      </c>
      <c r="G18" s="243">
        <f>VLOOKUP(A18,[10]進出口值表查詢結果!$A$10:$C$49,2,0)</f>
        <v>4287755</v>
      </c>
      <c r="H18" s="238">
        <f>G18/G64</f>
        <v>3.8039541168658507E-2</v>
      </c>
      <c r="I18" s="239">
        <f t="shared" si="1"/>
        <v>2932.8009575923393</v>
      </c>
    </row>
    <row r="19" spans="1:9" s="224" customFormat="1">
      <c r="A19" s="37" t="s">
        <v>11</v>
      </c>
      <c r="B19" s="241">
        <f>VLOOKUP(A19,[9]進出口值表查詢結果!$A$3:$C$37,3,0)</f>
        <v>1</v>
      </c>
      <c r="C19" s="241">
        <f>VLOOKUP(A19,[9]進出口值表查詢結果!$A$3:$C$37,2,0)</f>
        <v>2075</v>
      </c>
      <c r="D19" s="237">
        <f t="shared" si="0"/>
        <v>2075</v>
      </c>
      <c r="E19" s="242">
        <f>VLOOKUP(A19,[10]進出口值表查詢結果!$A$10:$C$49,3,0)</f>
        <v>1</v>
      </c>
      <c r="F19" s="238">
        <f>E19/E64</f>
        <v>1.8706624015563912E-5</v>
      </c>
      <c r="G19" s="243">
        <f>VLOOKUP(A19,[10]進出口值表查詢結果!$A$10:$C$49,2,0)</f>
        <v>2075</v>
      </c>
      <c r="H19" s="238">
        <f>G19/G64</f>
        <v>1.8408712234016729E-5</v>
      </c>
      <c r="I19" s="239">
        <f t="shared" si="1"/>
        <v>2075</v>
      </c>
    </row>
    <row r="20" spans="1:9" s="224" customFormat="1">
      <c r="A20" s="240" t="s">
        <v>248</v>
      </c>
      <c r="B20" s="241">
        <f>VLOOKUP(A20,[9]進出口值表查詢結果!$A$3:$C$37,3,0)</f>
        <v>55</v>
      </c>
      <c r="C20" s="241">
        <f>VLOOKUP(A20,[9]進出口值表查詢結果!$A$3:$C$37,2,0)</f>
        <v>71803</v>
      </c>
      <c r="D20" s="237">
        <f t="shared" si="0"/>
        <v>1305.5090909090909</v>
      </c>
      <c r="E20" s="242">
        <f>VLOOKUP(A20,[10]進出口值表查詢結果!$A$10:$C$49,3,0)</f>
        <v>134</v>
      </c>
      <c r="F20" s="238">
        <f>E20/E64</f>
        <v>2.5066876180855641E-3</v>
      </c>
      <c r="G20" s="243">
        <f>VLOOKUP(A20,[10]進出口值表查詢結果!$A$10:$C$49,2,0)</f>
        <v>226744</v>
      </c>
      <c r="H20" s="238">
        <f>G20/G64</f>
        <v>2.0115976129107902E-3</v>
      </c>
      <c r="I20" s="239">
        <f t="shared" si="1"/>
        <v>1692.1194029850747</v>
      </c>
    </row>
    <row r="21" spans="1:9" s="224" customFormat="1">
      <c r="A21" s="37" t="s">
        <v>12</v>
      </c>
      <c r="B21" s="241">
        <v>0</v>
      </c>
      <c r="C21" s="241">
        <v>0</v>
      </c>
      <c r="D21" s="237">
        <f t="shared" si="0"/>
        <v>0</v>
      </c>
      <c r="E21" s="242">
        <v>0</v>
      </c>
      <c r="F21" s="238">
        <f>E21/E64</f>
        <v>0</v>
      </c>
      <c r="G21" s="241">
        <v>0</v>
      </c>
      <c r="H21" s="238">
        <f>G21/G64</f>
        <v>0</v>
      </c>
      <c r="I21" s="239">
        <f t="shared" si="1"/>
        <v>0</v>
      </c>
    </row>
    <row r="22" spans="1:9" s="224" customFormat="1">
      <c r="A22" s="240" t="s">
        <v>249</v>
      </c>
      <c r="B22" s="241">
        <v>0</v>
      </c>
      <c r="C22" s="241">
        <v>0</v>
      </c>
      <c r="D22" s="237">
        <f t="shared" si="0"/>
        <v>0</v>
      </c>
      <c r="E22" s="242">
        <v>0</v>
      </c>
      <c r="F22" s="238">
        <f>E22/E64</f>
        <v>0</v>
      </c>
      <c r="G22" s="241">
        <v>0</v>
      </c>
      <c r="H22" s="238">
        <f>G22/G64</f>
        <v>0</v>
      </c>
      <c r="I22" s="239">
        <f t="shared" si="1"/>
        <v>0</v>
      </c>
    </row>
    <row r="23" spans="1:9" s="224" customFormat="1">
      <c r="A23" s="37" t="s">
        <v>13</v>
      </c>
      <c r="B23" s="241">
        <v>0</v>
      </c>
      <c r="C23" s="241">
        <v>0</v>
      </c>
      <c r="D23" s="237">
        <f t="shared" si="0"/>
        <v>0</v>
      </c>
      <c r="E23" s="242">
        <v>0</v>
      </c>
      <c r="F23" s="238">
        <f>E23/E64</f>
        <v>0</v>
      </c>
      <c r="G23" s="241">
        <v>0</v>
      </c>
      <c r="H23" s="238">
        <f>G23/G64</f>
        <v>0</v>
      </c>
      <c r="I23" s="239">
        <f t="shared" si="1"/>
        <v>0</v>
      </c>
    </row>
    <row r="24" spans="1:9" s="224" customFormat="1">
      <c r="A24" s="37" t="s">
        <v>14</v>
      </c>
      <c r="B24" s="241">
        <v>0</v>
      </c>
      <c r="C24" s="241">
        <v>0</v>
      </c>
      <c r="D24" s="237">
        <f t="shared" si="0"/>
        <v>0</v>
      </c>
      <c r="E24" s="242">
        <v>0</v>
      </c>
      <c r="F24" s="238">
        <f>E24/E64</f>
        <v>0</v>
      </c>
      <c r="G24" s="241">
        <v>0</v>
      </c>
      <c r="H24" s="238">
        <f>G24/G64</f>
        <v>0</v>
      </c>
      <c r="I24" s="239">
        <f t="shared" si="1"/>
        <v>0</v>
      </c>
    </row>
    <row r="25" spans="1:9" s="224" customFormat="1">
      <c r="A25" s="37" t="s">
        <v>15</v>
      </c>
      <c r="B25" s="241">
        <v>0</v>
      </c>
      <c r="C25" s="241">
        <v>0</v>
      </c>
      <c r="D25" s="237">
        <f t="shared" si="0"/>
        <v>0</v>
      </c>
      <c r="E25" s="242">
        <f>VLOOKUP(A25,[10]進出口值表查詢結果!$A$10:$C$49,3,0)</f>
        <v>2</v>
      </c>
      <c r="F25" s="238">
        <f>E25/E64</f>
        <v>3.7413248031127825E-5</v>
      </c>
      <c r="G25" s="243">
        <f>VLOOKUP(A25,[10]進出口值表查詢結果!$A$10:$C$49,2,0)</f>
        <v>9395</v>
      </c>
      <c r="H25" s="238">
        <f>G25/G64</f>
        <v>8.3349325994499845E-5</v>
      </c>
      <c r="I25" s="239">
        <f t="shared" si="1"/>
        <v>4697.5</v>
      </c>
    </row>
    <row r="26" spans="1:9" s="224" customFormat="1">
      <c r="A26" s="240" t="s">
        <v>252</v>
      </c>
      <c r="B26" s="241">
        <f>VLOOKUP(A26,[9]進出口值表查詢結果!$A$3:$C$37,3,0)</f>
        <v>411</v>
      </c>
      <c r="C26" s="241">
        <f>VLOOKUP(A26,[9]進出口值表查詢結果!$A$3:$C$37,2,0)</f>
        <v>146323</v>
      </c>
      <c r="D26" s="237">
        <f t="shared" si="0"/>
        <v>356.01703163017032</v>
      </c>
      <c r="E26" s="242">
        <f>VLOOKUP(A26,[10]進出口值表查詢結果!$A$10:$C$49,3,0)</f>
        <v>1031</v>
      </c>
      <c r="F26" s="238">
        <f>E26/E64</f>
        <v>1.9286529360046392E-2</v>
      </c>
      <c r="G26" s="243">
        <f>VLOOKUP(A26,[10]進出口值表查詢結果!$A$10:$C$49,2,0)</f>
        <v>382595</v>
      </c>
      <c r="H26" s="238">
        <f>G26/G64</f>
        <v>3.3942560275535571E-3</v>
      </c>
      <c r="I26" s="239">
        <f t="shared" si="1"/>
        <v>371.09117361784678</v>
      </c>
    </row>
    <row r="27" spans="1:9" s="224" customFormat="1">
      <c r="A27" s="240" t="s">
        <v>254</v>
      </c>
      <c r="B27" s="241">
        <v>0</v>
      </c>
      <c r="C27" s="241">
        <v>0</v>
      </c>
      <c r="D27" s="237">
        <f t="shared" si="0"/>
        <v>0</v>
      </c>
      <c r="E27" s="242">
        <v>0</v>
      </c>
      <c r="F27" s="238">
        <f>E27/E64</f>
        <v>0</v>
      </c>
      <c r="G27" s="241">
        <v>0</v>
      </c>
      <c r="H27" s="238">
        <f>G27/G64</f>
        <v>0</v>
      </c>
      <c r="I27" s="239">
        <f t="shared" si="1"/>
        <v>0</v>
      </c>
    </row>
    <row r="28" spans="1:9" s="224" customFormat="1">
      <c r="A28" s="248" t="s">
        <v>255</v>
      </c>
      <c r="B28" s="241">
        <f>VLOOKUP(A28,[9]進出口值表查詢結果!$A$3:$C$37,3,0)</f>
        <v>115</v>
      </c>
      <c r="C28" s="241">
        <f>VLOOKUP(A28,[9]進出口值表查詢結果!$A$3:$C$37,2,0)</f>
        <v>247727</v>
      </c>
      <c r="D28" s="237">
        <f t="shared" si="0"/>
        <v>2154.1478260869567</v>
      </c>
      <c r="E28" s="242">
        <f>VLOOKUP(A28,[10]進出口值表查詢結果!$A$10:$C$49,3,0)</f>
        <v>115</v>
      </c>
      <c r="F28" s="238">
        <f>E28/E64</f>
        <v>2.1512617617898497E-3</v>
      </c>
      <c r="G28" s="243">
        <f>VLOOKUP(A28,[10]進出口值表查詢結果!$A$10:$C$49,2,0)</f>
        <v>247727</v>
      </c>
      <c r="H28" s="238">
        <f>G28/G64</f>
        <v>2.1977518340222952E-3</v>
      </c>
      <c r="I28" s="239">
        <f t="shared" si="1"/>
        <v>2154.1478260869567</v>
      </c>
    </row>
    <row r="29" spans="1:9" s="224" customFormat="1">
      <c r="A29" s="248" t="s">
        <v>256</v>
      </c>
      <c r="B29" s="241">
        <f>VLOOKUP(A29,[9]進出口值表查詢結果!$A$3:$C$37,3,0)</f>
        <v>10</v>
      </c>
      <c r="C29" s="241">
        <f>VLOOKUP(A29,[9]進出口值表查詢結果!$A$3:$C$37,2,0)</f>
        <v>37778</v>
      </c>
      <c r="D29" s="237">
        <f t="shared" si="0"/>
        <v>3777.8</v>
      </c>
      <c r="E29" s="242">
        <f>VLOOKUP(A29,[10]進出口值表查詢結果!$A$10:$C$49,3,0)</f>
        <v>10</v>
      </c>
      <c r="F29" s="238">
        <f>E29/E64</f>
        <v>1.8706624015563911E-4</v>
      </c>
      <c r="G29" s="243">
        <f>VLOOKUP(A29,[10]進出口值表查詢結果!$A$10:$C$49,2,0)</f>
        <v>37778</v>
      </c>
      <c r="H29" s="238">
        <f>G29/G64</f>
        <v>3.3515389435020916E-4</v>
      </c>
      <c r="I29" s="239">
        <f t="shared" si="1"/>
        <v>3777.8</v>
      </c>
    </row>
    <row r="30" spans="1:9" s="224" customFormat="1">
      <c r="A30" s="248" t="s">
        <v>257</v>
      </c>
      <c r="B30" s="241">
        <f>VLOOKUP(A30,[9]進出口值表查詢結果!$A$3:$C$37,3,0)</f>
        <v>95</v>
      </c>
      <c r="C30" s="241">
        <f>VLOOKUP(A30,[9]進出口值表查詢結果!$A$3:$C$37,2,0)</f>
        <v>162191</v>
      </c>
      <c r="D30" s="237">
        <f t="shared" si="0"/>
        <v>1707.2736842105264</v>
      </c>
      <c r="E30" s="242">
        <f>VLOOKUP(A30,[10]進出口值表查詢結果!$A$10:$C$49,3,0)</f>
        <v>95</v>
      </c>
      <c r="F30" s="238">
        <f>E30/E64</f>
        <v>1.7771292814785715E-3</v>
      </c>
      <c r="G30" s="243">
        <f>VLOOKUP(A30,[10]進出口值表查詢結果!$A$10:$C$49,2,0)</f>
        <v>162191</v>
      </c>
      <c r="H30" s="238">
        <f>G30/G64</f>
        <v>1.4389047932276662E-3</v>
      </c>
      <c r="I30" s="239">
        <f t="shared" si="1"/>
        <v>1707.2736842105264</v>
      </c>
    </row>
    <row r="31" spans="1:9" s="224" customFormat="1">
      <c r="A31" s="248" t="s">
        <v>258</v>
      </c>
      <c r="B31" s="241">
        <v>0</v>
      </c>
      <c r="C31" s="241">
        <v>0</v>
      </c>
      <c r="D31" s="237">
        <f t="shared" si="0"/>
        <v>0</v>
      </c>
      <c r="E31" s="242">
        <v>0</v>
      </c>
      <c r="F31" s="238">
        <f>E31/E64</f>
        <v>0</v>
      </c>
      <c r="G31" s="241">
        <v>0</v>
      </c>
      <c r="H31" s="238">
        <f>G31/G64</f>
        <v>0</v>
      </c>
      <c r="I31" s="239">
        <f t="shared" si="1"/>
        <v>0</v>
      </c>
    </row>
    <row r="32" spans="1:9" s="224" customFormat="1">
      <c r="A32" s="30" t="s">
        <v>260</v>
      </c>
      <c r="B32" s="241">
        <v>0</v>
      </c>
      <c r="C32" s="241">
        <v>0</v>
      </c>
      <c r="D32" s="237">
        <f t="shared" si="0"/>
        <v>0</v>
      </c>
      <c r="E32" s="242">
        <v>0</v>
      </c>
      <c r="F32" s="238">
        <f>E32/E64</f>
        <v>0</v>
      </c>
      <c r="G32" s="241">
        <v>0</v>
      </c>
      <c r="H32" s="238">
        <f>G32/G64</f>
        <v>0</v>
      </c>
      <c r="I32" s="239">
        <f t="shared" si="1"/>
        <v>0</v>
      </c>
    </row>
    <row r="33" spans="1:9" s="224" customFormat="1">
      <c r="A33" s="248" t="s">
        <v>262</v>
      </c>
      <c r="B33" s="241">
        <v>0</v>
      </c>
      <c r="C33" s="241">
        <v>0</v>
      </c>
      <c r="D33" s="237">
        <f t="shared" si="0"/>
        <v>0</v>
      </c>
      <c r="E33" s="242">
        <v>0</v>
      </c>
      <c r="F33" s="238">
        <f>E33/E64</f>
        <v>0</v>
      </c>
      <c r="G33" s="241">
        <v>0</v>
      </c>
      <c r="H33" s="238">
        <f>G33/G64</f>
        <v>0</v>
      </c>
      <c r="I33" s="239">
        <f t="shared" si="1"/>
        <v>0</v>
      </c>
    </row>
    <row r="34" spans="1:9" s="224" customFormat="1">
      <c r="A34" s="248" t="s">
        <v>263</v>
      </c>
      <c r="B34" s="241">
        <v>0</v>
      </c>
      <c r="C34" s="241">
        <v>0</v>
      </c>
      <c r="D34" s="237">
        <f t="shared" si="0"/>
        <v>0</v>
      </c>
      <c r="E34" s="242">
        <v>0</v>
      </c>
      <c r="F34" s="238">
        <f>E34/E64</f>
        <v>0</v>
      </c>
      <c r="G34" s="241">
        <v>0</v>
      </c>
      <c r="H34" s="238">
        <f>G34/G64</f>
        <v>0</v>
      </c>
      <c r="I34" s="239">
        <f t="shared" si="1"/>
        <v>0</v>
      </c>
    </row>
    <row r="35" spans="1:9" s="224" customFormat="1">
      <c r="A35" s="249" t="s">
        <v>381</v>
      </c>
      <c r="B35" s="241">
        <v>0</v>
      </c>
      <c r="C35" s="241">
        <v>0</v>
      </c>
      <c r="D35" s="237">
        <f t="shared" si="0"/>
        <v>0</v>
      </c>
      <c r="E35" s="242">
        <v>0</v>
      </c>
      <c r="F35" s="238">
        <f>E35/E64</f>
        <v>0</v>
      </c>
      <c r="G35" s="241">
        <v>0</v>
      </c>
      <c r="H35" s="238">
        <f>G35/G64</f>
        <v>0</v>
      </c>
      <c r="I35" s="239">
        <f t="shared" si="1"/>
        <v>0</v>
      </c>
    </row>
    <row r="36" spans="1:9" s="224" customFormat="1">
      <c r="A36" s="248" t="s">
        <v>266</v>
      </c>
      <c r="B36" s="241">
        <v>0</v>
      </c>
      <c r="C36" s="241">
        <v>0</v>
      </c>
      <c r="D36" s="237">
        <f t="shared" si="0"/>
        <v>0</v>
      </c>
      <c r="E36" s="242">
        <v>0</v>
      </c>
      <c r="F36" s="238">
        <f>E36/E64</f>
        <v>0</v>
      </c>
      <c r="G36" s="241">
        <v>0</v>
      </c>
      <c r="H36" s="238">
        <f>G36/G64</f>
        <v>0</v>
      </c>
      <c r="I36" s="239">
        <f t="shared" si="1"/>
        <v>0</v>
      </c>
    </row>
    <row r="37" spans="1:9" s="224" customFormat="1">
      <c r="A37" s="248" t="s">
        <v>382</v>
      </c>
      <c r="B37" s="241">
        <v>0</v>
      </c>
      <c r="C37" s="241">
        <v>0</v>
      </c>
      <c r="D37" s="237">
        <f t="shared" si="0"/>
        <v>0</v>
      </c>
      <c r="E37" s="242">
        <v>0</v>
      </c>
      <c r="F37" s="238">
        <f>E37/E64</f>
        <v>0</v>
      </c>
      <c r="G37" s="241">
        <v>0</v>
      </c>
      <c r="H37" s="238">
        <f>G37/G64</f>
        <v>0</v>
      </c>
      <c r="I37" s="239">
        <f t="shared" si="1"/>
        <v>0</v>
      </c>
    </row>
    <row r="38" spans="1:9" s="224" customFormat="1">
      <c r="A38" s="248" t="s">
        <v>268</v>
      </c>
      <c r="B38" s="241">
        <v>0</v>
      </c>
      <c r="C38" s="241">
        <v>0</v>
      </c>
      <c r="D38" s="237">
        <f t="shared" si="0"/>
        <v>0</v>
      </c>
      <c r="E38" s="242">
        <v>0</v>
      </c>
      <c r="F38" s="238">
        <f>E38/E64</f>
        <v>0</v>
      </c>
      <c r="G38" s="241">
        <v>0</v>
      </c>
      <c r="H38" s="238">
        <f>G38/G64</f>
        <v>0</v>
      </c>
      <c r="I38" s="239">
        <f t="shared" si="1"/>
        <v>0</v>
      </c>
    </row>
    <row r="39" spans="1:9" s="224" customFormat="1">
      <c r="A39" s="248" t="s">
        <v>269</v>
      </c>
      <c r="B39" s="241">
        <v>0</v>
      </c>
      <c r="C39" s="241">
        <v>0</v>
      </c>
      <c r="D39" s="237">
        <f t="shared" si="0"/>
        <v>0</v>
      </c>
      <c r="E39" s="242">
        <v>0</v>
      </c>
      <c r="F39" s="238">
        <f>E39/E64</f>
        <v>0</v>
      </c>
      <c r="G39" s="241">
        <v>0</v>
      </c>
      <c r="H39" s="238">
        <f>G39/G64</f>
        <v>0</v>
      </c>
      <c r="I39" s="239">
        <f t="shared" si="1"/>
        <v>0</v>
      </c>
    </row>
    <row r="40" spans="1:9" s="224" customFormat="1">
      <c r="A40" s="30" t="s">
        <v>270</v>
      </c>
      <c r="B40" s="241">
        <v>0</v>
      </c>
      <c r="C40" s="241">
        <v>0</v>
      </c>
      <c r="D40" s="237">
        <f t="shared" si="0"/>
        <v>0</v>
      </c>
      <c r="E40" s="242">
        <v>0</v>
      </c>
      <c r="F40" s="238">
        <f>E40/E64</f>
        <v>0</v>
      </c>
      <c r="G40" s="241">
        <v>0</v>
      </c>
      <c r="H40" s="238">
        <f>G40/G64</f>
        <v>0</v>
      </c>
      <c r="I40" s="239">
        <f t="shared" si="1"/>
        <v>0</v>
      </c>
    </row>
    <row r="41" spans="1:9" s="224" customFormat="1">
      <c r="A41" s="30"/>
      <c r="B41" s="34"/>
      <c r="C41" s="35"/>
      <c r="D41" s="237"/>
      <c r="E41" s="243"/>
      <c r="F41" s="244"/>
      <c r="G41" s="243"/>
      <c r="H41" s="244"/>
      <c r="I41" s="239"/>
    </row>
    <row r="42" spans="1:9" s="224" customFormat="1">
      <c r="A42" s="247" t="s">
        <v>19</v>
      </c>
      <c r="B42" s="246">
        <f>SUM(B43:B46)</f>
        <v>299</v>
      </c>
      <c r="C42" s="246">
        <f>SUM(C43:C46)</f>
        <v>719379</v>
      </c>
      <c r="D42" s="237">
        <f t="shared" si="0"/>
        <v>2405.9498327759197</v>
      </c>
      <c r="E42" s="246">
        <f>SUM(E43:E46)</f>
        <v>844</v>
      </c>
      <c r="F42" s="238">
        <f>E42/E64</f>
        <v>1.578839066913594E-2</v>
      </c>
      <c r="G42" s="246">
        <f>SUM(G43:G46)</f>
        <v>1779396</v>
      </c>
      <c r="H42" s="238">
        <f>G42/G64</f>
        <v>1.5786211524992981E-2</v>
      </c>
      <c r="I42" s="239">
        <f t="shared" si="1"/>
        <v>2108.2890995260664</v>
      </c>
    </row>
    <row r="43" spans="1:9" s="224" customFormat="1">
      <c r="A43" s="240" t="s">
        <v>179</v>
      </c>
      <c r="B43" s="241">
        <f>VLOOKUP(A43,[9]進出口值表查詢結果!$A$3:$C$37,3,0)</f>
        <v>299</v>
      </c>
      <c r="C43" s="241">
        <f>VLOOKUP(A43,[9]進出口值表查詢結果!$A$3:$C$37,2,0)</f>
        <v>719379</v>
      </c>
      <c r="D43" s="237">
        <f t="shared" si="0"/>
        <v>2405.9498327759197</v>
      </c>
      <c r="E43" s="242">
        <f>VLOOKUP(A43,[10]進出口值表查詢結果!$A$10:$C$49,3,0)</f>
        <v>524</v>
      </c>
      <c r="F43" s="238">
        <f>E43/E64</f>
        <v>9.8022709841554898E-3</v>
      </c>
      <c r="G43" s="243">
        <f>VLOOKUP(A43,[10]進出口值表查詢結果!$A$10:$C$49,2,0)</f>
        <v>1205241</v>
      </c>
      <c r="H43" s="238">
        <f>G43/G64</f>
        <v>1.0692498670669185E-2</v>
      </c>
      <c r="I43" s="239">
        <f t="shared" si="1"/>
        <v>2300.0782442748091</v>
      </c>
    </row>
    <row r="44" spans="1:9" s="224" customFormat="1">
      <c r="A44" s="240" t="s">
        <v>272</v>
      </c>
      <c r="B44" s="241">
        <v>0</v>
      </c>
      <c r="C44" s="241">
        <v>0</v>
      </c>
      <c r="D44" s="237">
        <f t="shared" si="0"/>
        <v>0</v>
      </c>
      <c r="E44" s="242">
        <f>VLOOKUP(A44,[10]進出口值表查詢結果!$A$10:$C$49,3,0)</f>
        <v>320</v>
      </c>
      <c r="F44" s="238">
        <f>E44/E64</f>
        <v>5.9861196849804515E-3</v>
      </c>
      <c r="G44" s="243">
        <f>VLOOKUP(A44,[10]進出口值表查詢結果!$A$10:$C$49,2,0)</f>
        <v>574155</v>
      </c>
      <c r="H44" s="238">
        <f>G44/G64</f>
        <v>5.093712854323796E-3</v>
      </c>
      <c r="I44" s="239">
        <f t="shared" si="1"/>
        <v>1794.234375</v>
      </c>
    </row>
    <row r="45" spans="1:9" s="224" customFormat="1">
      <c r="A45" s="240" t="s">
        <v>273</v>
      </c>
      <c r="B45" s="241">
        <v>0</v>
      </c>
      <c r="C45" s="241">
        <v>0</v>
      </c>
      <c r="D45" s="237">
        <f t="shared" si="0"/>
        <v>0</v>
      </c>
      <c r="E45" s="242">
        <v>0</v>
      </c>
      <c r="F45" s="238">
        <f>E45/E64</f>
        <v>0</v>
      </c>
      <c r="G45" s="241">
        <v>0</v>
      </c>
      <c r="H45" s="238">
        <f>G45/G64</f>
        <v>0</v>
      </c>
      <c r="I45" s="239">
        <f t="shared" si="1"/>
        <v>0</v>
      </c>
    </row>
    <row r="46" spans="1:9" s="224" customFormat="1">
      <c r="A46" s="37" t="s">
        <v>20</v>
      </c>
      <c r="B46" s="241">
        <v>0</v>
      </c>
      <c r="C46" s="241">
        <v>0</v>
      </c>
      <c r="D46" s="237">
        <f t="shared" si="0"/>
        <v>0</v>
      </c>
      <c r="E46" s="242">
        <v>0</v>
      </c>
      <c r="F46" s="238">
        <f>E46/E64</f>
        <v>0</v>
      </c>
      <c r="G46" s="241">
        <v>0</v>
      </c>
      <c r="H46" s="238">
        <f>G46/G64</f>
        <v>0</v>
      </c>
      <c r="I46" s="239">
        <f t="shared" si="1"/>
        <v>0</v>
      </c>
    </row>
    <row r="47" spans="1:9" s="224" customFormat="1">
      <c r="A47" s="37"/>
      <c r="B47" s="241"/>
      <c r="C47" s="35"/>
      <c r="D47" s="237"/>
      <c r="E47" s="243"/>
      <c r="F47" s="244"/>
      <c r="G47" s="243"/>
      <c r="H47" s="244"/>
      <c r="I47" s="239"/>
    </row>
    <row r="48" spans="1:9" s="224" customFormat="1">
      <c r="A48" s="247" t="s">
        <v>21</v>
      </c>
      <c r="B48" s="246">
        <f>SUM(B49:B62)</f>
        <v>3872</v>
      </c>
      <c r="C48" s="246">
        <f>SUM(C49:C62)</f>
        <v>9461887</v>
      </c>
      <c r="D48" s="237">
        <f t="shared" si="0"/>
        <v>2443.6691632231405</v>
      </c>
      <c r="E48" s="246">
        <f>SUM(E49:E62)</f>
        <v>5895</v>
      </c>
      <c r="F48" s="238">
        <f>E48/E64</f>
        <v>0.11027554857174926</v>
      </c>
      <c r="G48" s="246">
        <f>SUM(G49:G62)</f>
        <v>13840756</v>
      </c>
      <c r="H48" s="238">
        <f>G48/G64</f>
        <v>0.12279059966517614</v>
      </c>
      <c r="I48" s="239">
        <f t="shared" si="1"/>
        <v>2347.8805767599661</v>
      </c>
    </row>
    <row r="49" spans="1:9" s="224" customFormat="1">
      <c r="A49" s="247" t="s">
        <v>158</v>
      </c>
      <c r="B49" s="241">
        <f>VLOOKUP(A49,[9]進出口值表查詢結果!$A$3:$C$37,3,0)</f>
        <v>1662</v>
      </c>
      <c r="C49" s="241">
        <f>VLOOKUP(A49,[9]進出口值表查詢結果!$A$3:$C$37,2,0)</f>
        <v>4088739</v>
      </c>
      <c r="D49" s="237">
        <f t="shared" si="0"/>
        <v>2460.1317689530688</v>
      </c>
      <c r="E49" s="242">
        <f>VLOOKUP(A49,[10]進出口值表查詢結果!$A$10:$C$49,3,0)</f>
        <v>2325</v>
      </c>
      <c r="F49" s="238">
        <f>E49/E64</f>
        <v>4.3492900836186094E-2</v>
      </c>
      <c r="G49" s="243">
        <f>VLOOKUP(A49,[10]進出口值表查詢結果!$A$10:$C$49,2,0)</f>
        <v>5526016</v>
      </c>
      <c r="H49" s="238">
        <f>G49/G64</f>
        <v>4.902498233473359E-2</v>
      </c>
      <c r="I49" s="239">
        <f t="shared" si="1"/>
        <v>2376.7810752688174</v>
      </c>
    </row>
    <row r="50" spans="1:9" s="224" customFormat="1">
      <c r="A50" s="240" t="s">
        <v>383</v>
      </c>
      <c r="B50" s="241">
        <f>VLOOKUP(A50,[9]進出口值表查詢結果!$A$3:$C$37,3,0)</f>
        <v>415</v>
      </c>
      <c r="C50" s="241">
        <f>VLOOKUP(A50,[9]進出口值表查詢結果!$A$3:$C$37,2,0)</f>
        <v>366555</v>
      </c>
      <c r="D50" s="237">
        <f t="shared" si="0"/>
        <v>883.26506024096386</v>
      </c>
      <c r="E50" s="242">
        <f>VLOOKUP(A50,[10]進出口值表查詢結果!$A$10:$C$49,3,0)</f>
        <v>638</v>
      </c>
      <c r="F50" s="238">
        <f>E50/E64</f>
        <v>1.1934826121929776E-2</v>
      </c>
      <c r="G50" s="243">
        <f>VLOOKUP(A50,[10]進出口值表查詢結果!$A$10:$C$49,2,0)</f>
        <v>528610</v>
      </c>
      <c r="H50" s="238">
        <f>G50/G64</f>
        <v>4.6896527103728117E-3</v>
      </c>
      <c r="I50" s="239">
        <f t="shared" si="1"/>
        <v>828.54231974921629</v>
      </c>
    </row>
    <row r="51" spans="1:9" s="224" customFormat="1">
      <c r="A51" s="240" t="s">
        <v>384</v>
      </c>
      <c r="B51" s="241">
        <v>0</v>
      </c>
      <c r="C51" s="241">
        <v>0</v>
      </c>
      <c r="D51" s="237">
        <f t="shared" si="0"/>
        <v>0</v>
      </c>
      <c r="E51" s="242">
        <v>0</v>
      </c>
      <c r="F51" s="238">
        <f>E51/E64</f>
        <v>0</v>
      </c>
      <c r="G51" s="241">
        <v>0</v>
      </c>
      <c r="H51" s="238">
        <f>G51/G64</f>
        <v>0</v>
      </c>
      <c r="I51" s="239">
        <f t="shared" si="1"/>
        <v>0</v>
      </c>
    </row>
    <row r="52" spans="1:9" s="224" customFormat="1">
      <c r="A52" s="240" t="s">
        <v>296</v>
      </c>
      <c r="B52" s="241">
        <v>0</v>
      </c>
      <c r="C52" s="241">
        <v>0</v>
      </c>
      <c r="D52" s="237">
        <f t="shared" si="0"/>
        <v>0</v>
      </c>
      <c r="E52" s="242">
        <f>VLOOKUP(A52,[10]進出口值表查詢結果!$A$10:$C$49,3,0)</f>
        <v>24</v>
      </c>
      <c r="F52" s="238">
        <f>E52/E64</f>
        <v>4.4895897637353384E-4</v>
      </c>
      <c r="G52" s="243">
        <f>VLOOKUP(A52,[10]進出口值表查詢結果!$A$10:$C$49,2,0)</f>
        <v>70538</v>
      </c>
      <c r="H52" s="238">
        <f>G52/G64</f>
        <v>6.2578975593401067E-4</v>
      </c>
      <c r="I52" s="239">
        <f t="shared" si="1"/>
        <v>2939.0833333333335</v>
      </c>
    </row>
    <row r="53" spans="1:9" s="224" customFormat="1">
      <c r="A53" s="37" t="s">
        <v>22</v>
      </c>
      <c r="B53" s="241">
        <f>VLOOKUP(A53,[9]進出口值表查詢結果!$A$3:$C$37,3,0)</f>
        <v>22</v>
      </c>
      <c r="C53" s="241">
        <f>VLOOKUP(A53,[9]進出口值表查詢結果!$A$3:$C$37,2,0)</f>
        <v>59323</v>
      </c>
      <c r="D53" s="237">
        <f t="shared" si="0"/>
        <v>2696.5</v>
      </c>
      <c r="E53" s="242">
        <f>VLOOKUP(A53,[10]進出口值表查詢結果!$A$10:$C$49,3,0)</f>
        <v>62</v>
      </c>
      <c r="F53" s="238">
        <f>E53/E64</f>
        <v>1.1598106889649624E-3</v>
      </c>
      <c r="G53" s="243">
        <f>VLOOKUP(A53,[10]進出口值表查詢結果!$A$10:$C$49,2,0)</f>
        <v>182704</v>
      </c>
      <c r="H53" s="238">
        <f>G53/G64</f>
        <v>1.6208893301223098E-3</v>
      </c>
      <c r="I53" s="239">
        <f t="shared" si="1"/>
        <v>2946.8387096774195</v>
      </c>
    </row>
    <row r="54" spans="1:9" s="224" customFormat="1">
      <c r="A54" s="240" t="s">
        <v>302</v>
      </c>
      <c r="B54" s="241">
        <f>VLOOKUP(A54,[9]進出口值表查詢結果!$A$3:$C$37,3,0)</f>
        <v>131</v>
      </c>
      <c r="C54" s="241">
        <f>VLOOKUP(A54,[9]進出口值表查詢結果!$A$3:$C$37,2,0)</f>
        <v>546018</v>
      </c>
      <c r="D54" s="237">
        <f t="shared" si="0"/>
        <v>4168.0763358778622</v>
      </c>
      <c r="E54" s="242">
        <f>VLOOKUP(A54,[10]進出口值表查詢結果!$A$10:$C$49,3,0)</f>
        <v>137</v>
      </c>
      <c r="F54" s="238">
        <f>E54/E64</f>
        <v>2.5628074901322558E-3</v>
      </c>
      <c r="G54" s="243">
        <f>VLOOKUP(A54,[10]進出口值表查詢結果!$A$10:$C$49,2,0)</f>
        <v>564869</v>
      </c>
      <c r="H54" s="238">
        <f>G54/G64</f>
        <v>5.0113305402008663E-3</v>
      </c>
      <c r="I54" s="239">
        <f t="shared" si="1"/>
        <v>4123.1313868613142</v>
      </c>
    </row>
    <row r="55" spans="1:9" s="224" customFormat="1">
      <c r="A55" s="26" t="s">
        <v>385</v>
      </c>
      <c r="B55" s="241">
        <f>VLOOKUP(A55,[9]進出口值表查詢結果!$A$3:$C$37,3,0)</f>
        <v>641</v>
      </c>
      <c r="C55" s="241">
        <f>VLOOKUP(A55,[9]進出口值表查詢結果!$A$3:$C$37,2,0)</f>
        <v>1559415</v>
      </c>
      <c r="D55" s="237">
        <f t="shared" si="0"/>
        <v>2432.7847113884554</v>
      </c>
      <c r="E55" s="242">
        <f>VLOOKUP(A55,[10]進出口值表查詢結果!$A$10:$C$49,3,0)</f>
        <v>1320</v>
      </c>
      <c r="F55" s="238">
        <f>E55/E64</f>
        <v>2.4692743700544362E-2</v>
      </c>
      <c r="G55" s="243">
        <f>VLOOKUP(A55,[10]進出口值表查詢結果!$A$10:$C$49,2,0)</f>
        <v>3121227</v>
      </c>
      <c r="H55" s="238">
        <f>G55/G64</f>
        <v>2.7690491402430524E-2</v>
      </c>
      <c r="I55" s="239">
        <f t="shared" si="1"/>
        <v>2364.5659090909089</v>
      </c>
    </row>
    <row r="56" spans="1:9" s="224" customFormat="1">
      <c r="A56" s="37" t="s">
        <v>23</v>
      </c>
      <c r="B56" s="241">
        <f>VLOOKUP(A56,[9]進出口值表查詢結果!$A$3:$C$37,3,0)</f>
        <v>62</v>
      </c>
      <c r="C56" s="241">
        <f>VLOOKUP(A56,[9]進出口值表查詢結果!$A$3:$C$37,2,0)</f>
        <v>63412</v>
      </c>
      <c r="D56" s="237">
        <f t="shared" si="0"/>
        <v>1022.7741935483871</v>
      </c>
      <c r="E56" s="242">
        <f>VLOOKUP(A56,[10]進出口值表查詢結果!$A$10:$C$49,3,0)</f>
        <v>72</v>
      </c>
      <c r="F56" s="238">
        <f>E56/E64</f>
        <v>1.3468769291206015E-3</v>
      </c>
      <c r="G56" s="243">
        <f>VLOOKUP(A56,[10]進出口值表查詢結果!$A$10:$C$49,2,0)</f>
        <v>76699</v>
      </c>
      <c r="H56" s="238">
        <f>G56/G64</f>
        <v>6.80448105849084E-4</v>
      </c>
      <c r="I56" s="239">
        <f t="shared" si="1"/>
        <v>1065.2638888888889</v>
      </c>
    </row>
    <row r="57" spans="1:9" s="224" customFormat="1">
      <c r="A57" s="37" t="s">
        <v>238</v>
      </c>
      <c r="B57" s="241">
        <f>VLOOKUP(A57,[9]進出口值表查詢結果!$A$3:$C$37,3,0)</f>
        <v>99</v>
      </c>
      <c r="C57" s="241">
        <f>VLOOKUP(A57,[9]進出口值表查詢結果!$A$3:$C$37,2,0)</f>
        <v>327830</v>
      </c>
      <c r="D57" s="237">
        <f t="shared" si="0"/>
        <v>3311.4141414141413</v>
      </c>
      <c r="E57" s="242">
        <f>VLOOKUP(A57,[10]進出口值表查詢結果!$A$10:$C$49,3,0)</f>
        <v>99</v>
      </c>
      <c r="F57" s="238">
        <f>E57/E64</f>
        <v>1.8519557775408273E-3</v>
      </c>
      <c r="G57" s="243">
        <f>VLOOKUP(A57,[10]進出口值表查詢結果!$A$10:$C$49,2,0)</f>
        <v>327830</v>
      </c>
      <c r="H57" s="238">
        <f>G57/G64</f>
        <v>2.9083990996037132E-3</v>
      </c>
      <c r="I57" s="239">
        <f t="shared" si="1"/>
        <v>3311.4141414141413</v>
      </c>
    </row>
    <row r="58" spans="1:9" s="224" customFormat="1">
      <c r="A58" s="37" t="s">
        <v>231</v>
      </c>
      <c r="B58" s="241">
        <f>VLOOKUP(A58,[9]進出口值表查詢結果!$A$3:$C$37,3,0)</f>
        <v>50</v>
      </c>
      <c r="C58" s="241">
        <f>VLOOKUP(A58,[9]進出口值表查詢結果!$A$3:$C$37,2,0)</f>
        <v>182240</v>
      </c>
      <c r="D58" s="237">
        <f t="shared" si="0"/>
        <v>3644.8</v>
      </c>
      <c r="E58" s="242">
        <f>VLOOKUP(A58,[10]進出口值表查詢結果!$A$10:$C$49,3,0)</f>
        <v>50</v>
      </c>
      <c r="F58" s="238">
        <f>E58/E64</f>
        <v>9.3533120077819558E-4</v>
      </c>
      <c r="G58" s="243">
        <f>VLOOKUP(A58,[10]進出口值表查詢結果!$A$10:$C$49,2,0)</f>
        <v>182240</v>
      </c>
      <c r="H58" s="238">
        <f>G58/G64</f>
        <v>1.6167728759167272E-3</v>
      </c>
      <c r="I58" s="239">
        <f t="shared" si="1"/>
        <v>3644.8</v>
      </c>
    </row>
    <row r="59" spans="1:9" s="224" customFormat="1">
      <c r="A59" s="37" t="s">
        <v>276</v>
      </c>
      <c r="B59" s="241">
        <v>0</v>
      </c>
      <c r="C59" s="241">
        <v>0</v>
      </c>
      <c r="D59" s="237">
        <f t="shared" si="0"/>
        <v>0</v>
      </c>
      <c r="E59" s="242">
        <v>0</v>
      </c>
      <c r="F59" s="238">
        <f>E59/E64</f>
        <v>0</v>
      </c>
      <c r="G59" s="241">
        <v>0</v>
      </c>
      <c r="H59" s="238">
        <f>G59/G64</f>
        <v>0</v>
      </c>
      <c r="I59" s="239">
        <f t="shared" si="1"/>
        <v>0</v>
      </c>
    </row>
    <row r="60" spans="1:9" s="224" customFormat="1">
      <c r="A60" s="37" t="s">
        <v>281</v>
      </c>
      <c r="B60" s="241">
        <v>0</v>
      </c>
      <c r="C60" s="241">
        <v>0</v>
      </c>
      <c r="D60" s="237">
        <f t="shared" si="0"/>
        <v>0</v>
      </c>
      <c r="E60" s="242">
        <v>0</v>
      </c>
      <c r="F60" s="238">
        <f>E60/E64</f>
        <v>0</v>
      </c>
      <c r="G60" s="241">
        <v>0</v>
      </c>
      <c r="H60" s="238">
        <f>G60/G64</f>
        <v>0</v>
      </c>
      <c r="I60" s="239">
        <f t="shared" si="1"/>
        <v>0</v>
      </c>
    </row>
    <row r="61" spans="1:9" s="224" customFormat="1">
      <c r="A61" s="37" t="s">
        <v>287</v>
      </c>
      <c r="B61" s="241">
        <f>VLOOKUP(A61,[9]進出口值表查詢結果!$A$3:$C$37,3,0)</f>
        <v>510</v>
      </c>
      <c r="C61" s="241">
        <f>VLOOKUP(A61,[9]進出口值表查詢結果!$A$3:$C$37,2,0)</f>
        <v>1331553</v>
      </c>
      <c r="D61" s="237">
        <f t="shared" si="0"/>
        <v>2610.8882352941177</v>
      </c>
      <c r="E61" s="242">
        <f>VLOOKUP(A61,[10]進出口值表查詢結果!$A$10:$C$49,3,0)</f>
        <v>712</v>
      </c>
      <c r="F61" s="238">
        <f>E61/E64</f>
        <v>1.3319116299081505E-2</v>
      </c>
      <c r="G61" s="243">
        <f>VLOOKUP(A61,[10]進出口值表查詢結果!$A$10:$C$49,2,0)</f>
        <v>1795797</v>
      </c>
      <c r="H61" s="238">
        <f>G61/G64</f>
        <v>1.5931715760824357E-2</v>
      </c>
      <c r="I61" s="239">
        <f t="shared" si="1"/>
        <v>2522.1867977528091</v>
      </c>
    </row>
    <row r="62" spans="1:9" s="224" customFormat="1">
      <c r="A62" s="37" t="s">
        <v>335</v>
      </c>
      <c r="B62" s="241">
        <f>VLOOKUP(A62,[9]進出口值表查詢結果!$A$3:$C$37,3,0)</f>
        <v>280</v>
      </c>
      <c r="C62" s="241">
        <f>VLOOKUP(A62,[9]進出口值表查詢結果!$A$3:$C$37,2,0)</f>
        <v>936802</v>
      </c>
      <c r="D62" s="237">
        <f t="shared" si="0"/>
        <v>3345.7214285714285</v>
      </c>
      <c r="E62" s="242">
        <f>VLOOKUP(A62,[10]進出口值表查詢結果!$A$10:$C$49,3,0)</f>
        <v>456</v>
      </c>
      <c r="F62" s="238">
        <f>E62/E64</f>
        <v>8.5302205510971434E-3</v>
      </c>
      <c r="G62" s="243">
        <f>VLOOKUP(A62,[10]進出口值表查詢結果!$A$10:$C$49,2,0)</f>
        <v>1464226</v>
      </c>
      <c r="H62" s="238">
        <f>G62/G64</f>
        <v>1.2990127749188136E-2</v>
      </c>
      <c r="I62" s="239">
        <f t="shared" si="1"/>
        <v>3211.0219298245615</v>
      </c>
    </row>
    <row r="63" spans="1:9" s="224" customFormat="1">
      <c r="A63" s="37" t="s">
        <v>29</v>
      </c>
      <c r="B63" s="34">
        <f>B64-B48-B42-B13-B8</f>
        <v>352</v>
      </c>
      <c r="C63" s="34">
        <f>C64-C48-C42-C13-C8</f>
        <v>1294354</v>
      </c>
      <c r="D63" s="237">
        <f t="shared" si="0"/>
        <v>3677.1420454545455</v>
      </c>
      <c r="E63" s="34">
        <f>E64-E48-E42-E13-E8</f>
        <v>422</v>
      </c>
      <c r="F63" s="244">
        <f>E63/$E$64</f>
        <v>7.8941953345679702E-3</v>
      </c>
      <c r="G63" s="34">
        <f>G64-G48-G42-G13-G8</f>
        <v>1479152</v>
      </c>
      <c r="H63" s="244">
        <f>G63/$G$64</f>
        <v>1.3122546273913405E-2</v>
      </c>
      <c r="I63" s="239">
        <f t="shared" si="1"/>
        <v>3505.0995260663508</v>
      </c>
    </row>
    <row r="64" spans="1:9" s="224" customFormat="1">
      <c r="A64" s="245" t="s">
        <v>400</v>
      </c>
      <c r="B64" s="241">
        <f>VLOOKUP(A64,[9]進出口值表查詢結果!$A$3:$C$37,3,0)</f>
        <v>30485</v>
      </c>
      <c r="C64" s="241">
        <f>VLOOKUP(A64,[9]進出口值表查詢結果!$A$3:$C$37,2,0)</f>
        <v>62527249</v>
      </c>
      <c r="D64" s="513">
        <f t="shared" ref="D64" si="2">C64/B64</f>
        <v>2051.0824667869442</v>
      </c>
      <c r="E64" s="242">
        <f>VLOOKUP(A64,[10]進出口值表查詢結果!$A$10:$C$49,3,0)</f>
        <v>53457</v>
      </c>
      <c r="F64" s="514">
        <f>E64/$E$64</f>
        <v>1</v>
      </c>
      <c r="G64" s="243">
        <f>VLOOKUP(A64,[10]進出口值表查詢結果!$A$10:$C$49,2,0)</f>
        <v>112718368</v>
      </c>
      <c r="H64" s="238">
        <f>G64/$G$64</f>
        <v>1</v>
      </c>
      <c r="I64" s="239">
        <f>G64/E64</f>
        <v>2108.5801298239708</v>
      </c>
    </row>
    <row r="65" spans="1:9" s="224" customFormat="1" ht="8.25" customHeight="1">
      <c r="A65" s="250"/>
      <c r="B65" s="251"/>
      <c r="C65" s="252"/>
      <c r="D65" s="253"/>
      <c r="E65" s="254"/>
      <c r="F65" s="255"/>
      <c r="G65" s="252"/>
      <c r="H65" s="255"/>
      <c r="I65" s="256"/>
    </row>
    <row r="66" spans="1:9" s="224" customFormat="1" ht="15" customHeight="1">
      <c r="A66" s="257" t="s">
        <v>465</v>
      </c>
      <c r="B66" s="258"/>
      <c r="C66" s="258"/>
      <c r="D66" s="258"/>
    </row>
    <row r="67" spans="1:9" s="224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4" customWidth="1"/>
    <col min="2" max="2" width="12.125" style="264" customWidth="1"/>
    <col min="3" max="3" width="12.5" style="265" customWidth="1"/>
    <col min="4" max="4" width="13.75" style="266" customWidth="1"/>
    <col min="5" max="5" width="14.625" style="264" customWidth="1"/>
    <col min="6" max="6" width="15.125" style="265" customWidth="1"/>
    <col min="7" max="7" width="12.25" style="298" customWidth="1"/>
    <col min="8" max="8" width="12.5" style="264" customWidth="1"/>
    <col min="9" max="9" width="12.25" style="264" customWidth="1"/>
    <col min="10" max="10" width="11.625" style="264" customWidth="1"/>
    <col min="11" max="256" width="8.875" style="264"/>
    <col min="257" max="257" width="19.5" style="264" customWidth="1"/>
    <col min="258" max="259" width="12.125" style="264" customWidth="1"/>
    <col min="260" max="260" width="13.75" style="264" customWidth="1"/>
    <col min="261" max="261" width="14.625" style="264" customWidth="1"/>
    <col min="262" max="262" width="15.125" style="264" customWidth="1"/>
    <col min="263" max="263" width="12.25" style="264" customWidth="1"/>
    <col min="264" max="264" width="12.5" style="264" customWidth="1"/>
    <col min="265" max="265" width="12.25" style="264" customWidth="1"/>
    <col min="266" max="266" width="11.625" style="264" customWidth="1"/>
    <col min="267" max="512" width="8.875" style="264"/>
    <col min="513" max="513" width="19.5" style="264" customWidth="1"/>
    <col min="514" max="515" width="12.125" style="264" customWidth="1"/>
    <col min="516" max="516" width="13.75" style="264" customWidth="1"/>
    <col min="517" max="517" width="14.625" style="264" customWidth="1"/>
    <col min="518" max="518" width="15.125" style="264" customWidth="1"/>
    <col min="519" max="519" width="12.25" style="264" customWidth="1"/>
    <col min="520" max="520" width="12.5" style="264" customWidth="1"/>
    <col min="521" max="521" width="12.25" style="264" customWidth="1"/>
    <col min="522" max="522" width="11.625" style="264" customWidth="1"/>
    <col min="523" max="768" width="8.875" style="264"/>
    <col min="769" max="769" width="19.5" style="264" customWidth="1"/>
    <col min="770" max="771" width="12.125" style="264" customWidth="1"/>
    <col min="772" max="772" width="13.75" style="264" customWidth="1"/>
    <col min="773" max="773" width="14.625" style="264" customWidth="1"/>
    <col min="774" max="774" width="15.125" style="264" customWidth="1"/>
    <col min="775" max="775" width="12.25" style="264" customWidth="1"/>
    <col min="776" max="776" width="12.5" style="264" customWidth="1"/>
    <col min="777" max="777" width="12.25" style="264" customWidth="1"/>
    <col min="778" max="778" width="11.625" style="264" customWidth="1"/>
    <col min="779" max="1024" width="8.875" style="264"/>
    <col min="1025" max="1025" width="19.5" style="264" customWidth="1"/>
    <col min="1026" max="1027" width="12.125" style="264" customWidth="1"/>
    <col min="1028" max="1028" width="13.75" style="264" customWidth="1"/>
    <col min="1029" max="1029" width="14.625" style="264" customWidth="1"/>
    <col min="1030" max="1030" width="15.125" style="264" customWidth="1"/>
    <col min="1031" max="1031" width="12.25" style="264" customWidth="1"/>
    <col min="1032" max="1032" width="12.5" style="264" customWidth="1"/>
    <col min="1033" max="1033" width="12.25" style="264" customWidth="1"/>
    <col min="1034" max="1034" width="11.625" style="264" customWidth="1"/>
    <col min="1035" max="1280" width="8.875" style="264"/>
    <col min="1281" max="1281" width="19.5" style="264" customWidth="1"/>
    <col min="1282" max="1283" width="12.125" style="264" customWidth="1"/>
    <col min="1284" max="1284" width="13.75" style="264" customWidth="1"/>
    <col min="1285" max="1285" width="14.625" style="264" customWidth="1"/>
    <col min="1286" max="1286" width="15.125" style="264" customWidth="1"/>
    <col min="1287" max="1287" width="12.25" style="264" customWidth="1"/>
    <col min="1288" max="1288" width="12.5" style="264" customWidth="1"/>
    <col min="1289" max="1289" width="12.25" style="264" customWidth="1"/>
    <col min="1290" max="1290" width="11.625" style="264" customWidth="1"/>
    <col min="1291" max="1536" width="8.875" style="264"/>
    <col min="1537" max="1537" width="19.5" style="264" customWidth="1"/>
    <col min="1538" max="1539" width="12.125" style="264" customWidth="1"/>
    <col min="1540" max="1540" width="13.75" style="264" customWidth="1"/>
    <col min="1541" max="1541" width="14.625" style="264" customWidth="1"/>
    <col min="1542" max="1542" width="15.125" style="264" customWidth="1"/>
    <col min="1543" max="1543" width="12.25" style="264" customWidth="1"/>
    <col min="1544" max="1544" width="12.5" style="264" customWidth="1"/>
    <col min="1545" max="1545" width="12.25" style="264" customWidth="1"/>
    <col min="1546" max="1546" width="11.625" style="264" customWidth="1"/>
    <col min="1547" max="1792" width="8.875" style="264"/>
    <col min="1793" max="1793" width="19.5" style="264" customWidth="1"/>
    <col min="1794" max="1795" width="12.125" style="264" customWidth="1"/>
    <col min="1796" max="1796" width="13.75" style="264" customWidth="1"/>
    <col min="1797" max="1797" width="14.625" style="264" customWidth="1"/>
    <col min="1798" max="1798" width="15.125" style="264" customWidth="1"/>
    <col min="1799" max="1799" width="12.25" style="264" customWidth="1"/>
    <col min="1800" max="1800" width="12.5" style="264" customWidth="1"/>
    <col min="1801" max="1801" width="12.25" style="264" customWidth="1"/>
    <col min="1802" max="1802" width="11.625" style="264" customWidth="1"/>
    <col min="1803" max="2048" width="8.875" style="264"/>
    <col min="2049" max="2049" width="19.5" style="264" customWidth="1"/>
    <col min="2050" max="2051" width="12.125" style="264" customWidth="1"/>
    <col min="2052" max="2052" width="13.75" style="264" customWidth="1"/>
    <col min="2053" max="2053" width="14.625" style="264" customWidth="1"/>
    <col min="2054" max="2054" width="15.125" style="264" customWidth="1"/>
    <col min="2055" max="2055" width="12.25" style="264" customWidth="1"/>
    <col min="2056" max="2056" width="12.5" style="264" customWidth="1"/>
    <col min="2057" max="2057" width="12.25" style="264" customWidth="1"/>
    <col min="2058" max="2058" width="11.625" style="264" customWidth="1"/>
    <col min="2059" max="2304" width="8.875" style="264"/>
    <col min="2305" max="2305" width="19.5" style="264" customWidth="1"/>
    <col min="2306" max="2307" width="12.125" style="264" customWidth="1"/>
    <col min="2308" max="2308" width="13.75" style="264" customWidth="1"/>
    <col min="2309" max="2309" width="14.625" style="264" customWidth="1"/>
    <col min="2310" max="2310" width="15.125" style="264" customWidth="1"/>
    <col min="2311" max="2311" width="12.25" style="264" customWidth="1"/>
    <col min="2312" max="2312" width="12.5" style="264" customWidth="1"/>
    <col min="2313" max="2313" width="12.25" style="264" customWidth="1"/>
    <col min="2314" max="2314" width="11.625" style="264" customWidth="1"/>
    <col min="2315" max="2560" width="8.875" style="264"/>
    <col min="2561" max="2561" width="19.5" style="264" customWidth="1"/>
    <col min="2562" max="2563" width="12.125" style="264" customWidth="1"/>
    <col min="2564" max="2564" width="13.75" style="264" customWidth="1"/>
    <col min="2565" max="2565" width="14.625" style="264" customWidth="1"/>
    <col min="2566" max="2566" width="15.125" style="264" customWidth="1"/>
    <col min="2567" max="2567" width="12.25" style="264" customWidth="1"/>
    <col min="2568" max="2568" width="12.5" style="264" customWidth="1"/>
    <col min="2569" max="2569" width="12.25" style="264" customWidth="1"/>
    <col min="2570" max="2570" width="11.625" style="264" customWidth="1"/>
    <col min="2571" max="2816" width="8.875" style="264"/>
    <col min="2817" max="2817" width="19.5" style="264" customWidth="1"/>
    <col min="2818" max="2819" width="12.125" style="264" customWidth="1"/>
    <col min="2820" max="2820" width="13.75" style="264" customWidth="1"/>
    <col min="2821" max="2821" width="14.625" style="264" customWidth="1"/>
    <col min="2822" max="2822" width="15.125" style="264" customWidth="1"/>
    <col min="2823" max="2823" width="12.25" style="264" customWidth="1"/>
    <col min="2824" max="2824" width="12.5" style="264" customWidth="1"/>
    <col min="2825" max="2825" width="12.25" style="264" customWidth="1"/>
    <col min="2826" max="2826" width="11.625" style="264" customWidth="1"/>
    <col min="2827" max="3072" width="8.875" style="264"/>
    <col min="3073" max="3073" width="19.5" style="264" customWidth="1"/>
    <col min="3074" max="3075" width="12.125" style="264" customWidth="1"/>
    <col min="3076" max="3076" width="13.75" style="264" customWidth="1"/>
    <col min="3077" max="3077" width="14.625" style="264" customWidth="1"/>
    <col min="3078" max="3078" width="15.125" style="264" customWidth="1"/>
    <col min="3079" max="3079" width="12.25" style="264" customWidth="1"/>
    <col min="3080" max="3080" width="12.5" style="264" customWidth="1"/>
    <col min="3081" max="3081" width="12.25" style="264" customWidth="1"/>
    <col min="3082" max="3082" width="11.625" style="264" customWidth="1"/>
    <col min="3083" max="3328" width="8.875" style="264"/>
    <col min="3329" max="3329" width="19.5" style="264" customWidth="1"/>
    <col min="3330" max="3331" width="12.125" style="264" customWidth="1"/>
    <col min="3332" max="3332" width="13.75" style="264" customWidth="1"/>
    <col min="3333" max="3333" width="14.625" style="264" customWidth="1"/>
    <col min="3334" max="3334" width="15.125" style="264" customWidth="1"/>
    <col min="3335" max="3335" width="12.25" style="264" customWidth="1"/>
    <col min="3336" max="3336" width="12.5" style="264" customWidth="1"/>
    <col min="3337" max="3337" width="12.25" style="264" customWidth="1"/>
    <col min="3338" max="3338" width="11.625" style="264" customWidth="1"/>
    <col min="3339" max="3584" width="8.875" style="264"/>
    <col min="3585" max="3585" width="19.5" style="264" customWidth="1"/>
    <col min="3586" max="3587" width="12.125" style="264" customWidth="1"/>
    <col min="3588" max="3588" width="13.75" style="264" customWidth="1"/>
    <col min="3589" max="3589" width="14.625" style="264" customWidth="1"/>
    <col min="3590" max="3590" width="15.125" style="264" customWidth="1"/>
    <col min="3591" max="3591" width="12.25" style="264" customWidth="1"/>
    <col min="3592" max="3592" width="12.5" style="264" customWidth="1"/>
    <col min="3593" max="3593" width="12.25" style="264" customWidth="1"/>
    <col min="3594" max="3594" width="11.625" style="264" customWidth="1"/>
    <col min="3595" max="3840" width="8.875" style="264"/>
    <col min="3841" max="3841" width="19.5" style="264" customWidth="1"/>
    <col min="3842" max="3843" width="12.125" style="264" customWidth="1"/>
    <col min="3844" max="3844" width="13.75" style="264" customWidth="1"/>
    <col min="3845" max="3845" width="14.625" style="264" customWidth="1"/>
    <col min="3846" max="3846" width="15.125" style="264" customWidth="1"/>
    <col min="3847" max="3847" width="12.25" style="264" customWidth="1"/>
    <col min="3848" max="3848" width="12.5" style="264" customWidth="1"/>
    <col min="3849" max="3849" width="12.25" style="264" customWidth="1"/>
    <col min="3850" max="3850" width="11.625" style="264" customWidth="1"/>
    <col min="3851" max="4096" width="8.875" style="264"/>
    <col min="4097" max="4097" width="19.5" style="264" customWidth="1"/>
    <col min="4098" max="4099" width="12.125" style="264" customWidth="1"/>
    <col min="4100" max="4100" width="13.75" style="264" customWidth="1"/>
    <col min="4101" max="4101" width="14.625" style="264" customWidth="1"/>
    <col min="4102" max="4102" width="15.125" style="264" customWidth="1"/>
    <col min="4103" max="4103" width="12.25" style="264" customWidth="1"/>
    <col min="4104" max="4104" width="12.5" style="264" customWidth="1"/>
    <col min="4105" max="4105" width="12.25" style="264" customWidth="1"/>
    <col min="4106" max="4106" width="11.625" style="264" customWidth="1"/>
    <col min="4107" max="4352" width="8.875" style="264"/>
    <col min="4353" max="4353" width="19.5" style="264" customWidth="1"/>
    <col min="4354" max="4355" width="12.125" style="264" customWidth="1"/>
    <col min="4356" max="4356" width="13.75" style="264" customWidth="1"/>
    <col min="4357" max="4357" width="14.625" style="264" customWidth="1"/>
    <col min="4358" max="4358" width="15.125" style="264" customWidth="1"/>
    <col min="4359" max="4359" width="12.25" style="264" customWidth="1"/>
    <col min="4360" max="4360" width="12.5" style="264" customWidth="1"/>
    <col min="4361" max="4361" width="12.25" style="264" customWidth="1"/>
    <col min="4362" max="4362" width="11.625" style="264" customWidth="1"/>
    <col min="4363" max="4608" width="8.875" style="264"/>
    <col min="4609" max="4609" width="19.5" style="264" customWidth="1"/>
    <col min="4610" max="4611" width="12.125" style="264" customWidth="1"/>
    <col min="4612" max="4612" width="13.75" style="264" customWidth="1"/>
    <col min="4613" max="4613" width="14.625" style="264" customWidth="1"/>
    <col min="4614" max="4614" width="15.125" style="264" customWidth="1"/>
    <col min="4615" max="4615" width="12.25" style="264" customWidth="1"/>
    <col min="4616" max="4616" width="12.5" style="264" customWidth="1"/>
    <col min="4617" max="4617" width="12.25" style="264" customWidth="1"/>
    <col min="4618" max="4618" width="11.625" style="264" customWidth="1"/>
    <col min="4619" max="4864" width="8.875" style="264"/>
    <col min="4865" max="4865" width="19.5" style="264" customWidth="1"/>
    <col min="4866" max="4867" width="12.125" style="264" customWidth="1"/>
    <col min="4868" max="4868" width="13.75" style="264" customWidth="1"/>
    <col min="4869" max="4869" width="14.625" style="264" customWidth="1"/>
    <col min="4870" max="4870" width="15.125" style="264" customWidth="1"/>
    <col min="4871" max="4871" width="12.25" style="264" customWidth="1"/>
    <col min="4872" max="4872" width="12.5" style="264" customWidth="1"/>
    <col min="4873" max="4873" width="12.25" style="264" customWidth="1"/>
    <col min="4874" max="4874" width="11.625" style="264" customWidth="1"/>
    <col min="4875" max="5120" width="8.875" style="264"/>
    <col min="5121" max="5121" width="19.5" style="264" customWidth="1"/>
    <col min="5122" max="5123" width="12.125" style="264" customWidth="1"/>
    <col min="5124" max="5124" width="13.75" style="264" customWidth="1"/>
    <col min="5125" max="5125" width="14.625" style="264" customWidth="1"/>
    <col min="5126" max="5126" width="15.125" style="264" customWidth="1"/>
    <col min="5127" max="5127" width="12.25" style="264" customWidth="1"/>
    <col min="5128" max="5128" width="12.5" style="264" customWidth="1"/>
    <col min="5129" max="5129" width="12.25" style="264" customWidth="1"/>
    <col min="5130" max="5130" width="11.625" style="264" customWidth="1"/>
    <col min="5131" max="5376" width="8.875" style="264"/>
    <col min="5377" max="5377" width="19.5" style="264" customWidth="1"/>
    <col min="5378" max="5379" width="12.125" style="264" customWidth="1"/>
    <col min="5380" max="5380" width="13.75" style="264" customWidth="1"/>
    <col min="5381" max="5381" width="14.625" style="264" customWidth="1"/>
    <col min="5382" max="5382" width="15.125" style="264" customWidth="1"/>
    <col min="5383" max="5383" width="12.25" style="264" customWidth="1"/>
    <col min="5384" max="5384" width="12.5" style="264" customWidth="1"/>
    <col min="5385" max="5385" width="12.25" style="264" customWidth="1"/>
    <col min="5386" max="5386" width="11.625" style="264" customWidth="1"/>
    <col min="5387" max="5632" width="8.875" style="264"/>
    <col min="5633" max="5633" width="19.5" style="264" customWidth="1"/>
    <col min="5634" max="5635" width="12.125" style="264" customWidth="1"/>
    <col min="5636" max="5636" width="13.75" style="264" customWidth="1"/>
    <col min="5637" max="5637" width="14.625" style="264" customWidth="1"/>
    <col min="5638" max="5638" width="15.125" style="264" customWidth="1"/>
    <col min="5639" max="5639" width="12.25" style="264" customWidth="1"/>
    <col min="5640" max="5640" width="12.5" style="264" customWidth="1"/>
    <col min="5641" max="5641" width="12.25" style="264" customWidth="1"/>
    <col min="5642" max="5642" width="11.625" style="264" customWidth="1"/>
    <col min="5643" max="5888" width="8.875" style="264"/>
    <col min="5889" max="5889" width="19.5" style="264" customWidth="1"/>
    <col min="5890" max="5891" width="12.125" style="264" customWidth="1"/>
    <col min="5892" max="5892" width="13.75" style="264" customWidth="1"/>
    <col min="5893" max="5893" width="14.625" style="264" customWidth="1"/>
    <col min="5894" max="5894" width="15.125" style="264" customWidth="1"/>
    <col min="5895" max="5895" width="12.25" style="264" customWidth="1"/>
    <col min="5896" max="5896" width="12.5" style="264" customWidth="1"/>
    <col min="5897" max="5897" width="12.25" style="264" customWidth="1"/>
    <col min="5898" max="5898" width="11.625" style="264" customWidth="1"/>
    <col min="5899" max="6144" width="8.875" style="264"/>
    <col min="6145" max="6145" width="19.5" style="264" customWidth="1"/>
    <col min="6146" max="6147" width="12.125" style="264" customWidth="1"/>
    <col min="6148" max="6148" width="13.75" style="264" customWidth="1"/>
    <col min="6149" max="6149" width="14.625" style="264" customWidth="1"/>
    <col min="6150" max="6150" width="15.125" style="264" customWidth="1"/>
    <col min="6151" max="6151" width="12.25" style="264" customWidth="1"/>
    <col min="6152" max="6152" width="12.5" style="264" customWidth="1"/>
    <col min="6153" max="6153" width="12.25" style="264" customWidth="1"/>
    <col min="6154" max="6154" width="11.625" style="264" customWidth="1"/>
    <col min="6155" max="6400" width="8.875" style="264"/>
    <col min="6401" max="6401" width="19.5" style="264" customWidth="1"/>
    <col min="6402" max="6403" width="12.125" style="264" customWidth="1"/>
    <col min="6404" max="6404" width="13.75" style="264" customWidth="1"/>
    <col min="6405" max="6405" width="14.625" style="264" customWidth="1"/>
    <col min="6406" max="6406" width="15.125" style="264" customWidth="1"/>
    <col min="6407" max="6407" width="12.25" style="264" customWidth="1"/>
    <col min="6408" max="6408" width="12.5" style="264" customWidth="1"/>
    <col min="6409" max="6409" width="12.25" style="264" customWidth="1"/>
    <col min="6410" max="6410" width="11.625" style="264" customWidth="1"/>
    <col min="6411" max="6656" width="8.875" style="264"/>
    <col min="6657" max="6657" width="19.5" style="264" customWidth="1"/>
    <col min="6658" max="6659" width="12.125" style="264" customWidth="1"/>
    <col min="6660" max="6660" width="13.75" style="264" customWidth="1"/>
    <col min="6661" max="6661" width="14.625" style="264" customWidth="1"/>
    <col min="6662" max="6662" width="15.125" style="264" customWidth="1"/>
    <col min="6663" max="6663" width="12.25" style="264" customWidth="1"/>
    <col min="6664" max="6664" width="12.5" style="264" customWidth="1"/>
    <col min="6665" max="6665" width="12.25" style="264" customWidth="1"/>
    <col min="6666" max="6666" width="11.625" style="264" customWidth="1"/>
    <col min="6667" max="6912" width="8.875" style="264"/>
    <col min="6913" max="6913" width="19.5" style="264" customWidth="1"/>
    <col min="6914" max="6915" width="12.125" style="264" customWidth="1"/>
    <col min="6916" max="6916" width="13.75" style="264" customWidth="1"/>
    <col min="6917" max="6917" width="14.625" style="264" customWidth="1"/>
    <col min="6918" max="6918" width="15.125" style="264" customWidth="1"/>
    <col min="6919" max="6919" width="12.25" style="264" customWidth="1"/>
    <col min="6920" max="6920" width="12.5" style="264" customWidth="1"/>
    <col min="6921" max="6921" width="12.25" style="264" customWidth="1"/>
    <col min="6922" max="6922" width="11.625" style="264" customWidth="1"/>
    <col min="6923" max="7168" width="8.875" style="264"/>
    <col min="7169" max="7169" width="19.5" style="264" customWidth="1"/>
    <col min="7170" max="7171" width="12.125" style="264" customWidth="1"/>
    <col min="7172" max="7172" width="13.75" style="264" customWidth="1"/>
    <col min="7173" max="7173" width="14.625" style="264" customWidth="1"/>
    <col min="7174" max="7174" width="15.125" style="264" customWidth="1"/>
    <col min="7175" max="7175" width="12.25" style="264" customWidth="1"/>
    <col min="7176" max="7176" width="12.5" style="264" customWidth="1"/>
    <col min="7177" max="7177" width="12.25" style="264" customWidth="1"/>
    <col min="7178" max="7178" width="11.625" style="264" customWidth="1"/>
    <col min="7179" max="7424" width="8.875" style="264"/>
    <col min="7425" max="7425" width="19.5" style="264" customWidth="1"/>
    <col min="7426" max="7427" width="12.125" style="264" customWidth="1"/>
    <col min="7428" max="7428" width="13.75" style="264" customWidth="1"/>
    <col min="7429" max="7429" width="14.625" style="264" customWidth="1"/>
    <col min="7430" max="7430" width="15.125" style="264" customWidth="1"/>
    <col min="7431" max="7431" width="12.25" style="264" customWidth="1"/>
    <col min="7432" max="7432" width="12.5" style="264" customWidth="1"/>
    <col min="7433" max="7433" width="12.25" style="264" customWidth="1"/>
    <col min="7434" max="7434" width="11.625" style="264" customWidth="1"/>
    <col min="7435" max="7680" width="8.875" style="264"/>
    <col min="7681" max="7681" width="19.5" style="264" customWidth="1"/>
    <col min="7682" max="7683" width="12.125" style="264" customWidth="1"/>
    <col min="7684" max="7684" width="13.75" style="264" customWidth="1"/>
    <col min="7685" max="7685" width="14.625" style="264" customWidth="1"/>
    <col min="7686" max="7686" width="15.125" style="264" customWidth="1"/>
    <col min="7687" max="7687" width="12.25" style="264" customWidth="1"/>
    <col min="7688" max="7688" width="12.5" style="264" customWidth="1"/>
    <col min="7689" max="7689" width="12.25" style="264" customWidth="1"/>
    <col min="7690" max="7690" width="11.625" style="264" customWidth="1"/>
    <col min="7691" max="7936" width="8.875" style="264"/>
    <col min="7937" max="7937" width="19.5" style="264" customWidth="1"/>
    <col min="7938" max="7939" width="12.125" style="264" customWidth="1"/>
    <col min="7940" max="7940" width="13.75" style="264" customWidth="1"/>
    <col min="7941" max="7941" width="14.625" style="264" customWidth="1"/>
    <col min="7942" max="7942" width="15.125" style="264" customWidth="1"/>
    <col min="7943" max="7943" width="12.25" style="264" customWidth="1"/>
    <col min="7944" max="7944" width="12.5" style="264" customWidth="1"/>
    <col min="7945" max="7945" width="12.25" style="264" customWidth="1"/>
    <col min="7946" max="7946" width="11.625" style="264" customWidth="1"/>
    <col min="7947" max="8192" width="8.875" style="264"/>
    <col min="8193" max="8193" width="19.5" style="264" customWidth="1"/>
    <col min="8194" max="8195" width="12.125" style="264" customWidth="1"/>
    <col min="8196" max="8196" width="13.75" style="264" customWidth="1"/>
    <col min="8197" max="8197" width="14.625" style="264" customWidth="1"/>
    <col min="8198" max="8198" width="15.125" style="264" customWidth="1"/>
    <col min="8199" max="8199" width="12.25" style="264" customWidth="1"/>
    <col min="8200" max="8200" width="12.5" style="264" customWidth="1"/>
    <col min="8201" max="8201" width="12.25" style="264" customWidth="1"/>
    <col min="8202" max="8202" width="11.625" style="264" customWidth="1"/>
    <col min="8203" max="8448" width="8.875" style="264"/>
    <col min="8449" max="8449" width="19.5" style="264" customWidth="1"/>
    <col min="8450" max="8451" width="12.125" style="264" customWidth="1"/>
    <col min="8452" max="8452" width="13.75" style="264" customWidth="1"/>
    <col min="8453" max="8453" width="14.625" style="264" customWidth="1"/>
    <col min="8454" max="8454" width="15.125" style="264" customWidth="1"/>
    <col min="8455" max="8455" width="12.25" style="264" customWidth="1"/>
    <col min="8456" max="8456" width="12.5" style="264" customWidth="1"/>
    <col min="8457" max="8457" width="12.25" style="264" customWidth="1"/>
    <col min="8458" max="8458" width="11.625" style="264" customWidth="1"/>
    <col min="8459" max="8704" width="8.875" style="264"/>
    <col min="8705" max="8705" width="19.5" style="264" customWidth="1"/>
    <col min="8706" max="8707" width="12.125" style="264" customWidth="1"/>
    <col min="8708" max="8708" width="13.75" style="264" customWidth="1"/>
    <col min="8709" max="8709" width="14.625" style="264" customWidth="1"/>
    <col min="8710" max="8710" width="15.125" style="264" customWidth="1"/>
    <col min="8711" max="8711" width="12.25" style="264" customWidth="1"/>
    <col min="8712" max="8712" width="12.5" style="264" customWidth="1"/>
    <col min="8713" max="8713" width="12.25" style="264" customWidth="1"/>
    <col min="8714" max="8714" width="11.625" style="264" customWidth="1"/>
    <col min="8715" max="8960" width="8.875" style="264"/>
    <col min="8961" max="8961" width="19.5" style="264" customWidth="1"/>
    <col min="8962" max="8963" width="12.125" style="264" customWidth="1"/>
    <col min="8964" max="8964" width="13.75" style="264" customWidth="1"/>
    <col min="8965" max="8965" width="14.625" style="264" customWidth="1"/>
    <col min="8966" max="8966" width="15.125" style="264" customWidth="1"/>
    <col min="8967" max="8967" width="12.25" style="264" customWidth="1"/>
    <col min="8968" max="8968" width="12.5" style="264" customWidth="1"/>
    <col min="8969" max="8969" width="12.25" style="264" customWidth="1"/>
    <col min="8970" max="8970" width="11.625" style="264" customWidth="1"/>
    <col min="8971" max="9216" width="8.875" style="264"/>
    <col min="9217" max="9217" width="19.5" style="264" customWidth="1"/>
    <col min="9218" max="9219" width="12.125" style="264" customWidth="1"/>
    <col min="9220" max="9220" width="13.75" style="264" customWidth="1"/>
    <col min="9221" max="9221" width="14.625" style="264" customWidth="1"/>
    <col min="9222" max="9222" width="15.125" style="264" customWidth="1"/>
    <col min="9223" max="9223" width="12.25" style="264" customWidth="1"/>
    <col min="9224" max="9224" width="12.5" style="264" customWidth="1"/>
    <col min="9225" max="9225" width="12.25" style="264" customWidth="1"/>
    <col min="9226" max="9226" width="11.625" style="264" customWidth="1"/>
    <col min="9227" max="9472" width="8.875" style="264"/>
    <col min="9473" max="9473" width="19.5" style="264" customWidth="1"/>
    <col min="9474" max="9475" width="12.125" style="264" customWidth="1"/>
    <col min="9476" max="9476" width="13.75" style="264" customWidth="1"/>
    <col min="9477" max="9477" width="14.625" style="264" customWidth="1"/>
    <col min="9478" max="9478" width="15.125" style="264" customWidth="1"/>
    <col min="9479" max="9479" width="12.25" style="264" customWidth="1"/>
    <col min="9480" max="9480" width="12.5" style="264" customWidth="1"/>
    <col min="9481" max="9481" width="12.25" style="264" customWidth="1"/>
    <col min="9482" max="9482" width="11.625" style="264" customWidth="1"/>
    <col min="9483" max="9728" width="8.875" style="264"/>
    <col min="9729" max="9729" width="19.5" style="264" customWidth="1"/>
    <col min="9730" max="9731" width="12.125" style="264" customWidth="1"/>
    <col min="9732" max="9732" width="13.75" style="264" customWidth="1"/>
    <col min="9733" max="9733" width="14.625" style="264" customWidth="1"/>
    <col min="9734" max="9734" width="15.125" style="264" customWidth="1"/>
    <col min="9735" max="9735" width="12.25" style="264" customWidth="1"/>
    <col min="9736" max="9736" width="12.5" style="264" customWidth="1"/>
    <col min="9737" max="9737" width="12.25" style="264" customWidth="1"/>
    <col min="9738" max="9738" width="11.625" style="264" customWidth="1"/>
    <col min="9739" max="9984" width="8.875" style="264"/>
    <col min="9985" max="9985" width="19.5" style="264" customWidth="1"/>
    <col min="9986" max="9987" width="12.125" style="264" customWidth="1"/>
    <col min="9988" max="9988" width="13.75" style="264" customWidth="1"/>
    <col min="9989" max="9989" width="14.625" style="264" customWidth="1"/>
    <col min="9990" max="9990" width="15.125" style="264" customWidth="1"/>
    <col min="9991" max="9991" width="12.25" style="264" customWidth="1"/>
    <col min="9992" max="9992" width="12.5" style="264" customWidth="1"/>
    <col min="9993" max="9993" width="12.25" style="264" customWidth="1"/>
    <col min="9994" max="9994" width="11.625" style="264" customWidth="1"/>
    <col min="9995" max="10240" width="8.875" style="264"/>
    <col min="10241" max="10241" width="19.5" style="264" customWidth="1"/>
    <col min="10242" max="10243" width="12.125" style="264" customWidth="1"/>
    <col min="10244" max="10244" width="13.75" style="264" customWidth="1"/>
    <col min="10245" max="10245" width="14.625" style="264" customWidth="1"/>
    <col min="10246" max="10246" width="15.125" style="264" customWidth="1"/>
    <col min="10247" max="10247" width="12.25" style="264" customWidth="1"/>
    <col min="10248" max="10248" width="12.5" style="264" customWidth="1"/>
    <col min="10249" max="10249" width="12.25" style="264" customWidth="1"/>
    <col min="10250" max="10250" width="11.625" style="264" customWidth="1"/>
    <col min="10251" max="10496" width="8.875" style="264"/>
    <col min="10497" max="10497" width="19.5" style="264" customWidth="1"/>
    <col min="10498" max="10499" width="12.125" style="264" customWidth="1"/>
    <col min="10500" max="10500" width="13.75" style="264" customWidth="1"/>
    <col min="10501" max="10501" width="14.625" style="264" customWidth="1"/>
    <col min="10502" max="10502" width="15.125" style="264" customWidth="1"/>
    <col min="10503" max="10503" width="12.25" style="264" customWidth="1"/>
    <col min="10504" max="10504" width="12.5" style="264" customWidth="1"/>
    <col min="10505" max="10505" width="12.25" style="264" customWidth="1"/>
    <col min="10506" max="10506" width="11.625" style="264" customWidth="1"/>
    <col min="10507" max="10752" width="8.875" style="264"/>
    <col min="10753" max="10753" width="19.5" style="264" customWidth="1"/>
    <col min="10754" max="10755" width="12.125" style="264" customWidth="1"/>
    <col min="10756" max="10756" width="13.75" style="264" customWidth="1"/>
    <col min="10757" max="10757" width="14.625" style="264" customWidth="1"/>
    <col min="10758" max="10758" width="15.125" style="264" customWidth="1"/>
    <col min="10759" max="10759" width="12.25" style="264" customWidth="1"/>
    <col min="10760" max="10760" width="12.5" style="264" customWidth="1"/>
    <col min="10761" max="10761" width="12.25" style="264" customWidth="1"/>
    <col min="10762" max="10762" width="11.625" style="264" customWidth="1"/>
    <col min="10763" max="11008" width="8.875" style="264"/>
    <col min="11009" max="11009" width="19.5" style="264" customWidth="1"/>
    <col min="11010" max="11011" width="12.125" style="264" customWidth="1"/>
    <col min="11012" max="11012" width="13.75" style="264" customWidth="1"/>
    <col min="11013" max="11013" width="14.625" style="264" customWidth="1"/>
    <col min="11014" max="11014" width="15.125" style="264" customWidth="1"/>
    <col min="11015" max="11015" width="12.25" style="264" customWidth="1"/>
    <col min="11016" max="11016" width="12.5" style="264" customWidth="1"/>
    <col min="11017" max="11017" width="12.25" style="264" customWidth="1"/>
    <col min="11018" max="11018" width="11.625" style="264" customWidth="1"/>
    <col min="11019" max="11264" width="8.875" style="264"/>
    <col min="11265" max="11265" width="19.5" style="264" customWidth="1"/>
    <col min="11266" max="11267" width="12.125" style="264" customWidth="1"/>
    <col min="11268" max="11268" width="13.75" style="264" customWidth="1"/>
    <col min="11269" max="11269" width="14.625" style="264" customWidth="1"/>
    <col min="11270" max="11270" width="15.125" style="264" customWidth="1"/>
    <col min="11271" max="11271" width="12.25" style="264" customWidth="1"/>
    <col min="11272" max="11272" width="12.5" style="264" customWidth="1"/>
    <col min="11273" max="11273" width="12.25" style="264" customWidth="1"/>
    <col min="11274" max="11274" width="11.625" style="264" customWidth="1"/>
    <col min="11275" max="11520" width="8.875" style="264"/>
    <col min="11521" max="11521" width="19.5" style="264" customWidth="1"/>
    <col min="11522" max="11523" width="12.125" style="264" customWidth="1"/>
    <col min="11524" max="11524" width="13.75" style="264" customWidth="1"/>
    <col min="11525" max="11525" width="14.625" style="264" customWidth="1"/>
    <col min="11526" max="11526" width="15.125" style="264" customWidth="1"/>
    <col min="11527" max="11527" width="12.25" style="264" customWidth="1"/>
    <col min="11528" max="11528" width="12.5" style="264" customWidth="1"/>
    <col min="11529" max="11529" width="12.25" style="264" customWidth="1"/>
    <col min="11530" max="11530" width="11.625" style="264" customWidth="1"/>
    <col min="11531" max="11776" width="8.875" style="264"/>
    <col min="11777" max="11777" width="19.5" style="264" customWidth="1"/>
    <col min="11778" max="11779" width="12.125" style="264" customWidth="1"/>
    <col min="11780" max="11780" width="13.75" style="264" customWidth="1"/>
    <col min="11781" max="11781" width="14.625" style="264" customWidth="1"/>
    <col min="11782" max="11782" width="15.125" style="264" customWidth="1"/>
    <col min="11783" max="11783" width="12.25" style="264" customWidth="1"/>
    <col min="11784" max="11784" width="12.5" style="264" customWidth="1"/>
    <col min="11785" max="11785" width="12.25" style="264" customWidth="1"/>
    <col min="11786" max="11786" width="11.625" style="264" customWidth="1"/>
    <col min="11787" max="12032" width="8.875" style="264"/>
    <col min="12033" max="12033" width="19.5" style="264" customWidth="1"/>
    <col min="12034" max="12035" width="12.125" style="264" customWidth="1"/>
    <col min="12036" max="12036" width="13.75" style="264" customWidth="1"/>
    <col min="12037" max="12037" width="14.625" style="264" customWidth="1"/>
    <col min="12038" max="12038" width="15.125" style="264" customWidth="1"/>
    <col min="12039" max="12039" width="12.25" style="264" customWidth="1"/>
    <col min="12040" max="12040" width="12.5" style="264" customWidth="1"/>
    <col min="12041" max="12041" width="12.25" style="264" customWidth="1"/>
    <col min="12042" max="12042" width="11.625" style="264" customWidth="1"/>
    <col min="12043" max="12288" width="8.875" style="264"/>
    <col min="12289" max="12289" width="19.5" style="264" customWidth="1"/>
    <col min="12290" max="12291" width="12.125" style="264" customWidth="1"/>
    <col min="12292" max="12292" width="13.75" style="264" customWidth="1"/>
    <col min="12293" max="12293" width="14.625" style="264" customWidth="1"/>
    <col min="12294" max="12294" width="15.125" style="264" customWidth="1"/>
    <col min="12295" max="12295" width="12.25" style="264" customWidth="1"/>
    <col min="12296" max="12296" width="12.5" style="264" customWidth="1"/>
    <col min="12297" max="12297" width="12.25" style="264" customWidth="1"/>
    <col min="12298" max="12298" width="11.625" style="264" customWidth="1"/>
    <col min="12299" max="12544" width="8.875" style="264"/>
    <col min="12545" max="12545" width="19.5" style="264" customWidth="1"/>
    <col min="12546" max="12547" width="12.125" style="264" customWidth="1"/>
    <col min="12548" max="12548" width="13.75" style="264" customWidth="1"/>
    <col min="12549" max="12549" width="14.625" style="264" customWidth="1"/>
    <col min="12550" max="12550" width="15.125" style="264" customWidth="1"/>
    <col min="12551" max="12551" width="12.25" style="264" customWidth="1"/>
    <col min="12552" max="12552" width="12.5" style="264" customWidth="1"/>
    <col min="12553" max="12553" width="12.25" style="264" customWidth="1"/>
    <col min="12554" max="12554" width="11.625" style="264" customWidth="1"/>
    <col min="12555" max="12800" width="8.875" style="264"/>
    <col min="12801" max="12801" width="19.5" style="264" customWidth="1"/>
    <col min="12802" max="12803" width="12.125" style="264" customWidth="1"/>
    <col min="12804" max="12804" width="13.75" style="264" customWidth="1"/>
    <col min="12805" max="12805" width="14.625" style="264" customWidth="1"/>
    <col min="12806" max="12806" width="15.125" style="264" customWidth="1"/>
    <col min="12807" max="12807" width="12.25" style="264" customWidth="1"/>
    <col min="12808" max="12808" width="12.5" style="264" customWidth="1"/>
    <col min="12809" max="12809" width="12.25" style="264" customWidth="1"/>
    <col min="12810" max="12810" width="11.625" style="264" customWidth="1"/>
    <col min="12811" max="13056" width="8.875" style="264"/>
    <col min="13057" max="13057" width="19.5" style="264" customWidth="1"/>
    <col min="13058" max="13059" width="12.125" style="264" customWidth="1"/>
    <col min="13060" max="13060" width="13.75" style="264" customWidth="1"/>
    <col min="13061" max="13061" width="14.625" style="264" customWidth="1"/>
    <col min="13062" max="13062" width="15.125" style="264" customWidth="1"/>
    <col min="13063" max="13063" width="12.25" style="264" customWidth="1"/>
    <col min="13064" max="13064" width="12.5" style="264" customWidth="1"/>
    <col min="13065" max="13065" width="12.25" style="264" customWidth="1"/>
    <col min="13066" max="13066" width="11.625" style="264" customWidth="1"/>
    <col min="13067" max="13312" width="8.875" style="264"/>
    <col min="13313" max="13313" width="19.5" style="264" customWidth="1"/>
    <col min="13314" max="13315" width="12.125" style="264" customWidth="1"/>
    <col min="13316" max="13316" width="13.75" style="264" customWidth="1"/>
    <col min="13317" max="13317" width="14.625" style="264" customWidth="1"/>
    <col min="13318" max="13318" width="15.125" style="264" customWidth="1"/>
    <col min="13319" max="13319" width="12.25" style="264" customWidth="1"/>
    <col min="13320" max="13320" width="12.5" style="264" customWidth="1"/>
    <col min="13321" max="13321" width="12.25" style="264" customWidth="1"/>
    <col min="13322" max="13322" width="11.625" style="264" customWidth="1"/>
    <col min="13323" max="13568" width="8.875" style="264"/>
    <col min="13569" max="13569" width="19.5" style="264" customWidth="1"/>
    <col min="13570" max="13571" width="12.125" style="264" customWidth="1"/>
    <col min="13572" max="13572" width="13.75" style="264" customWidth="1"/>
    <col min="13573" max="13573" width="14.625" style="264" customWidth="1"/>
    <col min="13574" max="13574" width="15.125" style="264" customWidth="1"/>
    <col min="13575" max="13575" width="12.25" style="264" customWidth="1"/>
    <col min="13576" max="13576" width="12.5" style="264" customWidth="1"/>
    <col min="13577" max="13577" width="12.25" style="264" customWidth="1"/>
    <col min="13578" max="13578" width="11.625" style="264" customWidth="1"/>
    <col min="13579" max="13824" width="8.875" style="264"/>
    <col min="13825" max="13825" width="19.5" style="264" customWidth="1"/>
    <col min="13826" max="13827" width="12.125" style="264" customWidth="1"/>
    <col min="13828" max="13828" width="13.75" style="264" customWidth="1"/>
    <col min="13829" max="13829" width="14.625" style="264" customWidth="1"/>
    <col min="13830" max="13830" width="15.125" style="264" customWidth="1"/>
    <col min="13831" max="13831" width="12.25" style="264" customWidth="1"/>
    <col min="13832" max="13832" width="12.5" style="264" customWidth="1"/>
    <col min="13833" max="13833" width="12.25" style="264" customWidth="1"/>
    <col min="13834" max="13834" width="11.625" style="264" customWidth="1"/>
    <col min="13835" max="14080" width="8.875" style="264"/>
    <col min="14081" max="14081" width="19.5" style="264" customWidth="1"/>
    <col min="14082" max="14083" width="12.125" style="264" customWidth="1"/>
    <col min="14084" max="14084" width="13.75" style="264" customWidth="1"/>
    <col min="14085" max="14085" width="14.625" style="264" customWidth="1"/>
    <col min="14086" max="14086" width="15.125" style="264" customWidth="1"/>
    <col min="14087" max="14087" width="12.25" style="264" customWidth="1"/>
    <col min="14088" max="14088" width="12.5" style="264" customWidth="1"/>
    <col min="14089" max="14089" width="12.25" style="264" customWidth="1"/>
    <col min="14090" max="14090" width="11.625" style="264" customWidth="1"/>
    <col min="14091" max="14336" width="8.875" style="264"/>
    <col min="14337" max="14337" width="19.5" style="264" customWidth="1"/>
    <col min="14338" max="14339" width="12.125" style="264" customWidth="1"/>
    <col min="14340" max="14340" width="13.75" style="264" customWidth="1"/>
    <col min="14341" max="14341" width="14.625" style="264" customWidth="1"/>
    <col min="14342" max="14342" width="15.125" style="264" customWidth="1"/>
    <col min="14343" max="14343" width="12.25" style="264" customWidth="1"/>
    <col min="14344" max="14344" width="12.5" style="264" customWidth="1"/>
    <col min="14345" max="14345" width="12.25" style="264" customWidth="1"/>
    <col min="14346" max="14346" width="11.625" style="264" customWidth="1"/>
    <col min="14347" max="14592" width="8.875" style="264"/>
    <col min="14593" max="14593" width="19.5" style="264" customWidth="1"/>
    <col min="14594" max="14595" width="12.125" style="264" customWidth="1"/>
    <col min="14596" max="14596" width="13.75" style="264" customWidth="1"/>
    <col min="14597" max="14597" width="14.625" style="264" customWidth="1"/>
    <col min="14598" max="14598" width="15.125" style="264" customWidth="1"/>
    <col min="14599" max="14599" width="12.25" style="264" customWidth="1"/>
    <col min="14600" max="14600" width="12.5" style="264" customWidth="1"/>
    <col min="14601" max="14601" width="12.25" style="264" customWidth="1"/>
    <col min="14602" max="14602" width="11.625" style="264" customWidth="1"/>
    <col min="14603" max="14848" width="8.875" style="264"/>
    <col min="14849" max="14849" width="19.5" style="264" customWidth="1"/>
    <col min="14850" max="14851" width="12.125" style="264" customWidth="1"/>
    <col min="14852" max="14852" width="13.75" style="264" customWidth="1"/>
    <col min="14853" max="14853" width="14.625" style="264" customWidth="1"/>
    <col min="14854" max="14854" width="15.125" style="264" customWidth="1"/>
    <col min="14855" max="14855" width="12.25" style="264" customWidth="1"/>
    <col min="14856" max="14856" width="12.5" style="264" customWidth="1"/>
    <col min="14857" max="14857" width="12.25" style="264" customWidth="1"/>
    <col min="14858" max="14858" width="11.625" style="264" customWidth="1"/>
    <col min="14859" max="15104" width="8.875" style="264"/>
    <col min="15105" max="15105" width="19.5" style="264" customWidth="1"/>
    <col min="15106" max="15107" width="12.125" style="264" customWidth="1"/>
    <col min="15108" max="15108" width="13.75" style="264" customWidth="1"/>
    <col min="15109" max="15109" width="14.625" style="264" customWidth="1"/>
    <col min="15110" max="15110" width="15.125" style="264" customWidth="1"/>
    <col min="15111" max="15111" width="12.25" style="264" customWidth="1"/>
    <col min="15112" max="15112" width="12.5" style="264" customWidth="1"/>
    <col min="15113" max="15113" width="12.25" style="264" customWidth="1"/>
    <col min="15114" max="15114" width="11.625" style="264" customWidth="1"/>
    <col min="15115" max="15360" width="8.875" style="264"/>
    <col min="15361" max="15361" width="19.5" style="264" customWidth="1"/>
    <col min="15362" max="15363" width="12.125" style="264" customWidth="1"/>
    <col min="15364" max="15364" width="13.75" style="264" customWidth="1"/>
    <col min="15365" max="15365" width="14.625" style="264" customWidth="1"/>
    <col min="15366" max="15366" width="15.125" style="264" customWidth="1"/>
    <col min="15367" max="15367" width="12.25" style="264" customWidth="1"/>
    <col min="15368" max="15368" width="12.5" style="264" customWidth="1"/>
    <col min="15369" max="15369" width="12.25" style="264" customWidth="1"/>
    <col min="15370" max="15370" width="11.625" style="264" customWidth="1"/>
    <col min="15371" max="15616" width="8.875" style="264"/>
    <col min="15617" max="15617" width="19.5" style="264" customWidth="1"/>
    <col min="15618" max="15619" width="12.125" style="264" customWidth="1"/>
    <col min="15620" max="15620" width="13.75" style="264" customWidth="1"/>
    <col min="15621" max="15621" width="14.625" style="264" customWidth="1"/>
    <col min="15622" max="15622" width="15.125" style="264" customWidth="1"/>
    <col min="15623" max="15623" width="12.25" style="264" customWidth="1"/>
    <col min="15624" max="15624" width="12.5" style="264" customWidth="1"/>
    <col min="15625" max="15625" width="12.25" style="264" customWidth="1"/>
    <col min="15626" max="15626" width="11.625" style="264" customWidth="1"/>
    <col min="15627" max="15872" width="8.875" style="264"/>
    <col min="15873" max="15873" width="19.5" style="264" customWidth="1"/>
    <col min="15874" max="15875" width="12.125" style="264" customWidth="1"/>
    <col min="15876" max="15876" width="13.75" style="264" customWidth="1"/>
    <col min="15877" max="15877" width="14.625" style="264" customWidth="1"/>
    <col min="15878" max="15878" width="15.125" style="264" customWidth="1"/>
    <col min="15879" max="15879" width="12.25" style="264" customWidth="1"/>
    <col min="15880" max="15880" width="12.5" style="264" customWidth="1"/>
    <col min="15881" max="15881" width="12.25" style="264" customWidth="1"/>
    <col min="15882" max="15882" width="11.625" style="264" customWidth="1"/>
    <col min="15883" max="16128" width="8.875" style="264"/>
    <col min="16129" max="16129" width="19.5" style="264" customWidth="1"/>
    <col min="16130" max="16131" width="12.125" style="264" customWidth="1"/>
    <col min="16132" max="16132" width="13.75" style="264" customWidth="1"/>
    <col min="16133" max="16133" width="14.625" style="264" customWidth="1"/>
    <col min="16134" max="16134" width="15.125" style="264" customWidth="1"/>
    <col min="16135" max="16135" width="12.25" style="264" customWidth="1"/>
    <col min="16136" max="16136" width="12.5" style="264" customWidth="1"/>
    <col min="16137" max="16137" width="12.25" style="264" customWidth="1"/>
    <col min="16138" max="16138" width="11.625" style="264" customWidth="1"/>
    <col min="16139" max="16384" width="8.875" style="264"/>
  </cols>
  <sheetData>
    <row r="1" spans="1:10" ht="19.5">
      <c r="A1" s="259" t="s">
        <v>498</v>
      </c>
      <c r="B1" s="260"/>
      <c r="C1" s="261"/>
      <c r="D1" s="262"/>
      <c r="E1" s="260"/>
      <c r="F1" s="261"/>
      <c r="G1" s="263"/>
    </row>
    <row r="2" spans="1:10" ht="6.75" customHeight="1">
      <c r="G2" s="267"/>
    </row>
    <row r="3" spans="1:10" ht="17.25">
      <c r="A3" s="268" t="s">
        <v>152</v>
      </c>
      <c r="B3" s="269"/>
      <c r="C3" s="269"/>
      <c r="D3" s="269"/>
      <c r="E3" s="270"/>
      <c r="F3" s="270"/>
      <c r="G3" s="270"/>
      <c r="H3" s="270"/>
      <c r="I3" s="270"/>
      <c r="J3" s="271"/>
    </row>
    <row r="4" spans="1:10" ht="17.25">
      <c r="A4" s="272" t="s">
        <v>153</v>
      </c>
      <c r="B4" s="273"/>
      <c r="C4" s="273"/>
      <c r="D4" s="273"/>
      <c r="E4" s="274"/>
      <c r="F4" s="274"/>
      <c r="G4" s="274"/>
      <c r="H4" s="274"/>
      <c r="I4" s="274"/>
      <c r="J4" s="275"/>
    </row>
    <row r="5" spans="1:10">
      <c r="A5" s="69" t="s">
        <v>494</v>
      </c>
      <c r="B5" s="8" t="s">
        <v>459</v>
      </c>
      <c r="C5" s="70" t="s">
        <v>460</v>
      </c>
      <c r="D5" s="71" t="s">
        <v>154</v>
      </c>
      <c r="E5" s="8" t="s">
        <v>459</v>
      </c>
      <c r="F5" s="70" t="s">
        <v>460</v>
      </c>
      <c r="G5" s="73" t="s">
        <v>155</v>
      </c>
      <c r="H5" s="8" t="s">
        <v>459</v>
      </c>
      <c r="I5" s="70" t="s">
        <v>460</v>
      </c>
      <c r="J5" s="201" t="s">
        <v>35</v>
      </c>
    </row>
    <row r="6" spans="1:10">
      <c r="A6" s="277"/>
      <c r="B6" s="276" t="s">
        <v>31</v>
      </c>
      <c r="C6" s="490" t="s">
        <v>413</v>
      </c>
      <c r="D6" s="494" t="s">
        <v>1</v>
      </c>
      <c r="E6" s="278" t="s">
        <v>32</v>
      </c>
      <c r="F6" s="495" t="s">
        <v>414</v>
      </c>
      <c r="G6" s="494" t="s">
        <v>1</v>
      </c>
      <c r="H6" s="279" t="s">
        <v>34</v>
      </c>
      <c r="I6" s="497" t="s">
        <v>415</v>
      </c>
      <c r="J6" s="494" t="s">
        <v>1</v>
      </c>
    </row>
    <row r="7" spans="1:10">
      <c r="A7" s="280" t="s">
        <v>4</v>
      </c>
      <c r="B7" s="281"/>
      <c r="C7" s="80"/>
      <c r="D7" s="204"/>
      <c r="E7" s="282"/>
      <c r="F7" s="80"/>
      <c r="G7" s="496"/>
      <c r="H7" s="283"/>
      <c r="I7" s="83"/>
      <c r="J7" s="205"/>
    </row>
    <row r="8" spans="1:10">
      <c r="A8" s="280" t="s">
        <v>5</v>
      </c>
      <c r="B8" s="284">
        <f>SUM(B9:B11)</f>
        <v>17315</v>
      </c>
      <c r="C8" s="491">
        <f>SUM(C9:C11)</f>
        <v>19023</v>
      </c>
      <c r="D8" s="502">
        <f>IF(C8,(B8-C8)/C8,0)</f>
        <v>-8.978604846764443E-2</v>
      </c>
      <c r="E8" s="285">
        <f>SUM(E9:E11)</f>
        <v>42426774</v>
      </c>
      <c r="F8" s="84">
        <f>SUM(F9:F11)</f>
        <v>39754104</v>
      </c>
      <c r="G8" s="501">
        <f>IF(F8,(E8-F8)/F8,0)</f>
        <v>6.7230039947573719E-2</v>
      </c>
      <c r="H8" s="86">
        <f>IF(B8,E8/B8,0)</f>
        <v>2450.2901530464915</v>
      </c>
      <c r="I8" s="87">
        <f>IF(C8,F8/C8,0)</f>
        <v>2089.7915155338274</v>
      </c>
      <c r="J8" s="503">
        <f t="shared" ref="J8:J64" si="0">IF(I8,(H8-I8)/I8,0)</f>
        <v>0.17250459427794951</v>
      </c>
    </row>
    <row r="9" spans="1:10">
      <c r="A9" s="286" t="s">
        <v>159</v>
      </c>
      <c r="B9" s="287">
        <f>電輔車!E9</f>
        <v>16571</v>
      </c>
      <c r="C9" s="88">
        <f>VLOOKUP(A9,[11]進出口值表查詢結果!$A$10:$C$47,3,0)</f>
        <v>16264</v>
      </c>
      <c r="D9" s="502">
        <f t="shared" ref="D9:D64" si="1">IF(C9,(B9-C9)/C9,0)</f>
        <v>1.8876045253320217E-2</v>
      </c>
      <c r="E9" s="288">
        <f>電輔車!G9</f>
        <v>40271185</v>
      </c>
      <c r="F9" s="89">
        <f>VLOOKUP(A9,[11]進出口值表查詢結果!$A$10:$C$47,2,0)</f>
        <v>34257089</v>
      </c>
      <c r="G9" s="501">
        <f t="shared" ref="G9:G64" si="2">IF(F9,(E9-F9)/F9,0)</f>
        <v>0.17555770719456051</v>
      </c>
      <c r="H9" s="86">
        <f t="shared" ref="H9:H11" si="3">IF(B9,E9/B9,0)</f>
        <v>2430.2205660491218</v>
      </c>
      <c r="I9" s="87">
        <f t="shared" ref="I9:I11" si="4">IF(C9,F9/C9,0)</f>
        <v>2106.3138834235119</v>
      </c>
      <c r="J9" s="503">
        <f t="shared" si="0"/>
        <v>0.15377892401257209</v>
      </c>
    </row>
    <row r="10" spans="1:10">
      <c r="A10" s="289" t="s">
        <v>6</v>
      </c>
      <c r="B10" s="287">
        <f>電輔車!E10</f>
        <v>561</v>
      </c>
      <c r="C10" s="88">
        <f>VLOOKUP(A10,[11]進出口值表查詢結果!$A$10:$C$47,3,0)</f>
        <v>2632</v>
      </c>
      <c r="D10" s="502">
        <f t="shared" si="1"/>
        <v>-0.78685410334346506</v>
      </c>
      <c r="E10" s="288">
        <f>電輔車!G10</f>
        <v>1392062</v>
      </c>
      <c r="F10" s="89">
        <f>VLOOKUP(A10,[11]進出口值表查詢結果!$A$10:$C$47,2,0)</f>
        <v>5101289</v>
      </c>
      <c r="G10" s="501">
        <f t="shared" si="2"/>
        <v>-0.72711563685178393</v>
      </c>
      <c r="H10" s="86">
        <f t="shared" si="3"/>
        <v>2481.3939393939395</v>
      </c>
      <c r="I10" s="87">
        <f t="shared" si="4"/>
        <v>1938.1797112462007</v>
      </c>
      <c r="J10" s="503">
        <f t="shared" si="0"/>
        <v>0.28027030981480339</v>
      </c>
    </row>
    <row r="11" spans="1:10">
      <c r="A11" s="289" t="s">
        <v>7</v>
      </c>
      <c r="B11" s="287">
        <f>電輔車!E11</f>
        <v>183</v>
      </c>
      <c r="C11" s="88">
        <f>VLOOKUP(A11,[11]進出口值表查詢結果!$A$10:$C$47,3,0)</f>
        <v>127</v>
      </c>
      <c r="D11" s="502">
        <f t="shared" si="1"/>
        <v>0.44094488188976377</v>
      </c>
      <c r="E11" s="288">
        <f>電輔車!G11</f>
        <v>763527</v>
      </c>
      <c r="F11" s="89">
        <f>VLOOKUP(A11,[11]進出口值表查詢結果!$A$10:$C$47,2,0)</f>
        <v>395726</v>
      </c>
      <c r="G11" s="501">
        <f t="shared" si="2"/>
        <v>0.92943349691453181</v>
      </c>
      <c r="H11" s="86">
        <f t="shared" si="3"/>
        <v>4172.2786885245905</v>
      </c>
      <c r="I11" s="87">
        <f t="shared" si="4"/>
        <v>3115.9527559055118</v>
      </c>
      <c r="J11" s="503">
        <f t="shared" si="0"/>
        <v>0.33900576015380085</v>
      </c>
    </row>
    <row r="12" spans="1:10">
      <c r="A12" s="289"/>
      <c r="B12" s="287"/>
      <c r="C12" s="492"/>
      <c r="D12" s="502"/>
      <c r="E12" s="288"/>
      <c r="F12" s="89"/>
      <c r="G12" s="501"/>
      <c r="H12" s="86"/>
      <c r="I12" s="87"/>
      <c r="J12" s="503"/>
    </row>
    <row r="13" spans="1:10">
      <c r="A13" s="290" t="s">
        <v>8</v>
      </c>
      <c r="B13" s="291">
        <f>SUM(B14:B40)</f>
        <v>28981</v>
      </c>
      <c r="C13" s="493">
        <f>SUM(C14:C40)</f>
        <v>38528</v>
      </c>
      <c r="D13" s="502">
        <f t="shared" si="1"/>
        <v>-0.24779381229235881</v>
      </c>
      <c r="E13" s="291">
        <f>SUM(E14:E40)</f>
        <v>53192290</v>
      </c>
      <c r="F13" s="90">
        <f>SUM(F14:F40)</f>
        <v>64839500</v>
      </c>
      <c r="G13" s="501">
        <f t="shared" si="2"/>
        <v>-0.17963139752774157</v>
      </c>
      <c r="H13" s="86">
        <f t="shared" ref="H13:H18" si="5">IF(B13,E13/B13,0)</f>
        <v>1835.4194127186777</v>
      </c>
      <c r="I13" s="87">
        <f t="shared" ref="I13:I18" si="6">IF(C13,F13/C13,0)</f>
        <v>1682.9189161129568</v>
      </c>
      <c r="J13" s="503">
        <f t="shared" si="0"/>
        <v>9.06166631948922E-2</v>
      </c>
    </row>
    <row r="14" spans="1:10">
      <c r="A14" s="445" t="s">
        <v>244</v>
      </c>
      <c r="B14" s="288">
        <f>電輔車!E14</f>
        <v>16570</v>
      </c>
      <c r="C14" s="88">
        <f>VLOOKUP(A14,[11]進出口值表查詢結果!$A$10:$C$47,3,0)</f>
        <v>24055</v>
      </c>
      <c r="D14" s="502">
        <f t="shared" si="1"/>
        <v>-0.31116192059862813</v>
      </c>
      <c r="E14" s="288">
        <f>電輔車!G14</f>
        <v>33779255</v>
      </c>
      <c r="F14" s="89">
        <f>VLOOKUP(A14,[11]進出口值表查詢結果!$A$10:$C$47,2,0)</f>
        <v>44415728</v>
      </c>
      <c r="G14" s="501">
        <f t="shared" si="2"/>
        <v>-0.2394753723275683</v>
      </c>
      <c r="H14" s="86">
        <f t="shared" si="5"/>
        <v>2038.5790585395293</v>
      </c>
      <c r="I14" s="87">
        <f t="shared" si="6"/>
        <v>1846.4239451257536</v>
      </c>
      <c r="J14" s="503">
        <f t="shared" si="0"/>
        <v>0.10406879412554887</v>
      </c>
    </row>
    <row r="15" spans="1:10">
      <c r="A15" s="445" t="s">
        <v>245</v>
      </c>
      <c r="B15" s="288">
        <f>電輔車!E15</f>
        <v>7938</v>
      </c>
      <c r="C15" s="88">
        <f>VLOOKUP(A15,[11]進出口值表查詢結果!$A$10:$C$47,3,0)</f>
        <v>8968</v>
      </c>
      <c r="D15" s="502">
        <f t="shared" si="1"/>
        <v>-0.1148528099910794</v>
      </c>
      <c r="E15" s="288">
        <f>電輔車!G15</f>
        <v>10608538</v>
      </c>
      <c r="F15" s="89">
        <f>VLOOKUP(A15,[11]進出口值表查詢結果!$A$10:$C$47,2,0)</f>
        <v>11928687</v>
      </c>
      <c r="G15" s="501">
        <f t="shared" si="2"/>
        <v>-0.11067010141183183</v>
      </c>
      <c r="H15" s="86">
        <f t="shared" si="5"/>
        <v>1336.424540186445</v>
      </c>
      <c r="I15" s="87">
        <f t="shared" si="6"/>
        <v>1330.139049955397</v>
      </c>
      <c r="J15" s="503">
        <f t="shared" si="0"/>
        <v>4.7254384654437324E-3</v>
      </c>
    </row>
    <row r="16" spans="1:10">
      <c r="A16" s="446" t="s">
        <v>9</v>
      </c>
      <c r="B16" s="288">
        <f>電輔車!E16</f>
        <v>932</v>
      </c>
      <c r="C16" s="88">
        <f>VLOOKUP(A16,[11]進出口值表查詢結果!$A$10:$C$47,3,0)</f>
        <v>806</v>
      </c>
      <c r="D16" s="502">
        <f t="shared" si="1"/>
        <v>0.15632754342431762</v>
      </c>
      <c r="E16" s="288">
        <f>電輔車!G16</f>
        <v>2538351</v>
      </c>
      <c r="F16" s="89">
        <f>VLOOKUP(A16,[11]進出口值表查詢結果!$A$10:$C$47,2,0)</f>
        <v>1572692</v>
      </c>
      <c r="G16" s="501">
        <f t="shared" si="2"/>
        <v>0.61401660337815667</v>
      </c>
      <c r="H16" s="86">
        <f t="shared" si="5"/>
        <v>2723.552575107296</v>
      </c>
      <c r="I16" s="87">
        <f t="shared" si="6"/>
        <v>1951.2307692307693</v>
      </c>
      <c r="J16" s="503">
        <f t="shared" si="0"/>
        <v>0.39581264197724697</v>
      </c>
    </row>
    <row r="17" spans="1:10">
      <c r="A17" s="445" t="s">
        <v>246</v>
      </c>
      <c r="B17" s="288">
        <f>電輔車!E17</f>
        <v>691</v>
      </c>
      <c r="C17" s="88">
        <f>VLOOKUP(A17,[11]進出口值表查詢結果!$A$10:$C$47,3,0)</f>
        <v>1393</v>
      </c>
      <c r="D17" s="502">
        <f t="shared" si="1"/>
        <v>-0.50394831299353915</v>
      </c>
      <c r="E17" s="288">
        <f>電輔車!G17</f>
        <v>909886</v>
      </c>
      <c r="F17" s="89">
        <f>VLOOKUP(A17,[11]進出口值表查詢結果!$A$10:$C$47,2,0)</f>
        <v>1912779</v>
      </c>
      <c r="G17" s="501">
        <f t="shared" si="2"/>
        <v>-0.52431200886249796</v>
      </c>
      <c r="H17" s="86">
        <f t="shared" si="5"/>
        <v>1316.7670043415339</v>
      </c>
      <c r="I17" s="87">
        <f t="shared" si="6"/>
        <v>1373.1363962670496</v>
      </c>
      <c r="J17" s="503">
        <f t="shared" si="0"/>
        <v>-4.1051560557828826E-2</v>
      </c>
    </row>
    <row r="18" spans="1:10">
      <c r="A18" s="446" t="s">
        <v>10</v>
      </c>
      <c r="B18" s="288">
        <f>電輔車!E18</f>
        <v>1462</v>
      </c>
      <c r="C18" s="88">
        <f>VLOOKUP(A18,[11]進出口值表查詢結果!$A$10:$C$47,3,0)</f>
        <v>1008</v>
      </c>
      <c r="D18" s="502">
        <f t="shared" si="1"/>
        <v>0.45039682539682541</v>
      </c>
      <c r="E18" s="288">
        <f>電輔車!G18</f>
        <v>4287755</v>
      </c>
      <c r="F18" s="89">
        <f>VLOOKUP(A18,[11]進出口值表查詢結果!$A$10:$C$47,2,0)</f>
        <v>2289156</v>
      </c>
      <c r="G18" s="501">
        <f t="shared" si="2"/>
        <v>0.87307243368298182</v>
      </c>
      <c r="H18" s="86">
        <f t="shared" si="5"/>
        <v>2932.8009575923393</v>
      </c>
      <c r="I18" s="87">
        <f t="shared" si="6"/>
        <v>2270.9880952380954</v>
      </c>
      <c r="J18" s="503">
        <f t="shared" si="0"/>
        <v>0.29142066563094771</v>
      </c>
    </row>
    <row r="19" spans="1:10">
      <c r="A19" s="446" t="s">
        <v>11</v>
      </c>
      <c r="B19" s="288">
        <f>電輔車!E19</f>
        <v>1</v>
      </c>
      <c r="C19" s="88">
        <f>VLOOKUP(A19,[11]進出口值表查詢結果!$A$10:$C$47,3,0)</f>
        <v>246</v>
      </c>
      <c r="D19" s="502">
        <f t="shared" si="1"/>
        <v>-0.99593495934959353</v>
      </c>
      <c r="E19" s="288">
        <f>電輔車!G19</f>
        <v>2075</v>
      </c>
      <c r="F19" s="89">
        <f>VLOOKUP(A19,[11]進出口值表查詢結果!$A$10:$C$47,2,0)</f>
        <v>421709</v>
      </c>
      <c r="G19" s="501">
        <f t="shared" si="2"/>
        <v>-0.99507954537370558</v>
      </c>
      <c r="H19" s="86">
        <f>IF(B19,E19/B19,0)</f>
        <v>2075</v>
      </c>
      <c r="I19" s="87">
        <f>IF(C19,F19/C19,0)</f>
        <v>1714.2642276422764</v>
      </c>
      <c r="J19" s="503">
        <f t="shared" si="0"/>
        <v>0.21043183806843108</v>
      </c>
    </row>
    <row r="20" spans="1:10">
      <c r="A20" s="445" t="s">
        <v>248</v>
      </c>
      <c r="B20" s="288">
        <f>電輔車!E20</f>
        <v>134</v>
      </c>
      <c r="C20" s="88">
        <f>VLOOKUP(A20,[11]進出口值表查詢結果!$A$10:$C$47,3,0)</f>
        <v>456</v>
      </c>
      <c r="D20" s="502">
        <f t="shared" si="1"/>
        <v>-0.70614035087719296</v>
      </c>
      <c r="E20" s="288">
        <f>電輔車!G20</f>
        <v>226744</v>
      </c>
      <c r="F20" s="89">
        <f>VLOOKUP(A20,[11]進出口值表查詢結果!$A$10:$C$47,2,0)</f>
        <v>928260</v>
      </c>
      <c r="G20" s="501">
        <f t="shared" si="2"/>
        <v>-0.75573223019412661</v>
      </c>
      <c r="H20" s="86">
        <f t="shared" ref="H20:H33" si="7">IF(B20,E20/B20,0)</f>
        <v>1692.1194029850747</v>
      </c>
      <c r="I20" s="87">
        <f t="shared" ref="I20:I33" si="8">IF(C20,F20/C20,0)</f>
        <v>2035.6578947368421</v>
      </c>
      <c r="J20" s="503">
        <f t="shared" si="0"/>
        <v>-0.16876042513822198</v>
      </c>
    </row>
    <row r="21" spans="1:10">
      <c r="A21" s="446" t="s">
        <v>12</v>
      </c>
      <c r="B21" s="288">
        <f>電輔車!E21</f>
        <v>0</v>
      </c>
      <c r="C21" s="88">
        <f>VLOOKUP(A21,[11]進出口值表查詢結果!$A$10:$C$47,3,0)</f>
        <v>2</v>
      </c>
      <c r="D21" s="502">
        <f t="shared" si="1"/>
        <v>-1</v>
      </c>
      <c r="E21" s="288">
        <f>電輔車!G21</f>
        <v>0</v>
      </c>
      <c r="F21" s="89">
        <f>VLOOKUP(A21,[11]進出口值表查詢結果!$A$10:$C$47,2,0)</f>
        <v>1093</v>
      </c>
      <c r="G21" s="501">
        <f t="shared" si="2"/>
        <v>-1</v>
      </c>
      <c r="H21" s="86">
        <f t="shared" si="7"/>
        <v>0</v>
      </c>
      <c r="I21" s="87">
        <f t="shared" si="8"/>
        <v>546.5</v>
      </c>
      <c r="J21" s="503">
        <f t="shared" si="0"/>
        <v>-1</v>
      </c>
    </row>
    <row r="22" spans="1:10">
      <c r="A22" s="445" t="s">
        <v>249</v>
      </c>
      <c r="B22" s="288">
        <f>電輔車!E22</f>
        <v>0</v>
      </c>
      <c r="C22" s="88">
        <v>0</v>
      </c>
      <c r="D22" s="502">
        <f t="shared" si="1"/>
        <v>0</v>
      </c>
      <c r="E22" s="288">
        <f>電輔車!G22</f>
        <v>0</v>
      </c>
      <c r="F22" s="89">
        <f>_xlfn.IFNA(VLOOKUP(A22,[8]電同!$C$3:$G$576,3,0),-[4]整車!$B$22)</f>
        <v>0</v>
      </c>
      <c r="G22" s="501">
        <f t="shared" si="2"/>
        <v>0</v>
      </c>
      <c r="H22" s="86">
        <f t="shared" si="7"/>
        <v>0</v>
      </c>
      <c r="I22" s="87">
        <f t="shared" si="8"/>
        <v>0</v>
      </c>
      <c r="J22" s="503">
        <f t="shared" si="0"/>
        <v>0</v>
      </c>
    </row>
    <row r="23" spans="1:10">
      <c r="A23" s="446" t="s">
        <v>13</v>
      </c>
      <c r="B23" s="288">
        <f>電輔車!E23</f>
        <v>0</v>
      </c>
      <c r="C23" s="88">
        <v>0</v>
      </c>
      <c r="D23" s="502">
        <f t="shared" si="1"/>
        <v>0</v>
      </c>
      <c r="E23" s="288">
        <f>電輔車!G23</f>
        <v>0</v>
      </c>
      <c r="F23" s="89">
        <f>_xlfn.IFNA(VLOOKUP(A23,[8]電同!$C$3:$G$576,3,0),-[4]整車!$B$22)</f>
        <v>0</v>
      </c>
      <c r="G23" s="501">
        <f t="shared" si="2"/>
        <v>0</v>
      </c>
      <c r="H23" s="86">
        <f t="shared" si="7"/>
        <v>0</v>
      </c>
      <c r="I23" s="87">
        <f t="shared" si="8"/>
        <v>0</v>
      </c>
      <c r="J23" s="503">
        <f t="shared" si="0"/>
        <v>0</v>
      </c>
    </row>
    <row r="24" spans="1:10">
      <c r="A24" s="446" t="s">
        <v>14</v>
      </c>
      <c r="B24" s="288">
        <f>電輔車!E24</f>
        <v>0</v>
      </c>
      <c r="C24" s="88">
        <v>0</v>
      </c>
      <c r="D24" s="502">
        <f t="shared" si="1"/>
        <v>0</v>
      </c>
      <c r="E24" s="288">
        <f>電輔車!G24</f>
        <v>0</v>
      </c>
      <c r="F24" s="89">
        <f>_xlfn.IFNA(VLOOKUP(A24,[8]電同!$C$3:$G$576,3,0),-[4]整車!$B$22)</f>
        <v>0</v>
      </c>
      <c r="G24" s="501">
        <f t="shared" si="2"/>
        <v>0</v>
      </c>
      <c r="H24" s="86">
        <f t="shared" si="7"/>
        <v>0</v>
      </c>
      <c r="I24" s="87">
        <f t="shared" si="8"/>
        <v>0</v>
      </c>
      <c r="J24" s="503">
        <f t="shared" si="0"/>
        <v>0</v>
      </c>
    </row>
    <row r="25" spans="1:10">
      <c r="A25" s="446" t="s">
        <v>15</v>
      </c>
      <c r="B25" s="288">
        <f>電輔車!E25</f>
        <v>2</v>
      </c>
      <c r="C25" s="88">
        <f>VLOOKUP(A25,[11]進出口值表查詢結果!$A$10:$C$47,3,0)</f>
        <v>1</v>
      </c>
      <c r="D25" s="502">
        <f t="shared" si="1"/>
        <v>1</v>
      </c>
      <c r="E25" s="288">
        <f>電輔車!G25</f>
        <v>9395</v>
      </c>
      <c r="F25" s="89">
        <f>VLOOKUP(A25,[11]進出口值表查詢結果!$A$10:$C$47,2,0)</f>
        <v>2741</v>
      </c>
      <c r="G25" s="501">
        <f t="shared" si="2"/>
        <v>2.4275811747537395</v>
      </c>
      <c r="H25" s="86">
        <f t="shared" si="7"/>
        <v>4697.5</v>
      </c>
      <c r="I25" s="87">
        <f t="shared" si="8"/>
        <v>2741</v>
      </c>
      <c r="J25" s="503">
        <f t="shared" si="0"/>
        <v>0.71379058737686973</v>
      </c>
    </row>
    <row r="26" spans="1:10">
      <c r="A26" s="445" t="s">
        <v>252</v>
      </c>
      <c r="B26" s="288">
        <f>電輔車!E26</f>
        <v>1031</v>
      </c>
      <c r="C26" s="88">
        <f>VLOOKUP(A26,[11]進出口值表查詢結果!$A$10:$C$47,3,0)</f>
        <v>1100</v>
      </c>
      <c r="D26" s="502">
        <f t="shared" si="1"/>
        <v>-6.2727272727272729E-2</v>
      </c>
      <c r="E26" s="288">
        <f>電輔車!G26</f>
        <v>382595</v>
      </c>
      <c r="F26" s="89">
        <f>VLOOKUP(A26,[11]進出口值表查詢結果!$A$10:$C$47,2,0)</f>
        <v>441533</v>
      </c>
      <c r="G26" s="501">
        <f t="shared" si="2"/>
        <v>-0.13348492638149356</v>
      </c>
      <c r="H26" s="86">
        <f t="shared" si="7"/>
        <v>371.09117361784678</v>
      </c>
      <c r="I26" s="87">
        <f t="shared" si="8"/>
        <v>401.39363636363635</v>
      </c>
      <c r="J26" s="503">
        <f t="shared" si="0"/>
        <v>-7.5493131929818449E-2</v>
      </c>
    </row>
    <row r="27" spans="1:10">
      <c r="A27" s="445" t="s">
        <v>254</v>
      </c>
      <c r="B27" s="288">
        <f>電輔車!E27</f>
        <v>0</v>
      </c>
      <c r="C27" s="88">
        <f>VLOOKUP(A27,[11]進出口值表查詢結果!$A$10:$C$47,3,0)</f>
        <v>135</v>
      </c>
      <c r="D27" s="502">
        <f t="shared" si="1"/>
        <v>-1</v>
      </c>
      <c r="E27" s="288">
        <f>電輔車!G27</f>
        <v>0</v>
      </c>
      <c r="F27" s="89">
        <f>VLOOKUP(A27,[11]進出口值表查詢結果!$A$10:$C$47,2,0)</f>
        <v>229551</v>
      </c>
      <c r="G27" s="501">
        <f t="shared" si="2"/>
        <v>-1</v>
      </c>
      <c r="H27" s="86">
        <f t="shared" si="7"/>
        <v>0</v>
      </c>
      <c r="I27" s="87">
        <f t="shared" si="8"/>
        <v>1700.3777777777777</v>
      </c>
      <c r="J27" s="503">
        <f t="shared" si="0"/>
        <v>-1</v>
      </c>
    </row>
    <row r="28" spans="1:10">
      <c r="A28" s="446" t="s">
        <v>255</v>
      </c>
      <c r="B28" s="288">
        <f>電輔車!E28</f>
        <v>115</v>
      </c>
      <c r="C28" s="88">
        <f>VLOOKUP(A28,[11]進出口值表查詢結果!$A$10:$C$47,3,0)</f>
        <v>158</v>
      </c>
      <c r="D28" s="502">
        <f t="shared" si="1"/>
        <v>-0.27215189873417722</v>
      </c>
      <c r="E28" s="288">
        <f>電輔車!G28</f>
        <v>247727</v>
      </c>
      <c r="F28" s="89">
        <f>VLOOKUP(A28,[11]進出口值表查詢結果!$A$10:$C$47,2,0)</f>
        <v>293856</v>
      </c>
      <c r="G28" s="501">
        <f t="shared" si="2"/>
        <v>-0.15697824784928671</v>
      </c>
      <c r="H28" s="86">
        <f t="shared" si="7"/>
        <v>2154.1478260869567</v>
      </c>
      <c r="I28" s="87">
        <f t="shared" si="8"/>
        <v>1859.8481012658228</v>
      </c>
      <c r="J28" s="503">
        <f t="shared" si="0"/>
        <v>0.15823858121576265</v>
      </c>
    </row>
    <row r="29" spans="1:10">
      <c r="A29" s="456" t="s">
        <v>256</v>
      </c>
      <c r="B29" s="288">
        <f>電輔車!E29</f>
        <v>10</v>
      </c>
      <c r="C29" s="88">
        <f>VLOOKUP(A29,[11]進出口值表查詢結果!$A$10:$C$47,3,0)</f>
        <v>93</v>
      </c>
      <c r="D29" s="502">
        <f t="shared" si="1"/>
        <v>-0.89247311827956988</v>
      </c>
      <c r="E29" s="288">
        <f>電輔車!G29</f>
        <v>37778</v>
      </c>
      <c r="F29" s="89">
        <f>VLOOKUP(A29,[11]進出口值表查詢結果!$A$10:$C$47,2,0)</f>
        <v>215167</v>
      </c>
      <c r="G29" s="501">
        <f t="shared" si="2"/>
        <v>-0.82442474914833597</v>
      </c>
      <c r="H29" s="86">
        <f t="shared" si="7"/>
        <v>3777.8</v>
      </c>
      <c r="I29" s="87">
        <f t="shared" si="8"/>
        <v>2313.6236559139784</v>
      </c>
      <c r="J29" s="503">
        <f t="shared" si="0"/>
        <v>0.63284983292047592</v>
      </c>
    </row>
    <row r="30" spans="1:10">
      <c r="A30" s="456" t="s">
        <v>257</v>
      </c>
      <c r="B30" s="288">
        <f>電輔車!E30</f>
        <v>95</v>
      </c>
      <c r="C30" s="88">
        <f>VLOOKUP(A30,[11]進出口值表查詢結果!$A$10:$C$47,3,0)</f>
        <v>107</v>
      </c>
      <c r="D30" s="502">
        <f t="shared" si="1"/>
        <v>-0.11214953271028037</v>
      </c>
      <c r="E30" s="288">
        <f>電輔車!G30</f>
        <v>162191</v>
      </c>
      <c r="F30" s="89">
        <f>VLOOKUP(A30,[11]進出口值表查詢結果!$A$10:$C$47,2,0)</f>
        <v>186548</v>
      </c>
      <c r="G30" s="501">
        <f t="shared" si="2"/>
        <v>-0.13056693183523813</v>
      </c>
      <c r="H30" s="86">
        <f t="shared" si="7"/>
        <v>1707.2736842105264</v>
      </c>
      <c r="I30" s="87">
        <f t="shared" si="8"/>
        <v>1743.4392523364486</v>
      </c>
      <c r="J30" s="503">
        <f t="shared" si="0"/>
        <v>-2.0743807435478653E-2</v>
      </c>
    </row>
    <row r="31" spans="1:10">
      <c r="A31" s="456" t="s">
        <v>258</v>
      </c>
      <c r="B31" s="288">
        <f>電輔車!E31</f>
        <v>0</v>
      </c>
      <c r="C31" s="88">
        <v>0</v>
      </c>
      <c r="D31" s="502">
        <f t="shared" si="1"/>
        <v>0</v>
      </c>
      <c r="E31" s="288">
        <f>電輔車!G31</f>
        <v>0</v>
      </c>
      <c r="F31" s="89">
        <f>_xlfn.IFNA(VLOOKUP(A31,[8]電同!$C$3:$G$576,3,0),-[4]整車!$B$22)</f>
        <v>0</v>
      </c>
      <c r="G31" s="501">
        <f t="shared" si="2"/>
        <v>0</v>
      </c>
      <c r="H31" s="86">
        <f t="shared" si="7"/>
        <v>0</v>
      </c>
      <c r="I31" s="87">
        <f t="shared" si="8"/>
        <v>0</v>
      </c>
      <c r="J31" s="503">
        <f t="shared" si="0"/>
        <v>0</v>
      </c>
    </row>
    <row r="32" spans="1:10">
      <c r="A32" s="456" t="s">
        <v>260</v>
      </c>
      <c r="B32" s="288">
        <f>電輔車!E32</f>
        <v>0</v>
      </c>
      <c r="C32" s="88">
        <v>0</v>
      </c>
      <c r="D32" s="502">
        <f t="shared" si="1"/>
        <v>0</v>
      </c>
      <c r="E32" s="288">
        <f>電輔車!G32</f>
        <v>0</v>
      </c>
      <c r="F32" s="89">
        <f>_xlfn.IFNA(VLOOKUP(A32,[8]電同!$C$3:$G$576,3,0),-[4]整車!$B$22)</f>
        <v>0</v>
      </c>
      <c r="G32" s="501">
        <f t="shared" si="2"/>
        <v>0</v>
      </c>
      <c r="H32" s="86">
        <f t="shared" si="7"/>
        <v>0</v>
      </c>
      <c r="I32" s="87">
        <f t="shared" si="8"/>
        <v>0</v>
      </c>
      <c r="J32" s="503">
        <f t="shared" si="0"/>
        <v>0</v>
      </c>
    </row>
    <row r="33" spans="1:10">
      <c r="A33" s="456" t="s">
        <v>262</v>
      </c>
      <c r="B33" s="288">
        <f>電輔車!E33</f>
        <v>0</v>
      </c>
      <c r="C33" s="88">
        <v>0</v>
      </c>
      <c r="D33" s="502">
        <f t="shared" si="1"/>
        <v>0</v>
      </c>
      <c r="E33" s="288">
        <f>電輔車!G33</f>
        <v>0</v>
      </c>
      <c r="F33" s="89">
        <f>_xlfn.IFNA(VLOOKUP(A33,[8]電同!$C$3:$G$576,3,0),-[4]整車!$B$22)</f>
        <v>0</v>
      </c>
      <c r="G33" s="501">
        <f t="shared" si="2"/>
        <v>0</v>
      </c>
      <c r="H33" s="86">
        <f t="shared" si="7"/>
        <v>0</v>
      </c>
      <c r="I33" s="87">
        <f t="shared" si="8"/>
        <v>0</v>
      </c>
      <c r="J33" s="503">
        <f t="shared" si="0"/>
        <v>0</v>
      </c>
    </row>
    <row r="34" spans="1:10">
      <c r="A34" s="456" t="s">
        <v>263</v>
      </c>
      <c r="B34" s="288">
        <f>電輔車!E34</f>
        <v>0</v>
      </c>
      <c r="C34" s="88">
        <v>0</v>
      </c>
      <c r="D34" s="502">
        <f t="shared" si="1"/>
        <v>0</v>
      </c>
      <c r="E34" s="288">
        <f>電輔車!G34</f>
        <v>0</v>
      </c>
      <c r="F34" s="89">
        <f>_xlfn.IFNA(VLOOKUP(A34,[8]電同!$C$3:$G$576,3,0),-[4]整車!$B$22)</f>
        <v>0</v>
      </c>
      <c r="G34" s="501">
        <f t="shared" si="2"/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503">
        <f t="shared" si="0"/>
        <v>0</v>
      </c>
    </row>
    <row r="35" spans="1:10">
      <c r="A35" s="457" t="s">
        <v>381</v>
      </c>
      <c r="B35" s="288">
        <f>電輔車!E35</f>
        <v>0</v>
      </c>
      <c r="C35" s="88">
        <v>0</v>
      </c>
      <c r="D35" s="502">
        <f t="shared" si="1"/>
        <v>0</v>
      </c>
      <c r="E35" s="288">
        <f>電輔車!G35</f>
        <v>0</v>
      </c>
      <c r="F35" s="89">
        <f>_xlfn.IFNA(VLOOKUP(A35,[8]電同!$C$3:$G$576,3,0),-[4]整車!$B$22)</f>
        <v>0</v>
      </c>
      <c r="G35" s="501">
        <f t="shared" si="2"/>
        <v>0</v>
      </c>
      <c r="H35" s="86">
        <f t="shared" si="9"/>
        <v>0</v>
      </c>
      <c r="I35" s="87">
        <f t="shared" si="10"/>
        <v>0</v>
      </c>
      <c r="J35" s="503">
        <f t="shared" si="0"/>
        <v>0</v>
      </c>
    </row>
    <row r="36" spans="1:10">
      <c r="A36" s="456" t="s">
        <v>266</v>
      </c>
      <c r="B36" s="288">
        <f>電輔車!E36</f>
        <v>0</v>
      </c>
      <c r="C36" s="88">
        <v>0</v>
      </c>
      <c r="D36" s="502">
        <f t="shared" si="1"/>
        <v>0</v>
      </c>
      <c r="E36" s="288">
        <f>電輔車!G36</f>
        <v>0</v>
      </c>
      <c r="F36" s="89">
        <f>_xlfn.IFNA(VLOOKUP(A36,[8]電同!$C$3:$G$576,3,0),-[4]整車!$B$22)</f>
        <v>0</v>
      </c>
      <c r="G36" s="501">
        <f t="shared" si="2"/>
        <v>0</v>
      </c>
      <c r="H36" s="86">
        <f t="shared" si="9"/>
        <v>0</v>
      </c>
      <c r="I36" s="87">
        <f t="shared" si="10"/>
        <v>0</v>
      </c>
      <c r="J36" s="503">
        <f t="shared" si="0"/>
        <v>0</v>
      </c>
    </row>
    <row r="37" spans="1:10">
      <c r="A37" s="456" t="s">
        <v>382</v>
      </c>
      <c r="B37" s="288">
        <f>電輔車!E37</f>
        <v>0</v>
      </c>
      <c r="C37" s="88">
        <v>0</v>
      </c>
      <c r="D37" s="502">
        <f t="shared" si="1"/>
        <v>0</v>
      </c>
      <c r="E37" s="288">
        <f>電輔車!G37</f>
        <v>0</v>
      </c>
      <c r="F37" s="89">
        <f>_xlfn.IFNA(VLOOKUP(A37,[8]電同!$C$3:$G$576,3,0),-[4]整車!$B$22)</f>
        <v>0</v>
      </c>
      <c r="G37" s="501">
        <f t="shared" si="2"/>
        <v>0</v>
      </c>
      <c r="H37" s="86">
        <f t="shared" si="9"/>
        <v>0</v>
      </c>
      <c r="I37" s="87">
        <f t="shared" si="10"/>
        <v>0</v>
      </c>
      <c r="J37" s="503">
        <f t="shared" si="0"/>
        <v>0</v>
      </c>
    </row>
    <row r="38" spans="1:10">
      <c r="A38" s="456" t="s">
        <v>268</v>
      </c>
      <c r="B38" s="288">
        <f>電輔車!E38</f>
        <v>0</v>
      </c>
      <c r="C38" s="88">
        <v>0</v>
      </c>
      <c r="D38" s="502">
        <f t="shared" si="1"/>
        <v>0</v>
      </c>
      <c r="E38" s="288">
        <f>電輔車!G38</f>
        <v>0</v>
      </c>
      <c r="F38" s="89">
        <f>_xlfn.IFNA(VLOOKUP(A38,[8]電同!$C$3:$G$576,3,0),-[4]整車!$B$22)</f>
        <v>0</v>
      </c>
      <c r="G38" s="501">
        <f t="shared" si="2"/>
        <v>0</v>
      </c>
      <c r="H38" s="86">
        <f t="shared" si="9"/>
        <v>0</v>
      </c>
      <c r="I38" s="87">
        <f t="shared" si="10"/>
        <v>0</v>
      </c>
      <c r="J38" s="503">
        <f t="shared" si="0"/>
        <v>0</v>
      </c>
    </row>
    <row r="39" spans="1:10">
      <c r="A39" s="456" t="s">
        <v>269</v>
      </c>
      <c r="B39" s="288">
        <f>電輔車!E39</f>
        <v>0</v>
      </c>
      <c r="C39" s="88">
        <v>0</v>
      </c>
      <c r="D39" s="502">
        <f t="shared" si="1"/>
        <v>0</v>
      </c>
      <c r="E39" s="288">
        <f>電輔車!G39</f>
        <v>0</v>
      </c>
      <c r="F39" s="89">
        <f>_xlfn.IFNA(VLOOKUP(A39,[8]電同!$C$3:$G$576,3,0),-[4]整車!$B$22)</f>
        <v>0</v>
      </c>
      <c r="G39" s="501">
        <f t="shared" si="2"/>
        <v>0</v>
      </c>
      <c r="H39" s="86">
        <f t="shared" si="9"/>
        <v>0</v>
      </c>
      <c r="I39" s="87">
        <f t="shared" si="10"/>
        <v>0</v>
      </c>
      <c r="J39" s="503">
        <f t="shared" si="0"/>
        <v>0</v>
      </c>
    </row>
    <row r="40" spans="1:10">
      <c r="A40" s="446" t="s">
        <v>270</v>
      </c>
      <c r="B40" s="288">
        <f>電輔車!E40</f>
        <v>0</v>
      </c>
      <c r="C40" s="88">
        <v>0</v>
      </c>
      <c r="D40" s="502">
        <f t="shared" si="1"/>
        <v>0</v>
      </c>
      <c r="E40" s="288">
        <f>電輔車!G40</f>
        <v>0</v>
      </c>
      <c r="F40" s="89">
        <f>_xlfn.IFNA(VLOOKUP(A40,[8]電同!$C$3:$G$576,3,0),-[4]整車!$B$22)</f>
        <v>0</v>
      </c>
      <c r="G40" s="501">
        <f t="shared" si="2"/>
        <v>0</v>
      </c>
      <c r="H40" s="86">
        <f t="shared" si="9"/>
        <v>0</v>
      </c>
      <c r="I40" s="87">
        <f t="shared" si="10"/>
        <v>0</v>
      </c>
      <c r="J40" s="503">
        <f t="shared" si="0"/>
        <v>0</v>
      </c>
    </row>
    <row r="41" spans="1:10">
      <c r="A41" s="286"/>
      <c r="B41" s="288"/>
      <c r="C41" s="492"/>
      <c r="D41" s="502"/>
      <c r="E41" s="288"/>
      <c r="F41" s="89"/>
      <c r="G41" s="501"/>
      <c r="H41" s="86"/>
      <c r="I41" s="87"/>
      <c r="J41" s="503"/>
    </row>
    <row r="42" spans="1:10">
      <c r="A42" s="292" t="s">
        <v>19</v>
      </c>
      <c r="B42" s="291">
        <f>SUM(B43:B46)</f>
        <v>844</v>
      </c>
      <c r="C42" s="493">
        <f>SUM(C43:C46)</f>
        <v>2791</v>
      </c>
      <c r="D42" s="502">
        <f t="shared" si="1"/>
        <v>-0.69759942672877107</v>
      </c>
      <c r="E42" s="291">
        <f>SUM(E43:E46)</f>
        <v>1779396</v>
      </c>
      <c r="F42" s="84">
        <f>SUM(F43:F46)</f>
        <v>5083560</v>
      </c>
      <c r="G42" s="501">
        <f t="shared" si="2"/>
        <v>-0.64997049311899535</v>
      </c>
      <c r="H42" s="86">
        <f t="shared" si="9"/>
        <v>2108.2890995260664</v>
      </c>
      <c r="I42" s="87">
        <f t="shared" si="10"/>
        <v>1821.4116804012899</v>
      </c>
      <c r="J42" s="503">
        <f t="shared" si="0"/>
        <v>0.15750278874986251</v>
      </c>
    </row>
    <row r="43" spans="1:10">
      <c r="A43" s="286" t="s">
        <v>179</v>
      </c>
      <c r="B43" s="288">
        <f>電輔車!E43</f>
        <v>524</v>
      </c>
      <c r="C43" s="88">
        <f>VLOOKUP(A43,[11]進出口值表查詢結果!$A$10:$C$47,3,0)</f>
        <v>1297</v>
      </c>
      <c r="D43" s="502">
        <f t="shared" si="1"/>
        <v>-0.59599074787972239</v>
      </c>
      <c r="E43" s="288">
        <f>電輔車!G43</f>
        <v>1205241</v>
      </c>
      <c r="F43" s="89">
        <f>VLOOKUP(A43,[11]進出口值表查詢結果!$A$10:$C$47,2,0)</f>
        <v>2440483</v>
      </c>
      <c r="G43" s="501">
        <f t="shared" si="2"/>
        <v>-0.50614652919114778</v>
      </c>
      <c r="H43" s="86">
        <f t="shared" si="9"/>
        <v>2300.0782442748091</v>
      </c>
      <c r="I43" s="87">
        <f t="shared" si="10"/>
        <v>1881.6368542791056</v>
      </c>
      <c r="J43" s="503">
        <f t="shared" si="0"/>
        <v>0.22238158709748335</v>
      </c>
    </row>
    <row r="44" spans="1:10">
      <c r="A44" s="286" t="s">
        <v>272</v>
      </c>
      <c r="B44" s="288">
        <f>電輔車!E44</f>
        <v>320</v>
      </c>
      <c r="C44" s="88">
        <f>VLOOKUP(A44,[11]進出口值表查詢結果!$A$10:$C$47,3,0)</f>
        <v>1449</v>
      </c>
      <c r="D44" s="502">
        <f t="shared" si="1"/>
        <v>-0.77915804002760525</v>
      </c>
      <c r="E44" s="288">
        <f>電輔車!G44</f>
        <v>574155</v>
      </c>
      <c r="F44" s="89">
        <f>VLOOKUP(A44,[11]進出口值表查詢結果!$A$10:$C$47,2,0)</f>
        <v>2533227</v>
      </c>
      <c r="G44" s="501">
        <f t="shared" si="2"/>
        <v>-0.77335035510043115</v>
      </c>
      <c r="H44" s="86">
        <f t="shared" si="9"/>
        <v>1794.234375</v>
      </c>
      <c r="I44" s="87">
        <f t="shared" si="10"/>
        <v>1748.2587991718426</v>
      </c>
      <c r="J44" s="503">
        <f t="shared" si="0"/>
        <v>2.6297923310860043E-2</v>
      </c>
    </row>
    <row r="45" spans="1:10">
      <c r="A45" s="286" t="s">
        <v>273</v>
      </c>
      <c r="B45" s="288">
        <f>電輔車!E45</f>
        <v>0</v>
      </c>
      <c r="C45" s="88">
        <f>VLOOKUP(A45,[11]進出口值表查詢結果!$A$10:$C$47,3,0)</f>
        <v>45</v>
      </c>
      <c r="D45" s="502">
        <f t="shared" si="1"/>
        <v>-1</v>
      </c>
      <c r="E45" s="288">
        <f>電輔車!G45</f>
        <v>0</v>
      </c>
      <c r="F45" s="89">
        <f>VLOOKUP(A45,[11]進出口值表查詢結果!$A$10:$C$47,2,0)</f>
        <v>109850</v>
      </c>
      <c r="G45" s="501">
        <f t="shared" si="2"/>
        <v>-1</v>
      </c>
      <c r="H45" s="86">
        <f t="shared" si="9"/>
        <v>0</v>
      </c>
      <c r="I45" s="87">
        <f t="shared" si="10"/>
        <v>2441.1111111111113</v>
      </c>
      <c r="J45" s="503">
        <f t="shared" si="0"/>
        <v>-1</v>
      </c>
    </row>
    <row r="46" spans="1:10">
      <c r="A46" s="289" t="s">
        <v>20</v>
      </c>
      <c r="B46" s="288">
        <f>電輔車!E46</f>
        <v>0</v>
      </c>
      <c r="C46" s="88">
        <v>0</v>
      </c>
      <c r="D46" s="502">
        <f t="shared" si="1"/>
        <v>0</v>
      </c>
      <c r="E46" s="288">
        <f>電輔車!G46</f>
        <v>0</v>
      </c>
      <c r="F46" s="89">
        <f>_xlfn.IFNA(VLOOKUP(A46,[8]電同!$C$3:$G$576,3,0),-[4]整車!$B$22)</f>
        <v>0</v>
      </c>
      <c r="G46" s="501">
        <f t="shared" si="2"/>
        <v>0</v>
      </c>
      <c r="H46" s="86">
        <f t="shared" si="9"/>
        <v>0</v>
      </c>
      <c r="I46" s="87">
        <f t="shared" si="10"/>
        <v>0</v>
      </c>
      <c r="J46" s="503">
        <f t="shared" si="0"/>
        <v>0</v>
      </c>
    </row>
    <row r="47" spans="1:10">
      <c r="A47" s="289"/>
      <c r="B47" s="288"/>
      <c r="C47" s="492"/>
      <c r="D47" s="502"/>
      <c r="E47" s="288"/>
      <c r="F47" s="89"/>
      <c r="G47" s="501"/>
      <c r="H47" s="86"/>
      <c r="I47" s="87"/>
      <c r="J47" s="503"/>
    </row>
    <row r="48" spans="1:10">
      <c r="A48" s="292" t="s">
        <v>21</v>
      </c>
      <c r="B48" s="291">
        <f>SUM(B49:B62)</f>
        <v>5895</v>
      </c>
      <c r="C48" s="493">
        <f>SUM(C49:C62)</f>
        <v>5850</v>
      </c>
      <c r="D48" s="502">
        <f t="shared" si="1"/>
        <v>7.6923076923076927E-3</v>
      </c>
      <c r="E48" s="291">
        <f>SUM(E49:E62)</f>
        <v>13840756</v>
      </c>
      <c r="F48" s="90">
        <f>SUM(F49:F62)</f>
        <v>11392883</v>
      </c>
      <c r="G48" s="501">
        <f t="shared" si="2"/>
        <v>0.21485983837453609</v>
      </c>
      <c r="H48" s="86">
        <f t="shared" si="9"/>
        <v>2347.8805767599661</v>
      </c>
      <c r="I48" s="87">
        <f t="shared" si="10"/>
        <v>1947.5013675213675</v>
      </c>
      <c r="J48" s="503">
        <f t="shared" si="0"/>
        <v>0.20558609915030304</v>
      </c>
    </row>
    <row r="49" spans="1:10">
      <c r="A49" s="292" t="s">
        <v>158</v>
      </c>
      <c r="B49" s="288">
        <f>電輔車!E49</f>
        <v>2325</v>
      </c>
      <c r="C49" s="88">
        <f>VLOOKUP(A49,[11]進出口值表查詢結果!$A$10:$C$47,3,0)</f>
        <v>2888</v>
      </c>
      <c r="D49" s="502">
        <f t="shared" si="1"/>
        <v>-0.19494459833795014</v>
      </c>
      <c r="E49" s="288">
        <f>電輔車!G49</f>
        <v>5526016</v>
      </c>
      <c r="F49" s="89">
        <f>VLOOKUP(A49,[11]進出口值表查詢結果!$A$10:$C$47,2,0)</f>
        <v>5283005</v>
      </c>
      <c r="G49" s="501">
        <f t="shared" si="2"/>
        <v>4.5998631460693301E-2</v>
      </c>
      <c r="H49" s="86">
        <f t="shared" si="9"/>
        <v>2376.7810752688174</v>
      </c>
      <c r="I49" s="87">
        <f>IF(C49,F49/C49,0)</f>
        <v>1829.2953601108034</v>
      </c>
      <c r="J49" s="503">
        <f t="shared" si="0"/>
        <v>0.29928776243375588</v>
      </c>
    </row>
    <row r="50" spans="1:10">
      <c r="A50" s="445" t="s">
        <v>383</v>
      </c>
      <c r="B50" s="288">
        <f>電輔車!E50</f>
        <v>638</v>
      </c>
      <c r="C50" s="88">
        <f>VLOOKUP(A50,[11]進出口值表查詢結果!$A$10:$C$47,3,0)</f>
        <v>812</v>
      </c>
      <c r="D50" s="502">
        <f t="shared" si="1"/>
        <v>-0.21428571428571427</v>
      </c>
      <c r="E50" s="288">
        <f>電輔車!G50</f>
        <v>528610</v>
      </c>
      <c r="F50" s="89">
        <f>VLOOKUP(A50,[11]進出口值表查詢結果!$A$10:$C$47,2,0)</f>
        <v>834377</v>
      </c>
      <c r="G50" s="501">
        <f t="shared" si="2"/>
        <v>-0.36646144368792527</v>
      </c>
      <c r="H50" s="86">
        <f t="shared" si="9"/>
        <v>828.54231974921629</v>
      </c>
      <c r="I50" s="87">
        <f t="shared" si="10"/>
        <v>1027.557881773399</v>
      </c>
      <c r="J50" s="503">
        <f t="shared" si="0"/>
        <v>-0.19367820105735939</v>
      </c>
    </row>
    <row r="51" spans="1:10">
      <c r="A51" s="286" t="s">
        <v>219</v>
      </c>
      <c r="B51" s="288">
        <f>電輔車!E51</f>
        <v>0</v>
      </c>
      <c r="C51" s="88">
        <f>VLOOKUP(A51,[11]進出口值表查詢結果!$A$10:$C$47,3,0)</f>
        <v>45</v>
      </c>
      <c r="D51" s="502">
        <f t="shared" si="1"/>
        <v>-1</v>
      </c>
      <c r="E51" s="288">
        <f>電輔車!G51</f>
        <v>0</v>
      </c>
      <c r="F51" s="89">
        <f>VLOOKUP(A51,[11]進出口值表查詢結果!$A$10:$C$47,2,0)</f>
        <v>37257</v>
      </c>
      <c r="G51" s="501">
        <f t="shared" si="2"/>
        <v>-1</v>
      </c>
      <c r="H51" s="86">
        <f t="shared" si="9"/>
        <v>0</v>
      </c>
      <c r="I51" s="87">
        <f t="shared" si="10"/>
        <v>827.93333333333328</v>
      </c>
      <c r="J51" s="503">
        <f t="shared" si="0"/>
        <v>-1</v>
      </c>
    </row>
    <row r="52" spans="1:10">
      <c r="A52" s="445" t="s">
        <v>296</v>
      </c>
      <c r="B52" s="288">
        <f>電輔車!E52</f>
        <v>24</v>
      </c>
      <c r="C52" s="88">
        <f>VLOOKUP(A52,[11]進出口值表查詢結果!$A$10:$C$47,3,0)</f>
        <v>1</v>
      </c>
      <c r="D52" s="502">
        <f t="shared" si="1"/>
        <v>23</v>
      </c>
      <c r="E52" s="288">
        <f>電輔車!G52</f>
        <v>70538</v>
      </c>
      <c r="F52" s="89">
        <f>VLOOKUP(A52,[11]進出口值表查詢結果!$A$10:$C$47,2,0)</f>
        <v>1849</v>
      </c>
      <c r="G52" s="501">
        <f t="shared" si="2"/>
        <v>37.149269875608439</v>
      </c>
      <c r="H52" s="86">
        <f t="shared" si="9"/>
        <v>2939.0833333333335</v>
      </c>
      <c r="I52" s="87">
        <f t="shared" si="10"/>
        <v>1849</v>
      </c>
      <c r="J52" s="503">
        <f t="shared" si="0"/>
        <v>0.58955291148368494</v>
      </c>
    </row>
    <row r="53" spans="1:10">
      <c r="A53" s="446" t="s">
        <v>22</v>
      </c>
      <c r="B53" s="288">
        <f>電輔車!E53</f>
        <v>62</v>
      </c>
      <c r="C53" s="88">
        <v>0</v>
      </c>
      <c r="D53" s="502">
        <f t="shared" si="1"/>
        <v>0</v>
      </c>
      <c r="E53" s="288">
        <f>電輔車!G53</f>
        <v>182704</v>
      </c>
      <c r="F53" s="89">
        <f>_xlfn.IFNA(VLOOKUP(A53,[8]電同!$C$3:$G$756,3,0),-[4]整車!$B$22)</f>
        <v>0</v>
      </c>
      <c r="G53" s="501">
        <f t="shared" si="2"/>
        <v>0</v>
      </c>
      <c r="H53" s="86">
        <f t="shared" si="9"/>
        <v>2946.8387096774195</v>
      </c>
      <c r="I53" s="87">
        <f t="shared" si="10"/>
        <v>0</v>
      </c>
      <c r="J53" s="503">
        <f t="shared" si="0"/>
        <v>0</v>
      </c>
    </row>
    <row r="54" spans="1:10">
      <c r="A54" s="445" t="s">
        <v>302</v>
      </c>
      <c r="B54" s="288">
        <f>電輔車!E54</f>
        <v>137</v>
      </c>
      <c r="C54" s="88">
        <v>0</v>
      </c>
      <c r="D54" s="502">
        <f t="shared" si="1"/>
        <v>0</v>
      </c>
      <c r="E54" s="288">
        <f>電輔車!G54</f>
        <v>564869</v>
      </c>
      <c r="F54" s="89">
        <v>0</v>
      </c>
      <c r="G54" s="501">
        <f t="shared" si="2"/>
        <v>0</v>
      </c>
      <c r="H54" s="86">
        <f t="shared" si="9"/>
        <v>4123.1313868613142</v>
      </c>
      <c r="I54" s="87">
        <f t="shared" si="10"/>
        <v>0</v>
      </c>
      <c r="J54" s="503">
        <f t="shared" si="0"/>
        <v>0</v>
      </c>
    </row>
    <row r="55" spans="1:10">
      <c r="A55" s="446" t="s">
        <v>385</v>
      </c>
      <c r="B55" s="288">
        <f>電輔車!E55</f>
        <v>1320</v>
      </c>
      <c r="C55" s="88">
        <f>VLOOKUP(A55,[11]進出口值表查詢結果!$A$10:$C$47,3,0)</f>
        <v>731</v>
      </c>
      <c r="D55" s="502">
        <f t="shared" si="1"/>
        <v>0.80574555403556769</v>
      </c>
      <c r="E55" s="288">
        <f>電輔車!G55</f>
        <v>3121227</v>
      </c>
      <c r="F55" s="89">
        <f>VLOOKUP(A55,[11]進出口值表查詢結果!$A$10:$C$47,2,0)</f>
        <v>1648288</v>
      </c>
      <c r="G55" s="501">
        <f t="shared" si="2"/>
        <v>0.89361749888369024</v>
      </c>
      <c r="H55" s="86">
        <f t="shared" si="9"/>
        <v>2364.5659090909089</v>
      </c>
      <c r="I55" s="87">
        <f t="shared" si="10"/>
        <v>2254.8399452804379</v>
      </c>
      <c r="J55" s="503">
        <f t="shared" si="0"/>
        <v>4.8662417942407117E-2</v>
      </c>
    </row>
    <row r="56" spans="1:10">
      <c r="A56" s="446" t="s">
        <v>23</v>
      </c>
      <c r="B56" s="288">
        <f>電輔車!E56</f>
        <v>72</v>
      </c>
      <c r="C56" s="88">
        <v>0</v>
      </c>
      <c r="D56" s="502">
        <f t="shared" si="1"/>
        <v>0</v>
      </c>
      <c r="E56" s="288">
        <f>電輔車!G56</f>
        <v>76699</v>
      </c>
      <c r="F56" s="89">
        <v>0</v>
      </c>
      <c r="G56" s="501">
        <f t="shared" si="2"/>
        <v>0</v>
      </c>
      <c r="H56" s="86">
        <f t="shared" si="9"/>
        <v>1065.2638888888889</v>
      </c>
      <c r="I56" s="87">
        <f t="shared" si="10"/>
        <v>0</v>
      </c>
      <c r="J56" s="503">
        <f t="shared" si="0"/>
        <v>0</v>
      </c>
    </row>
    <row r="57" spans="1:10">
      <c r="A57" s="446" t="s">
        <v>238</v>
      </c>
      <c r="B57" s="288">
        <f>電輔車!E57</f>
        <v>99</v>
      </c>
      <c r="C57" s="88">
        <v>0</v>
      </c>
      <c r="D57" s="502">
        <f t="shared" si="1"/>
        <v>0</v>
      </c>
      <c r="E57" s="288">
        <f>電輔車!G57</f>
        <v>327830</v>
      </c>
      <c r="F57" s="89">
        <v>0</v>
      </c>
      <c r="G57" s="501">
        <f t="shared" si="2"/>
        <v>0</v>
      </c>
      <c r="H57" s="86">
        <f t="shared" si="9"/>
        <v>3311.4141414141413</v>
      </c>
      <c r="I57" s="87">
        <f t="shared" si="10"/>
        <v>0</v>
      </c>
      <c r="J57" s="503">
        <f t="shared" si="0"/>
        <v>0</v>
      </c>
    </row>
    <row r="58" spans="1:10">
      <c r="A58" s="446" t="s">
        <v>231</v>
      </c>
      <c r="B58" s="288">
        <f>電輔車!E58</f>
        <v>50</v>
      </c>
      <c r="C58" s="88">
        <f>VLOOKUP(A58,[11]進出口值表查詢結果!$A$10:$C$47,3,0)</f>
        <v>397</v>
      </c>
      <c r="D58" s="502">
        <f t="shared" si="1"/>
        <v>-0.87405541561712852</v>
      </c>
      <c r="E58" s="288">
        <f>電輔車!G58</f>
        <v>182240</v>
      </c>
      <c r="F58" s="89">
        <f>VLOOKUP(A58,[11]進出口值表查詢結果!$A$10:$C$47,2,0)</f>
        <v>998927</v>
      </c>
      <c r="G58" s="501">
        <f t="shared" si="2"/>
        <v>-0.81756424643642633</v>
      </c>
      <c r="H58" s="86">
        <f t="shared" si="9"/>
        <v>3644.8</v>
      </c>
      <c r="I58" s="87">
        <f t="shared" si="10"/>
        <v>2516.1889168765742</v>
      </c>
      <c r="J58" s="503">
        <f t="shared" si="0"/>
        <v>0.4485398832947754</v>
      </c>
    </row>
    <row r="59" spans="1:10">
      <c r="A59" s="446" t="s">
        <v>276</v>
      </c>
      <c r="B59" s="288">
        <f>電輔車!E59</f>
        <v>0</v>
      </c>
      <c r="C59" s="88">
        <v>0</v>
      </c>
      <c r="D59" s="502">
        <f t="shared" si="1"/>
        <v>0</v>
      </c>
      <c r="E59" s="288">
        <f>電輔車!G59</f>
        <v>0</v>
      </c>
      <c r="F59" s="89">
        <v>0</v>
      </c>
      <c r="G59" s="501">
        <f t="shared" si="2"/>
        <v>0</v>
      </c>
      <c r="H59" s="86">
        <f t="shared" si="9"/>
        <v>0</v>
      </c>
      <c r="I59" s="87">
        <f t="shared" si="10"/>
        <v>0</v>
      </c>
      <c r="J59" s="503">
        <f t="shared" si="0"/>
        <v>0</v>
      </c>
    </row>
    <row r="60" spans="1:10">
      <c r="A60" s="446" t="s">
        <v>281</v>
      </c>
      <c r="B60" s="288">
        <f>電輔車!E60</f>
        <v>0</v>
      </c>
      <c r="C60" s="88">
        <v>0</v>
      </c>
      <c r="D60" s="502">
        <f t="shared" si="1"/>
        <v>0</v>
      </c>
      <c r="E60" s="288">
        <f>電輔車!G60</f>
        <v>0</v>
      </c>
      <c r="F60" s="89">
        <f>_xlfn.IFNA(VLOOKUP(A60,[8]電同!$C$3:$G$756,3,0),-[4]整車!$B$22)</f>
        <v>0</v>
      </c>
      <c r="G60" s="501">
        <f t="shared" si="2"/>
        <v>0</v>
      </c>
      <c r="H60" s="86">
        <f t="shared" si="9"/>
        <v>0</v>
      </c>
      <c r="I60" s="87">
        <f t="shared" si="10"/>
        <v>0</v>
      </c>
      <c r="J60" s="503">
        <f t="shared" si="0"/>
        <v>0</v>
      </c>
    </row>
    <row r="61" spans="1:10">
      <c r="A61" s="446" t="s">
        <v>287</v>
      </c>
      <c r="B61" s="288">
        <f>電輔車!E61</f>
        <v>712</v>
      </c>
      <c r="C61" s="88">
        <f>VLOOKUP(A61,[11]進出口值表查詢結果!$A$10:$C$47,3,0)</f>
        <v>555</v>
      </c>
      <c r="D61" s="502">
        <f t="shared" si="1"/>
        <v>0.28288288288288288</v>
      </c>
      <c r="E61" s="288">
        <f>電輔車!G61</f>
        <v>1795797</v>
      </c>
      <c r="F61" s="89">
        <f>VLOOKUP(A61,[11]進出口值表查詢結果!$A$10:$C$47,2,0)</f>
        <v>1501043</v>
      </c>
      <c r="G61" s="501">
        <f t="shared" si="2"/>
        <v>0.19636612675319762</v>
      </c>
      <c r="H61" s="86">
        <f t="shared" si="9"/>
        <v>2522.1867977528091</v>
      </c>
      <c r="I61" s="87">
        <f t="shared" si="10"/>
        <v>2704.5819819819822</v>
      </c>
      <c r="J61" s="503">
        <f t="shared" si="0"/>
        <v>-6.7439325353897961E-2</v>
      </c>
    </row>
    <row r="62" spans="1:10">
      <c r="A62" s="446" t="s">
        <v>335</v>
      </c>
      <c r="B62" s="288">
        <f>電輔車!E62</f>
        <v>456</v>
      </c>
      <c r="C62" s="88">
        <f>VLOOKUP(A62,[11]進出口值表查詢結果!$A$10:$C$47,3,0)</f>
        <v>421</v>
      </c>
      <c r="D62" s="502">
        <f t="shared" si="1"/>
        <v>8.3135391923990498E-2</v>
      </c>
      <c r="E62" s="288">
        <f>電輔車!G62</f>
        <v>1464226</v>
      </c>
      <c r="F62" s="89">
        <f>VLOOKUP(A62,[11]進出口值表查詢結果!$A$10:$C$47,2,0)</f>
        <v>1088137</v>
      </c>
      <c r="G62" s="501">
        <f t="shared" si="2"/>
        <v>0.3456265157788036</v>
      </c>
      <c r="H62" s="86">
        <f t="shared" si="9"/>
        <v>3211.0219298245615</v>
      </c>
      <c r="I62" s="87">
        <f t="shared" si="10"/>
        <v>2584.648456057007</v>
      </c>
      <c r="J62" s="503">
        <f t="shared" si="0"/>
        <v>0.24234377882209726</v>
      </c>
    </row>
    <row r="63" spans="1:10">
      <c r="A63" s="289" t="s">
        <v>29</v>
      </c>
      <c r="B63" s="288">
        <f>B64-B48-B42-B13-B8</f>
        <v>422</v>
      </c>
      <c r="C63" s="89">
        <f>C64-C48-C42-C13-C8</f>
        <v>872</v>
      </c>
      <c r="D63" s="502">
        <f t="shared" si="1"/>
        <v>-0.51605504587155959</v>
      </c>
      <c r="E63" s="288">
        <f>E64-E48-E42-E13-E8</f>
        <v>1479152</v>
      </c>
      <c r="F63" s="89">
        <f>F64-F48-F42-F13-F8</f>
        <v>2279517</v>
      </c>
      <c r="G63" s="501">
        <f t="shared" si="2"/>
        <v>-0.35111166093518936</v>
      </c>
      <c r="H63" s="86">
        <f t="shared" si="9"/>
        <v>3505.0995260663508</v>
      </c>
      <c r="I63" s="87">
        <f t="shared" si="10"/>
        <v>2614.125</v>
      </c>
      <c r="J63" s="503">
        <f t="shared" si="0"/>
        <v>0.34083088072159928</v>
      </c>
    </row>
    <row r="64" spans="1:10">
      <c r="A64" s="290" t="s">
        <v>400</v>
      </c>
      <c r="B64" s="291">
        <f>電輔車!E64</f>
        <v>53457</v>
      </c>
      <c r="C64" s="88">
        <f>VLOOKUP(A64,[11]進出口值表查詢結果!$A$10:$C$47,3,0)</f>
        <v>67064</v>
      </c>
      <c r="D64" s="502">
        <f t="shared" si="1"/>
        <v>-0.20289574138136704</v>
      </c>
      <c r="E64" s="288">
        <f>電輔車!G64</f>
        <v>112718368</v>
      </c>
      <c r="F64" s="89">
        <f>VLOOKUP(A64,[11]進出口值表查詢結果!$A$10:$C$47,2,0)</f>
        <v>123349564</v>
      </c>
      <c r="G64" s="501">
        <f t="shared" si="2"/>
        <v>-8.6187544205669014E-2</v>
      </c>
      <c r="H64" s="86">
        <f t="shared" ref="H64" si="11">E64/B64</f>
        <v>2108.5801298239708</v>
      </c>
      <c r="I64" s="87">
        <f t="shared" ref="I64" si="12">F64/C64</f>
        <v>1839.2813431945603</v>
      </c>
      <c r="J64" s="503">
        <f t="shared" si="0"/>
        <v>0.14641522224200793</v>
      </c>
    </row>
    <row r="65" spans="1:7" ht="10.5" customHeight="1">
      <c r="A65" s="293"/>
      <c r="B65" s="294"/>
      <c r="C65" s="295"/>
      <c r="D65" s="296"/>
      <c r="E65" s="294"/>
      <c r="F65" s="295"/>
      <c r="G65" s="296"/>
    </row>
    <row r="66" spans="1:7" ht="13.5" customHeight="1">
      <c r="A66" s="297" t="s">
        <v>465</v>
      </c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0.5" style="95" bestFit="1" customWidth="1"/>
    <col min="3" max="3" width="14.375" style="5" customWidth="1"/>
    <col min="4" max="4" width="10.5" style="95" bestFit="1" customWidth="1"/>
    <col min="5" max="5" width="11.875" style="5" customWidth="1"/>
    <col min="6" max="6" width="8.875" style="95" customWidth="1"/>
    <col min="7" max="7" width="12.625" style="95" customWidth="1"/>
    <col min="8" max="8" width="9.125" style="5" customWidth="1"/>
    <col min="9" max="9" width="9.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8" customFormat="1" ht="19.5">
      <c r="A1" s="177"/>
      <c r="C1" s="179" t="s">
        <v>499</v>
      </c>
    </row>
    <row r="2" spans="1:9" ht="12.75" customHeight="1"/>
    <row r="3" spans="1:9" s="7" customFormat="1" ht="15.75">
      <c r="A3" s="110" t="s">
        <v>478</v>
      </c>
      <c r="B3" s="180"/>
      <c r="C3" s="62"/>
      <c r="D3" s="181"/>
      <c r="E3" s="62"/>
      <c r="F3" s="180"/>
      <c r="G3" s="180"/>
      <c r="H3" s="62"/>
      <c r="I3" s="181"/>
    </row>
    <row r="4" spans="1:9" s="13" customFormat="1">
      <c r="A4" s="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82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3" t="s">
        <v>3</v>
      </c>
    </row>
    <row r="6" spans="1:9" ht="18.600000000000001" customHeight="1">
      <c r="A6" s="170" t="s">
        <v>4</v>
      </c>
      <c r="B6" s="184"/>
      <c r="C6" s="17"/>
      <c r="D6" s="185"/>
      <c r="E6" s="17"/>
      <c r="F6" s="185"/>
      <c r="G6" s="185"/>
      <c r="H6" s="17"/>
      <c r="I6" s="186"/>
    </row>
    <row r="7" spans="1:9">
      <c r="A7" s="20" t="s">
        <v>5</v>
      </c>
      <c r="B7" s="187">
        <f>SUM(B8:B10)</f>
        <v>0</v>
      </c>
      <c r="C7" s="22">
        <f>SUM(C8:C10)</f>
        <v>0</v>
      </c>
      <c r="D7" s="188">
        <f>IF(B7,C7/B7,0)</f>
        <v>0</v>
      </c>
      <c r="E7" s="22">
        <f>SUM(E8:E10)</f>
        <v>0</v>
      </c>
      <c r="F7" s="189">
        <f>E7/$E$68</f>
        <v>0</v>
      </c>
      <c r="G7" s="190">
        <f>SUM(G8:G10)</f>
        <v>0</v>
      </c>
      <c r="H7" s="24">
        <f>G7/$G$68</f>
        <v>0</v>
      </c>
      <c r="I7" s="191">
        <f>IF(E7,G7/E7,0)</f>
        <v>0</v>
      </c>
    </row>
    <row r="8" spans="1:9">
      <c r="A8" s="26" t="s">
        <v>378</v>
      </c>
      <c r="B8" s="192">
        <f>_xlfn.IFNA(VLOOKUP(A8,[8]折!$C$3:$F$95,4,0),-[4]整車!$B$22)</f>
        <v>0</v>
      </c>
      <c r="C8" s="28">
        <f>_xlfn.IFNA(VLOOKUP(A8,[8]折!$C$3:$F$99,3,0),-[4]整車!$B$22)</f>
        <v>0</v>
      </c>
      <c r="D8" s="188">
        <f t="shared" ref="D8:D67" si="0">IF(B8,C8/B8,0)</f>
        <v>0</v>
      </c>
      <c r="E8" s="28">
        <f>_xlfn.IFNA(VLOOKUP(A8,[8]折同!$C$3:$H$352,6,0),-[4]整車!$B$22)</f>
        <v>0</v>
      </c>
      <c r="F8" s="189">
        <f>E8/$E$68</f>
        <v>0</v>
      </c>
      <c r="G8" s="192">
        <f>_xlfn.IFNA(VLOOKUP(A8,[8]折同!$C$3:$H$532,4,0),-[4]整車!$B$22)</f>
        <v>0</v>
      </c>
      <c r="H8" s="24">
        <f>G8/$G$68</f>
        <v>0</v>
      </c>
      <c r="I8" s="191">
        <f t="shared" ref="I8:I67" si="1">IF(E8,G8/E8,0)</f>
        <v>0</v>
      </c>
    </row>
    <row r="9" spans="1:9">
      <c r="A9" s="30" t="s">
        <v>6</v>
      </c>
      <c r="B9" s="192">
        <f>_xlfn.IFNA(VLOOKUP(A9,[8]折!$C$3:$F$95,4,0),-[4]整車!$B$22)</f>
        <v>0</v>
      </c>
      <c r="C9" s="28">
        <f>_xlfn.IFNA(VLOOKUP(A9,[8]折!$C$3:$F$99,3,0),-[4]整車!$B$22)</f>
        <v>0</v>
      </c>
      <c r="D9" s="188">
        <f t="shared" si="0"/>
        <v>0</v>
      </c>
      <c r="E9" s="28">
        <f>_xlfn.IFNA(VLOOKUP(A9,[8]折同!$C$3:$H$352,6,0),-[4]整車!$B$22)</f>
        <v>0</v>
      </c>
      <c r="F9" s="189">
        <f>E9/$E$68</f>
        <v>0</v>
      </c>
      <c r="G9" s="192">
        <f>_xlfn.IFNA(VLOOKUP(A9,[8]折同!$C$3:$H$532,4,0),-[4]整車!$B$22)</f>
        <v>0</v>
      </c>
      <c r="H9" s="24">
        <f>G9/$G$68</f>
        <v>0</v>
      </c>
      <c r="I9" s="191">
        <f t="shared" si="1"/>
        <v>0</v>
      </c>
    </row>
    <row r="10" spans="1:9">
      <c r="A10" s="30" t="s">
        <v>7</v>
      </c>
      <c r="B10" s="192">
        <f>_xlfn.IFNA(VLOOKUP(A10,[8]折!$C$3:$F$95,4,0),-[4]整車!$B$22)</f>
        <v>0</v>
      </c>
      <c r="C10" s="28">
        <f>_xlfn.IFNA(VLOOKUP(A10,[8]折!$C$3:$F$99,3,0),-[4]整車!$B$22)</f>
        <v>0</v>
      </c>
      <c r="D10" s="188">
        <f t="shared" si="0"/>
        <v>0</v>
      </c>
      <c r="E10" s="28">
        <f>_xlfn.IFNA(VLOOKUP(A10,[8]折同!$C$3:$H$352,6,0),-[4]整車!$B$22)</f>
        <v>0</v>
      </c>
      <c r="F10" s="189">
        <f>E10/$E$68</f>
        <v>0</v>
      </c>
      <c r="G10" s="192">
        <f>_xlfn.IFNA(VLOOKUP(A10,[8]折同!$C$3:$H$532,4,0),-[4]整車!$B$22)</f>
        <v>0</v>
      </c>
      <c r="H10" s="24">
        <f>G10/$G$68</f>
        <v>0</v>
      </c>
      <c r="I10" s="191">
        <f t="shared" si="1"/>
        <v>0</v>
      </c>
    </row>
    <row r="11" spans="1:9">
      <c r="A11" s="31"/>
      <c r="B11" s="192"/>
      <c r="C11" s="28"/>
      <c r="D11" s="188"/>
      <c r="E11" s="27"/>
      <c r="F11" s="193"/>
      <c r="G11" s="192"/>
      <c r="H11" s="29"/>
      <c r="I11" s="191"/>
    </row>
    <row r="12" spans="1:9">
      <c r="A12" s="32" t="s">
        <v>8</v>
      </c>
      <c r="B12" s="194">
        <f>SUM(B13:B39)</f>
        <v>97</v>
      </c>
      <c r="C12" s="33">
        <f>SUM(C13:C39)</f>
        <v>40433</v>
      </c>
      <c r="D12" s="188">
        <f t="shared" si="0"/>
        <v>416.83505154639175</v>
      </c>
      <c r="E12" s="33">
        <f>SUM(E13:E39)</f>
        <v>97</v>
      </c>
      <c r="F12" s="189">
        <f t="shared" ref="F12:F13" si="2">E12/$E$68</f>
        <v>0.19477911646586346</v>
      </c>
      <c r="G12" s="194">
        <f>SUM(G13:G39)</f>
        <v>40433</v>
      </c>
      <c r="H12" s="24">
        <f>G12/$G$68</f>
        <v>0.20706201669483279</v>
      </c>
      <c r="I12" s="191">
        <f t="shared" si="1"/>
        <v>416.83505154639175</v>
      </c>
    </row>
    <row r="13" spans="1:9">
      <c r="A13" s="445" t="s">
        <v>197</v>
      </c>
      <c r="B13" s="192">
        <v>97</v>
      </c>
      <c r="C13" s="27">
        <v>40433</v>
      </c>
      <c r="D13" s="188">
        <f t="shared" si="0"/>
        <v>416.83505154639175</v>
      </c>
      <c r="E13" s="192">
        <v>97</v>
      </c>
      <c r="F13" s="189">
        <f t="shared" si="2"/>
        <v>0.19477911646586346</v>
      </c>
      <c r="G13" s="27">
        <v>40433</v>
      </c>
      <c r="H13" s="24">
        <f>G13/$G$68</f>
        <v>0.20706201669483279</v>
      </c>
      <c r="I13" s="191">
        <f t="shared" si="1"/>
        <v>416.83505154639175</v>
      </c>
    </row>
    <row r="14" spans="1:9">
      <c r="A14" s="445" t="s">
        <v>198</v>
      </c>
      <c r="B14" s="192">
        <f>_xlfn.IFNA(VLOOKUP(A14,[8]折!$C$3:$F$99,4,0),-[4]整車!$B$22)</f>
        <v>0</v>
      </c>
      <c r="C14" s="27">
        <f>_xlfn.IFNA(VLOOKUP(A14,[8]折!$C$3:$F$99,3,0),-[4]整車!$B$22)</f>
        <v>0</v>
      </c>
      <c r="D14" s="188">
        <f t="shared" ref="D14:D39" si="3">IF(B14,C14/B14,0)</f>
        <v>0</v>
      </c>
      <c r="E14" s="27">
        <f>_xlfn.IFNA(VLOOKUP(A14,[8]折同!$C$3:$H$362,6,0),-[4]整車!$B$22)</f>
        <v>0</v>
      </c>
      <c r="F14" s="189">
        <f t="shared" ref="F14:F39" si="4">E14/$E$68</f>
        <v>0</v>
      </c>
      <c r="G14" s="192">
        <f>_xlfn.IFNA(VLOOKUP(A14,[8]折同!$C$3:$H$312,4,0),-[4]整車!$B$22)</f>
        <v>0</v>
      </c>
      <c r="H14" s="24">
        <f t="shared" ref="H14:H39" si="5">G14/$G$68</f>
        <v>0</v>
      </c>
      <c r="I14" s="191">
        <f t="shared" ref="I14:I39" si="6">IF(E14,G14/E14,0)</f>
        <v>0</v>
      </c>
    </row>
    <row r="15" spans="1:9">
      <c r="A15" s="446" t="s">
        <v>9</v>
      </c>
      <c r="B15" s="192"/>
      <c r="C15" s="27"/>
      <c r="D15" s="188">
        <f t="shared" si="3"/>
        <v>0</v>
      </c>
      <c r="E15" s="27"/>
      <c r="F15" s="189">
        <f t="shared" si="4"/>
        <v>0</v>
      </c>
      <c r="G15" s="192"/>
      <c r="H15" s="24">
        <f t="shared" si="5"/>
        <v>0</v>
      </c>
      <c r="I15" s="191">
        <f t="shared" si="6"/>
        <v>0</v>
      </c>
    </row>
    <row r="16" spans="1:9">
      <c r="A16" s="445" t="s">
        <v>199</v>
      </c>
      <c r="B16" s="192">
        <f>_xlfn.IFNA(VLOOKUP(A16,[8]折!$C$3:$F$99,4,0),-[4]整車!$B$22)</f>
        <v>0</v>
      </c>
      <c r="C16" s="27">
        <f>_xlfn.IFNA(VLOOKUP(A16,[8]折!$C$3:$F$99,3,0),-[4]整車!$B$22)</f>
        <v>0</v>
      </c>
      <c r="D16" s="188">
        <f t="shared" si="3"/>
        <v>0</v>
      </c>
      <c r="E16" s="27">
        <f>_xlfn.IFNA(VLOOKUP(A16,[8]折同!$C$3:$H$362,6,0),-[4]整車!$B$22)</f>
        <v>0</v>
      </c>
      <c r="F16" s="189">
        <f t="shared" si="4"/>
        <v>0</v>
      </c>
      <c r="G16" s="192">
        <f>_xlfn.IFNA(VLOOKUP(A16,[8]折同!$C$3:$H$312,4,0),-[4]整車!$B$22)</f>
        <v>0</v>
      </c>
      <c r="H16" s="24">
        <f t="shared" si="5"/>
        <v>0</v>
      </c>
      <c r="I16" s="191">
        <f t="shared" si="6"/>
        <v>0</v>
      </c>
    </row>
    <row r="17" spans="1:9">
      <c r="A17" s="446" t="s">
        <v>10</v>
      </c>
      <c r="B17" s="192">
        <f>_xlfn.IFNA(VLOOKUP(A17,[8]折!$C$3:$F$99,4,0),-[4]整車!$B$22)</f>
        <v>0</v>
      </c>
      <c r="C17" s="27">
        <f>_xlfn.IFNA(VLOOKUP(A17,[8]折!$C$3:$F$99,3,0),-[4]整車!$B$22)</f>
        <v>0</v>
      </c>
      <c r="D17" s="188">
        <f t="shared" si="3"/>
        <v>0</v>
      </c>
      <c r="E17" s="27">
        <f>_xlfn.IFNA(VLOOKUP(A17,[8]折同!$C$3:$H$362,6,0),-[4]整車!$B$22)</f>
        <v>0</v>
      </c>
      <c r="F17" s="189">
        <f t="shared" si="4"/>
        <v>0</v>
      </c>
      <c r="G17" s="192">
        <f>_xlfn.IFNA(VLOOKUP(A17,[8]折同!$C$3:$H$312,4,0),-[4]整車!$B$22)</f>
        <v>0</v>
      </c>
      <c r="H17" s="24">
        <f t="shared" si="5"/>
        <v>0</v>
      </c>
      <c r="I17" s="191">
        <f t="shared" si="6"/>
        <v>0</v>
      </c>
    </row>
    <row r="18" spans="1:9">
      <c r="A18" s="446" t="s">
        <v>11</v>
      </c>
      <c r="B18" s="192">
        <f>_xlfn.IFNA(VLOOKUP(A18,[8]折!$C$3:$F$99,4,0),-[4]整車!$B$22)</f>
        <v>0</v>
      </c>
      <c r="C18" s="27">
        <f>_xlfn.IFNA(VLOOKUP(A18,[8]折!$C$3:$F$99,3,0),-[4]整車!$B$22)</f>
        <v>0</v>
      </c>
      <c r="D18" s="188">
        <f t="shared" si="3"/>
        <v>0</v>
      </c>
      <c r="E18" s="27">
        <f>_xlfn.IFNA(VLOOKUP(A18,[8]折同!$C$3:$H$362,6,0),-[4]整車!$B$22)</f>
        <v>0</v>
      </c>
      <c r="F18" s="189">
        <f t="shared" si="4"/>
        <v>0</v>
      </c>
      <c r="G18" s="192">
        <f>_xlfn.IFNA(VLOOKUP(A18,[8]折同!$C$3:$H$312,4,0),-[4]整車!$B$22)</f>
        <v>0</v>
      </c>
      <c r="H18" s="24">
        <f t="shared" si="5"/>
        <v>0</v>
      </c>
      <c r="I18" s="191">
        <f t="shared" si="6"/>
        <v>0</v>
      </c>
    </row>
    <row r="19" spans="1:9">
      <c r="A19" s="445" t="s">
        <v>200</v>
      </c>
      <c r="B19" s="192">
        <f>_xlfn.IFNA(VLOOKUP(A19,[8]折!$C$3:$F$99,4,0),-[4]整車!$B$22)</f>
        <v>0</v>
      </c>
      <c r="C19" s="27">
        <f>_xlfn.IFNA(VLOOKUP(A19,[8]折!$C$3:$F$99,3,0),-[4]整車!$B$22)</f>
        <v>0</v>
      </c>
      <c r="D19" s="188">
        <f t="shared" si="3"/>
        <v>0</v>
      </c>
      <c r="E19" s="27">
        <f>_xlfn.IFNA(VLOOKUP(A19,[8]折同!$C$3:$H$362,6,0),-[4]整車!$B$22)</f>
        <v>0</v>
      </c>
      <c r="F19" s="189">
        <f t="shared" si="4"/>
        <v>0</v>
      </c>
      <c r="G19" s="192">
        <f>_xlfn.IFNA(VLOOKUP(A19,[8]折同!$C$3:$H$312,4,0),-[4]整車!$B$22)</f>
        <v>0</v>
      </c>
      <c r="H19" s="24">
        <f t="shared" si="5"/>
        <v>0</v>
      </c>
      <c r="I19" s="191">
        <f t="shared" si="6"/>
        <v>0</v>
      </c>
    </row>
    <row r="20" spans="1:9">
      <c r="A20" s="446" t="s">
        <v>12</v>
      </c>
      <c r="B20" s="192">
        <f>_xlfn.IFNA(VLOOKUP(A20,[8]折!$C$3:$F$99,4,0),-[4]整車!$B$22)</f>
        <v>0</v>
      </c>
      <c r="C20" s="27">
        <f>_xlfn.IFNA(VLOOKUP(A20,[8]折!$C$3:$F$99,3,0),-[4]整車!$B$22)</f>
        <v>0</v>
      </c>
      <c r="D20" s="188">
        <f t="shared" si="3"/>
        <v>0</v>
      </c>
      <c r="E20" s="27">
        <f>_xlfn.IFNA(VLOOKUP(A20,[8]折同!$C$3:$H$362,6,0),-[4]整車!$B$22)</f>
        <v>0</v>
      </c>
      <c r="F20" s="189">
        <f t="shared" si="4"/>
        <v>0</v>
      </c>
      <c r="G20" s="192">
        <f>_xlfn.IFNA(VLOOKUP(A20,[8]折同!$C$3:$H$312,4,0),-[4]整車!$B$22)</f>
        <v>0</v>
      </c>
      <c r="H20" s="24">
        <f t="shared" si="5"/>
        <v>0</v>
      </c>
      <c r="I20" s="191">
        <f t="shared" si="6"/>
        <v>0</v>
      </c>
    </row>
    <row r="21" spans="1:9">
      <c r="A21" s="445" t="s">
        <v>202</v>
      </c>
      <c r="B21" s="192">
        <f>_xlfn.IFNA(VLOOKUP(A21,[8]折!$C$3:$F$99,4,0),-[4]整車!$B$22)</f>
        <v>0</v>
      </c>
      <c r="C21" s="27">
        <f>_xlfn.IFNA(VLOOKUP(A21,[8]折!$C$3:$F$99,3,0),-[4]整車!$B$22)</f>
        <v>0</v>
      </c>
      <c r="D21" s="188">
        <f t="shared" si="3"/>
        <v>0</v>
      </c>
      <c r="E21" s="27">
        <f>_xlfn.IFNA(VLOOKUP(A21,[8]折同!$C$3:$H$362,6,0),-[4]整車!$B$22)</f>
        <v>0</v>
      </c>
      <c r="F21" s="189">
        <f t="shared" si="4"/>
        <v>0</v>
      </c>
      <c r="G21" s="192">
        <f>_xlfn.IFNA(VLOOKUP(A21,[8]折同!$C$3:$H$312,4,0),-[4]整車!$B$22)</f>
        <v>0</v>
      </c>
      <c r="H21" s="24">
        <f t="shared" si="5"/>
        <v>0</v>
      </c>
      <c r="I21" s="191">
        <f t="shared" si="6"/>
        <v>0</v>
      </c>
    </row>
    <row r="22" spans="1:9">
      <c r="A22" s="446" t="s">
        <v>13</v>
      </c>
      <c r="B22" s="192">
        <f>_xlfn.IFNA(VLOOKUP(A22,[8]折!$C$3:$F$99,4,0),-[4]整車!$B$22)</f>
        <v>0</v>
      </c>
      <c r="C22" s="27">
        <f>_xlfn.IFNA(VLOOKUP(A22,[8]折!$C$3:$F$99,3,0),-[4]整車!$B$22)</f>
        <v>0</v>
      </c>
      <c r="D22" s="188">
        <f t="shared" si="3"/>
        <v>0</v>
      </c>
      <c r="E22" s="27">
        <f>_xlfn.IFNA(VLOOKUP(A22,[8]折同!$C$3:$H$362,6,0),-[4]整車!$B$22)</f>
        <v>0</v>
      </c>
      <c r="F22" s="189">
        <f t="shared" si="4"/>
        <v>0</v>
      </c>
      <c r="G22" s="192">
        <f>_xlfn.IFNA(VLOOKUP(A22,[8]折同!$C$3:$H$312,4,0),-[4]整車!$B$22)</f>
        <v>0</v>
      </c>
      <c r="H22" s="24">
        <f t="shared" si="5"/>
        <v>0</v>
      </c>
      <c r="I22" s="191">
        <f t="shared" si="6"/>
        <v>0</v>
      </c>
    </row>
    <row r="23" spans="1:9">
      <c r="A23" s="446" t="s">
        <v>14</v>
      </c>
      <c r="B23" s="192">
        <f>_xlfn.IFNA(VLOOKUP(A23,[8]折!$C$3:$F$99,4,0),-[4]整車!$B$22)</f>
        <v>0</v>
      </c>
      <c r="C23" s="27">
        <f>_xlfn.IFNA(VLOOKUP(A23,[8]折!$C$3:$F$99,3,0),-[4]整車!$B$22)</f>
        <v>0</v>
      </c>
      <c r="D23" s="188">
        <f t="shared" si="3"/>
        <v>0</v>
      </c>
      <c r="E23" s="27">
        <f>_xlfn.IFNA(VLOOKUP(A23,[8]折同!$C$3:$H$362,6,0),-[4]整車!$B$22)</f>
        <v>0</v>
      </c>
      <c r="F23" s="189">
        <f t="shared" si="4"/>
        <v>0</v>
      </c>
      <c r="G23" s="192">
        <f>_xlfn.IFNA(VLOOKUP(A23,[8]折同!$C$3:$H$312,4,0),-[4]整車!$B$22)</f>
        <v>0</v>
      </c>
      <c r="H23" s="24">
        <f t="shared" si="5"/>
        <v>0</v>
      </c>
      <c r="I23" s="191">
        <f t="shared" si="6"/>
        <v>0</v>
      </c>
    </row>
    <row r="24" spans="1:9">
      <c r="A24" s="446" t="s">
        <v>15</v>
      </c>
      <c r="B24" s="192">
        <f>_xlfn.IFNA(VLOOKUP(A24,[8]折!$C$3:$F$99,4,0),-[4]整車!$B$22)</f>
        <v>0</v>
      </c>
      <c r="C24" s="27">
        <f>_xlfn.IFNA(VLOOKUP(A24,[8]折!$C$3:$F$99,3,0),-[4]整車!$B$22)</f>
        <v>0</v>
      </c>
      <c r="D24" s="188">
        <f t="shared" si="3"/>
        <v>0</v>
      </c>
      <c r="E24" s="27">
        <f>_xlfn.IFNA(VLOOKUP(A24,[8]折同!$C$3:$H$362,6,0),-[4]整車!$B$22)</f>
        <v>0</v>
      </c>
      <c r="F24" s="189">
        <f t="shared" si="4"/>
        <v>0</v>
      </c>
      <c r="G24" s="192">
        <f>_xlfn.IFNA(VLOOKUP(A24,[8]折同!$C$3:$H$312,4,0),-[4]整車!$B$22)</f>
        <v>0</v>
      </c>
      <c r="H24" s="24">
        <f t="shared" si="5"/>
        <v>0</v>
      </c>
      <c r="I24" s="191">
        <f t="shared" si="6"/>
        <v>0</v>
      </c>
    </row>
    <row r="25" spans="1:9">
      <c r="A25" s="445" t="s">
        <v>203</v>
      </c>
      <c r="B25" s="192">
        <f>_xlfn.IFNA(VLOOKUP(A25,[8]折!$C$3:$F$99,4,0),-[4]整車!$B$22)</f>
        <v>0</v>
      </c>
      <c r="C25" s="27">
        <f>_xlfn.IFNA(VLOOKUP(A25,[8]折!$C$3:$F$99,3,0),-[4]整車!$B$22)</f>
        <v>0</v>
      </c>
      <c r="D25" s="188">
        <f t="shared" si="3"/>
        <v>0</v>
      </c>
      <c r="E25" s="27">
        <f>_xlfn.IFNA(VLOOKUP(A25,[8]折同!$C$3:$H$362,6,0),-[4]整車!$B$22)</f>
        <v>0</v>
      </c>
      <c r="F25" s="189">
        <f t="shared" si="4"/>
        <v>0</v>
      </c>
      <c r="G25" s="192">
        <f>_xlfn.IFNA(VLOOKUP(A25,[8]折同!$C$3:$H$312,4,0),-[4]整車!$B$22)</f>
        <v>0</v>
      </c>
      <c r="H25" s="24">
        <f t="shared" si="5"/>
        <v>0</v>
      </c>
      <c r="I25" s="191">
        <f t="shared" si="6"/>
        <v>0</v>
      </c>
    </row>
    <row r="26" spans="1:9">
      <c r="A26" s="445" t="s">
        <v>204</v>
      </c>
      <c r="B26" s="192">
        <f>_xlfn.IFNA(VLOOKUP(A26,[8]折!$C$3:$F$99,4,0),-[4]整車!$B$22)</f>
        <v>0</v>
      </c>
      <c r="C26" s="27">
        <f>_xlfn.IFNA(VLOOKUP(A26,[8]折!$C$3:$F$99,3,0),-[4]整車!$B$22)</f>
        <v>0</v>
      </c>
      <c r="D26" s="188">
        <f t="shared" si="3"/>
        <v>0</v>
      </c>
      <c r="E26" s="27">
        <f>_xlfn.IFNA(VLOOKUP(A26,[8]折同!$C$3:$H$362,6,0),-[4]整車!$B$22)</f>
        <v>0</v>
      </c>
      <c r="F26" s="189">
        <f t="shared" si="4"/>
        <v>0</v>
      </c>
      <c r="G26" s="192">
        <f>_xlfn.IFNA(VLOOKUP(A26,[8]折同!$C$3:$H$312,4,0),-[4]整車!$B$22)</f>
        <v>0</v>
      </c>
      <c r="H26" s="24">
        <f t="shared" si="5"/>
        <v>0</v>
      </c>
      <c r="I26" s="191">
        <f t="shared" si="6"/>
        <v>0</v>
      </c>
    </row>
    <row r="27" spans="1:9">
      <c r="A27" s="289" t="s">
        <v>205</v>
      </c>
      <c r="B27" s="192">
        <f>_xlfn.IFNA(VLOOKUP(A27,[8]折!$C$3:$F$99,4,0),-[4]整車!$B$22)</f>
        <v>0</v>
      </c>
      <c r="C27" s="27">
        <f>_xlfn.IFNA(VLOOKUP(A27,[8]折!$C$3:$F$99,3,0),-[4]整車!$B$22)</f>
        <v>0</v>
      </c>
      <c r="D27" s="188">
        <f t="shared" si="3"/>
        <v>0</v>
      </c>
      <c r="E27" s="27">
        <f>_xlfn.IFNA(VLOOKUP(A27,[8]折同!$C$3:$H$362,6,0),-[4]整車!$B$22)</f>
        <v>0</v>
      </c>
      <c r="F27" s="189">
        <f t="shared" si="4"/>
        <v>0</v>
      </c>
      <c r="G27" s="192">
        <f>_xlfn.IFNA(VLOOKUP(A27,[8]折同!$C$3:$H$312,4,0),-[4]整車!$B$22)</f>
        <v>0</v>
      </c>
      <c r="H27" s="24">
        <f t="shared" si="5"/>
        <v>0</v>
      </c>
      <c r="I27" s="191">
        <f t="shared" si="6"/>
        <v>0</v>
      </c>
    </row>
    <row r="28" spans="1:9">
      <c r="A28" s="289" t="s">
        <v>206</v>
      </c>
      <c r="B28" s="192">
        <f>_xlfn.IFNA(VLOOKUP(A28,[8]折!$C$3:$F$99,4,0),-[4]整車!$B$22)</f>
        <v>0</v>
      </c>
      <c r="C28" s="27">
        <f>_xlfn.IFNA(VLOOKUP(A28,[8]折!$C$3:$F$99,3,0),-[4]整車!$B$22)</f>
        <v>0</v>
      </c>
      <c r="D28" s="188">
        <f t="shared" si="3"/>
        <v>0</v>
      </c>
      <c r="E28" s="27">
        <f>_xlfn.IFNA(VLOOKUP(A28,[8]折同!$C$3:$H$362,6,0),-[4]整車!$B$22)</f>
        <v>0</v>
      </c>
      <c r="F28" s="189">
        <f t="shared" si="4"/>
        <v>0</v>
      </c>
      <c r="G28" s="192">
        <f>_xlfn.IFNA(VLOOKUP(A28,[8]折同!$C$3:$H$312,4,0),-[4]整車!$B$22)</f>
        <v>0</v>
      </c>
      <c r="H28" s="24">
        <f t="shared" si="5"/>
        <v>0</v>
      </c>
      <c r="I28" s="191">
        <f t="shared" si="6"/>
        <v>0</v>
      </c>
    </row>
    <row r="29" spans="1:9">
      <c r="A29" s="446" t="s">
        <v>207</v>
      </c>
      <c r="B29" s="192">
        <f>_xlfn.IFNA(VLOOKUP(A29,[8]折!$C$3:$F$99,4,0),-[4]整車!$B$22)</f>
        <v>0</v>
      </c>
      <c r="C29" s="27">
        <f>_xlfn.IFNA(VLOOKUP(A29,[8]折!$C$3:$F$99,3,0),-[4]整車!$B$22)</f>
        <v>0</v>
      </c>
      <c r="D29" s="188">
        <f t="shared" si="3"/>
        <v>0</v>
      </c>
      <c r="E29" s="27">
        <f>_xlfn.IFNA(VLOOKUP(A29,[8]折同!$C$3:$H$362,6,0),-[4]整車!$B$22)</f>
        <v>0</v>
      </c>
      <c r="F29" s="189">
        <f t="shared" si="4"/>
        <v>0</v>
      </c>
      <c r="G29" s="192">
        <f>_xlfn.IFNA(VLOOKUP(A29,[8]折同!$C$3:$H$312,4,0),-[4]整車!$B$22)</f>
        <v>0</v>
      </c>
      <c r="H29" s="24">
        <f t="shared" si="5"/>
        <v>0</v>
      </c>
      <c r="I29" s="191">
        <f t="shared" si="6"/>
        <v>0</v>
      </c>
    </row>
    <row r="30" spans="1:9">
      <c r="A30" s="446" t="s">
        <v>208</v>
      </c>
      <c r="B30" s="192">
        <f>_xlfn.IFNA(VLOOKUP(A30,[8]折!$C$3:$F$99,4,0),-[4]整車!$B$22)</f>
        <v>0</v>
      </c>
      <c r="C30" s="27">
        <f>_xlfn.IFNA(VLOOKUP(A30,[8]折!$C$3:$F$99,3,0),-[4]整車!$B$22)</f>
        <v>0</v>
      </c>
      <c r="D30" s="188">
        <f t="shared" si="3"/>
        <v>0</v>
      </c>
      <c r="E30" s="27">
        <f>_xlfn.IFNA(VLOOKUP(A30,[8]折同!$C$3:$H$362,6,0),-[4]整車!$B$22)</f>
        <v>0</v>
      </c>
      <c r="F30" s="189">
        <f t="shared" si="4"/>
        <v>0</v>
      </c>
      <c r="G30" s="192">
        <f>_xlfn.IFNA(VLOOKUP(A30,[8]折同!$C$3:$H$312,4,0),-[4]整車!$B$22)</f>
        <v>0</v>
      </c>
      <c r="H30" s="24">
        <f t="shared" si="5"/>
        <v>0</v>
      </c>
      <c r="I30" s="191">
        <f t="shared" si="6"/>
        <v>0</v>
      </c>
    </row>
    <row r="31" spans="1:9">
      <c r="A31" s="446" t="s">
        <v>16</v>
      </c>
      <c r="B31" s="192">
        <f>_xlfn.IFNA(VLOOKUP(A31,[8]折!$C$3:$F$99,4,0),-[4]整車!$B$22)</f>
        <v>0</v>
      </c>
      <c r="C31" s="27">
        <f>_xlfn.IFNA(VLOOKUP(A31,[8]折!$C$3:$F$99,3,0),-[4]整車!$B$22)</f>
        <v>0</v>
      </c>
      <c r="D31" s="188">
        <f t="shared" si="3"/>
        <v>0</v>
      </c>
      <c r="E31" s="27">
        <f>_xlfn.IFNA(VLOOKUP(A31,[8]折同!$C$3:$H$362,6,0),-[4]整車!$B$22)</f>
        <v>0</v>
      </c>
      <c r="F31" s="189">
        <f t="shared" si="4"/>
        <v>0</v>
      </c>
      <c r="G31" s="192">
        <f>_xlfn.IFNA(VLOOKUP(A31,[8]折同!$C$3:$H$312,4,0),-[4]整車!$B$22)</f>
        <v>0</v>
      </c>
      <c r="H31" s="24">
        <f t="shared" si="5"/>
        <v>0</v>
      </c>
      <c r="I31" s="191">
        <f t="shared" si="6"/>
        <v>0</v>
      </c>
    </row>
    <row r="32" spans="1:9">
      <c r="A32" s="446" t="s">
        <v>17</v>
      </c>
      <c r="B32" s="192">
        <f>_xlfn.IFNA(VLOOKUP(A32,[8]折!$C$3:$F$99,4,0),-[4]整車!$B$22)</f>
        <v>0</v>
      </c>
      <c r="C32" s="27">
        <f>_xlfn.IFNA(VLOOKUP(A32,[8]折!$C$3:$F$99,3,0),-[4]整車!$B$22)</f>
        <v>0</v>
      </c>
      <c r="D32" s="188">
        <f t="shared" si="3"/>
        <v>0</v>
      </c>
      <c r="E32" s="27">
        <f>_xlfn.IFNA(VLOOKUP(A32,[8]折同!$C$3:$H$362,6,0),-[4]整車!$B$22)</f>
        <v>0</v>
      </c>
      <c r="F32" s="189">
        <f t="shared" si="4"/>
        <v>0</v>
      </c>
      <c r="G32" s="192">
        <f>_xlfn.IFNA(VLOOKUP(A32,[8]折同!$C$3:$H$312,4,0),-[4]整車!$B$22)</f>
        <v>0</v>
      </c>
      <c r="H32" s="24">
        <f t="shared" si="5"/>
        <v>0</v>
      </c>
      <c r="I32" s="191">
        <f t="shared" si="6"/>
        <v>0</v>
      </c>
    </row>
    <row r="33" spans="1:9">
      <c r="A33" s="446" t="s">
        <v>209</v>
      </c>
      <c r="B33" s="192">
        <f>_xlfn.IFNA(VLOOKUP(A33,[8]折!$C$3:$F$99,4,0),-[4]整車!$B$22)</f>
        <v>0</v>
      </c>
      <c r="C33" s="27">
        <f>_xlfn.IFNA(VLOOKUP(A33,[8]折!$C$3:$F$99,3,0),-[4]整車!$B$22)</f>
        <v>0</v>
      </c>
      <c r="D33" s="188">
        <f t="shared" si="3"/>
        <v>0</v>
      </c>
      <c r="E33" s="27">
        <f>_xlfn.IFNA(VLOOKUP(A33,[8]折同!$C$3:$H$362,6,0),-[4]整車!$B$22)</f>
        <v>0</v>
      </c>
      <c r="F33" s="189">
        <f t="shared" si="4"/>
        <v>0</v>
      </c>
      <c r="G33" s="192">
        <f>_xlfn.IFNA(VLOOKUP(A33,[8]折同!$C$3:$H$312,4,0),-[4]整車!$B$22)</f>
        <v>0</v>
      </c>
      <c r="H33" s="24">
        <f t="shared" si="5"/>
        <v>0</v>
      </c>
      <c r="I33" s="191">
        <f t="shared" si="6"/>
        <v>0</v>
      </c>
    </row>
    <row r="34" spans="1:9">
      <c r="A34" s="446" t="s">
        <v>210</v>
      </c>
      <c r="B34" s="192">
        <f>_xlfn.IFNA(VLOOKUP(A34,[8]折!$C$3:$F$99,4,0),-[4]整車!$B$22)</f>
        <v>0</v>
      </c>
      <c r="C34" s="27">
        <f>_xlfn.IFNA(VLOOKUP(A34,[8]折!$C$3:$F$99,3,0),-[4]整車!$B$22)</f>
        <v>0</v>
      </c>
      <c r="D34" s="188">
        <f t="shared" si="3"/>
        <v>0</v>
      </c>
      <c r="E34" s="27">
        <f>_xlfn.IFNA(VLOOKUP(A34,[8]折同!$C$3:$H$362,6,0),-[4]整車!$B$22)</f>
        <v>0</v>
      </c>
      <c r="F34" s="189">
        <f t="shared" si="4"/>
        <v>0</v>
      </c>
      <c r="G34" s="192">
        <f>_xlfn.IFNA(VLOOKUP(A34,[8]折同!$C$3:$H$312,4,0),-[4]整車!$B$22)</f>
        <v>0</v>
      </c>
      <c r="H34" s="24">
        <f t="shared" si="5"/>
        <v>0</v>
      </c>
      <c r="I34" s="191">
        <f t="shared" si="6"/>
        <v>0</v>
      </c>
    </row>
    <row r="35" spans="1:9">
      <c r="A35" s="446" t="s">
        <v>211</v>
      </c>
      <c r="B35" s="192">
        <f>_xlfn.IFNA(VLOOKUP(A35,[8]折!$C$3:$F$99,4,0),-[4]整車!$B$22)</f>
        <v>0</v>
      </c>
      <c r="C35" s="27">
        <f>_xlfn.IFNA(VLOOKUP(A35,[8]折!$C$3:$F$99,3,0),-[4]整車!$B$22)</f>
        <v>0</v>
      </c>
      <c r="D35" s="188">
        <f t="shared" si="3"/>
        <v>0</v>
      </c>
      <c r="E35" s="27">
        <f>_xlfn.IFNA(VLOOKUP(A35,[8]折同!$C$3:$H$362,6,0),-[4]整車!$B$22)</f>
        <v>0</v>
      </c>
      <c r="F35" s="189">
        <f t="shared" si="4"/>
        <v>0</v>
      </c>
      <c r="G35" s="192">
        <f>_xlfn.IFNA(VLOOKUP(A35,[8]折同!$C$3:$H$312,4,0),-[4]整車!$B$22)</f>
        <v>0</v>
      </c>
      <c r="H35" s="24">
        <f t="shared" si="5"/>
        <v>0</v>
      </c>
      <c r="I35" s="191">
        <f t="shared" si="6"/>
        <v>0</v>
      </c>
    </row>
    <row r="36" spans="1:9">
      <c r="A36" s="446" t="s">
        <v>379</v>
      </c>
      <c r="B36" s="192">
        <f>_xlfn.IFNA(VLOOKUP(A36,[8]折!$C$3:$F$99,4,0),-[4]整車!$B$22)</f>
        <v>0</v>
      </c>
      <c r="C36" s="27">
        <f>_xlfn.IFNA(VLOOKUP(A36,[8]折!$C$3:$F$99,3,0),-[4]整車!$B$22)</f>
        <v>0</v>
      </c>
      <c r="D36" s="188">
        <f t="shared" si="3"/>
        <v>0</v>
      </c>
      <c r="E36" s="27">
        <f>_xlfn.IFNA(VLOOKUP(A36,[8]折同!$C$3:$H$362,6,0),-[4]整車!$B$22)</f>
        <v>0</v>
      </c>
      <c r="F36" s="189">
        <f t="shared" si="4"/>
        <v>0</v>
      </c>
      <c r="G36" s="192">
        <f>_xlfn.IFNA(VLOOKUP(A36,[8]折同!$C$3:$H$312,4,0),-[4]整車!$B$22)</f>
        <v>0</v>
      </c>
      <c r="H36" s="24">
        <f t="shared" si="5"/>
        <v>0</v>
      </c>
      <c r="I36" s="191">
        <f t="shared" si="6"/>
        <v>0</v>
      </c>
    </row>
    <row r="37" spans="1:9">
      <c r="A37" s="446" t="s">
        <v>213</v>
      </c>
      <c r="B37" s="192">
        <f>_xlfn.IFNA(VLOOKUP(A37,[8]折!$C$3:$F$99,4,0),-[4]整車!$B$22)</f>
        <v>0</v>
      </c>
      <c r="C37" s="27">
        <f>_xlfn.IFNA(VLOOKUP(A37,[8]折!$C$3:$F$99,3,0),-[4]整車!$B$22)</f>
        <v>0</v>
      </c>
      <c r="D37" s="188">
        <f t="shared" si="3"/>
        <v>0</v>
      </c>
      <c r="E37" s="27">
        <f>_xlfn.IFNA(VLOOKUP(A37,[8]折同!$C$3:$H$362,6,0),-[4]整車!$B$22)</f>
        <v>0</v>
      </c>
      <c r="F37" s="189">
        <f t="shared" si="4"/>
        <v>0</v>
      </c>
      <c r="G37" s="192">
        <f>_xlfn.IFNA(VLOOKUP(A37,[8]折同!$C$3:$H$312,4,0),-[4]整車!$B$22)</f>
        <v>0</v>
      </c>
      <c r="H37" s="24">
        <f t="shared" si="5"/>
        <v>0</v>
      </c>
      <c r="I37" s="191">
        <f t="shared" si="6"/>
        <v>0</v>
      </c>
    </row>
    <row r="38" spans="1:9">
      <c r="A38" s="446" t="s">
        <v>214</v>
      </c>
      <c r="B38" s="192">
        <f>_xlfn.IFNA(VLOOKUP(A38,[8]折!$C$3:$F$99,4,0),-[4]整車!$B$22)</f>
        <v>0</v>
      </c>
      <c r="C38" s="27">
        <f>_xlfn.IFNA(VLOOKUP(A38,[8]折!$C$3:$F$99,3,0),-[4]整車!$B$22)</f>
        <v>0</v>
      </c>
      <c r="D38" s="188">
        <f t="shared" si="3"/>
        <v>0</v>
      </c>
      <c r="E38" s="27">
        <f>_xlfn.IFNA(VLOOKUP(A38,[8]折同!$C$3:$H$362,6,0),-[4]整車!$B$22)</f>
        <v>0</v>
      </c>
      <c r="F38" s="189">
        <f t="shared" si="4"/>
        <v>0</v>
      </c>
      <c r="G38" s="192">
        <f>_xlfn.IFNA(VLOOKUP(A38,[8]折同!$C$3:$H$312,4,0),-[4]整車!$B$22)</f>
        <v>0</v>
      </c>
      <c r="H38" s="24">
        <f t="shared" si="5"/>
        <v>0</v>
      </c>
      <c r="I38" s="191">
        <f t="shared" si="6"/>
        <v>0</v>
      </c>
    </row>
    <row r="39" spans="1:9">
      <c r="A39" s="446" t="s">
        <v>18</v>
      </c>
      <c r="B39" s="192">
        <f>_xlfn.IFNA(VLOOKUP(A39,[8]折!$C$3:$F$99,4,0),-[4]整車!$B$22)</f>
        <v>0</v>
      </c>
      <c r="C39" s="27">
        <f>_xlfn.IFNA(VLOOKUP(A39,[8]折!$C$3:$F$99,3,0),-[4]整車!$B$22)</f>
        <v>0</v>
      </c>
      <c r="D39" s="188">
        <f t="shared" si="3"/>
        <v>0</v>
      </c>
      <c r="E39" s="27">
        <f>_xlfn.IFNA(VLOOKUP(A39,[8]折同!$C$3:$H$362,6,0),-[4]整車!$B$22)</f>
        <v>0</v>
      </c>
      <c r="F39" s="189">
        <f t="shared" si="4"/>
        <v>0</v>
      </c>
      <c r="G39" s="192">
        <f>_xlfn.IFNA(VLOOKUP(A39,[8]折同!$C$3:$H$312,4,0),-[4]整車!$B$22)</f>
        <v>0</v>
      </c>
      <c r="H39" s="24">
        <f t="shared" si="5"/>
        <v>0</v>
      </c>
      <c r="I39" s="191">
        <f t="shared" si="6"/>
        <v>0</v>
      </c>
    </row>
    <row r="40" spans="1:9">
      <c r="A40" s="30"/>
      <c r="B40" s="192"/>
      <c r="C40" s="27"/>
      <c r="D40" s="188"/>
      <c r="E40" s="27"/>
      <c r="F40" s="193"/>
      <c r="G40" s="192"/>
      <c r="H40" s="24"/>
      <c r="I40" s="191"/>
    </row>
    <row r="41" spans="1:9" ht="15.6" customHeight="1">
      <c r="A41" s="36" t="s">
        <v>19</v>
      </c>
      <c r="B41" s="194">
        <f>SUM(B42:B45)</f>
        <v>0</v>
      </c>
      <c r="C41" s="33">
        <f>SUM(C42:C45)</f>
        <v>0</v>
      </c>
      <c r="D41" s="188">
        <f t="shared" si="0"/>
        <v>0</v>
      </c>
      <c r="E41" s="33">
        <f>SUM(E42:E45)</f>
        <v>0</v>
      </c>
      <c r="F41" s="189">
        <f>E41/$E$68</f>
        <v>0</v>
      </c>
      <c r="G41" s="194">
        <f>SUM(G42:G45)</f>
        <v>0</v>
      </c>
      <c r="H41" s="24">
        <f t="shared" ref="H41:H42" si="7">G41/$G$68</f>
        <v>0</v>
      </c>
      <c r="I41" s="191">
        <f t="shared" si="1"/>
        <v>0</v>
      </c>
    </row>
    <row r="42" spans="1:9">
      <c r="A42" s="445" t="s">
        <v>215</v>
      </c>
      <c r="B42" s="192">
        <f>_xlfn.IFNA(VLOOKUP(A42,[8]折!$C$3:$F$99,4,0),-[4]整車!$B$22)</f>
        <v>0</v>
      </c>
      <c r="C42" s="27">
        <f>_xlfn.IFNA(VLOOKUP(A42,[8]折!$C$3:$F$99,3,0),-[4]整車!$B$22)</f>
        <v>0</v>
      </c>
      <c r="D42" s="188">
        <f t="shared" si="0"/>
        <v>0</v>
      </c>
      <c r="E42" s="27">
        <f>_xlfn.IFNA(VLOOKUP(A42,[8]折同!$C$3:$H$362,6,0),-[4]整車!$B$22)</f>
        <v>0</v>
      </c>
      <c r="F42" s="189">
        <f>E42/$E$68</f>
        <v>0</v>
      </c>
      <c r="G42" s="192">
        <f>_xlfn.IFNA(VLOOKUP(A42,[8]折同!$C$3:$H$32,4,0),-[4]整車!$B$22)</f>
        <v>0</v>
      </c>
      <c r="H42" s="24">
        <f t="shared" si="7"/>
        <v>0</v>
      </c>
      <c r="I42" s="191">
        <f t="shared" si="1"/>
        <v>0</v>
      </c>
    </row>
    <row r="43" spans="1:9">
      <c r="A43" s="445" t="s">
        <v>216</v>
      </c>
      <c r="B43" s="192">
        <f>_xlfn.IFNA(VLOOKUP(A43,[8]折!$C$3:$F$99,4,0),-[4]整車!$B$22)</f>
        <v>0</v>
      </c>
      <c r="C43" s="27">
        <f>_xlfn.IFNA(VLOOKUP(A43,[8]折!$C$3:$F$99,3,0),-[4]整車!$B$22)</f>
        <v>0</v>
      </c>
      <c r="D43" s="188">
        <f t="shared" ref="D43:D45" si="8">IF(B43,C43/B43,0)</f>
        <v>0</v>
      </c>
      <c r="E43" s="27">
        <f>_xlfn.IFNA(VLOOKUP(A43,[8]折同!$C$3:$H$362,6,0),-[4]整車!$B$22)</f>
        <v>0</v>
      </c>
      <c r="F43" s="189">
        <f t="shared" ref="F43:F45" si="9">E43/$E$68</f>
        <v>0</v>
      </c>
      <c r="G43" s="192">
        <f>_xlfn.IFNA(VLOOKUP(A43,[8]折同!$C$3:$H$32,4,0),-[4]整車!$B$22)</f>
        <v>0</v>
      </c>
      <c r="H43" s="24">
        <f t="shared" ref="H43:H45" si="10">G43/$G$68</f>
        <v>0</v>
      </c>
      <c r="I43" s="191">
        <f t="shared" ref="I43:I45" si="11">IF(E43,G43/E43,0)</f>
        <v>0</v>
      </c>
    </row>
    <row r="44" spans="1:9">
      <c r="A44" s="445" t="s">
        <v>217</v>
      </c>
      <c r="B44" s="192">
        <f>_xlfn.IFNA(VLOOKUP(A44,[8]折!$C$3:$F$99,4,0),-[4]整車!$B$22)</f>
        <v>0</v>
      </c>
      <c r="C44" s="27">
        <f>_xlfn.IFNA(VLOOKUP(A44,[8]折!$C$3:$F$99,3,0),-[4]整車!$B$22)</f>
        <v>0</v>
      </c>
      <c r="D44" s="188">
        <f t="shared" si="8"/>
        <v>0</v>
      </c>
      <c r="E44" s="27">
        <f>_xlfn.IFNA(VLOOKUP(A44,[8]折同!$C$3:$H$362,6,0),-[4]整車!$B$22)</f>
        <v>0</v>
      </c>
      <c r="F44" s="189">
        <f t="shared" si="9"/>
        <v>0</v>
      </c>
      <c r="G44" s="192">
        <f>_xlfn.IFNA(VLOOKUP(A44,[8]折同!$C$3:$H$32,4,0),-[4]整車!$B$22)</f>
        <v>0</v>
      </c>
      <c r="H44" s="24">
        <f t="shared" si="10"/>
        <v>0</v>
      </c>
      <c r="I44" s="191">
        <f t="shared" si="11"/>
        <v>0</v>
      </c>
    </row>
    <row r="45" spans="1:9">
      <c r="A45" s="30" t="s">
        <v>20</v>
      </c>
      <c r="B45" s="192">
        <f>_xlfn.IFNA(VLOOKUP(A45,[8]折!$C$3:$F$99,4,0),-[4]整車!$B$22)</f>
        <v>0</v>
      </c>
      <c r="C45" s="27">
        <f>_xlfn.IFNA(VLOOKUP(A45,[8]折!$C$3:$F$99,3,0),-[4]整車!$B$22)</f>
        <v>0</v>
      </c>
      <c r="D45" s="188">
        <f t="shared" si="8"/>
        <v>0</v>
      </c>
      <c r="E45" s="27">
        <f>_xlfn.IFNA(VLOOKUP(A45,[8]折同!$C$3:$H$362,6,0),-[4]整車!$B$22)</f>
        <v>0</v>
      </c>
      <c r="F45" s="189">
        <f t="shared" si="9"/>
        <v>0</v>
      </c>
      <c r="G45" s="192">
        <f>_xlfn.IFNA(VLOOKUP(A45,[8]折同!$C$3:$H$32,4,0),-[4]整車!$B$22)</f>
        <v>0</v>
      </c>
      <c r="H45" s="24">
        <f t="shared" si="10"/>
        <v>0</v>
      </c>
      <c r="I45" s="191">
        <f t="shared" si="11"/>
        <v>0</v>
      </c>
    </row>
    <row r="46" spans="1:9" ht="16.899999999999999" customHeight="1">
      <c r="A46" s="30"/>
      <c r="B46" s="192"/>
      <c r="C46" s="27"/>
      <c r="D46" s="188"/>
      <c r="E46" s="27"/>
      <c r="F46" s="193"/>
      <c r="G46" s="192"/>
      <c r="H46" s="24"/>
      <c r="I46" s="191"/>
    </row>
    <row r="47" spans="1:9">
      <c r="A47" s="36" t="s">
        <v>21</v>
      </c>
      <c r="B47" s="194">
        <f>SUM(B48:B66)</f>
        <v>400</v>
      </c>
      <c r="C47" s="33">
        <f>SUM(C48:C66)</f>
        <v>154715</v>
      </c>
      <c r="D47" s="188">
        <f t="shared" si="0"/>
        <v>386.78750000000002</v>
      </c>
      <c r="E47" s="33">
        <f>SUM(E48:E66)</f>
        <v>400</v>
      </c>
      <c r="F47" s="189">
        <f>E47/$E$68</f>
        <v>0.80321285140562249</v>
      </c>
      <c r="G47" s="194">
        <f>SUM(G48:G66)</f>
        <v>154715</v>
      </c>
      <c r="H47" s="24">
        <f>G47/$G$68</f>
        <v>0.79231320735392019</v>
      </c>
      <c r="I47" s="191">
        <f t="shared" si="1"/>
        <v>386.78750000000002</v>
      </c>
    </row>
    <row r="48" spans="1:9">
      <c r="A48" s="477" t="s">
        <v>158</v>
      </c>
      <c r="B48" s="192">
        <f>_xlfn.IFNA(VLOOKUP(A48,[8]折!$C$3:$F$99,4,0),-[4]整車!$B$22)</f>
        <v>0</v>
      </c>
      <c r="C48" s="27">
        <f>_xlfn.IFNA(VLOOKUP(A48,[8]折!$C$3:$F$99,3,0),-[4]整車!$B$22)</f>
        <v>0</v>
      </c>
      <c r="D48" s="188">
        <f t="shared" si="0"/>
        <v>0</v>
      </c>
      <c r="E48" s="27">
        <f>_xlfn.IFNA(VLOOKUP(A48,[8]折同!$C$3:$H$362,6,0),-[4]整車!$B$22)</f>
        <v>0</v>
      </c>
      <c r="F48" s="189">
        <f t="shared" ref="F48" si="12">E48/$E$68</f>
        <v>0</v>
      </c>
      <c r="G48" s="192">
        <f>_xlfn.IFNA(VLOOKUP(A48,[8]折同!$C$3:$H$362,4,0),-[4]整車!$B$22)</f>
        <v>0</v>
      </c>
      <c r="H48" s="24">
        <f>G48/$G$68</f>
        <v>0</v>
      </c>
      <c r="I48" s="191">
        <f t="shared" si="1"/>
        <v>0</v>
      </c>
    </row>
    <row r="49" spans="1:10">
      <c r="A49" s="445" t="s">
        <v>218</v>
      </c>
      <c r="B49" s="192">
        <v>0</v>
      </c>
      <c r="C49" s="27">
        <v>0</v>
      </c>
      <c r="D49" s="188">
        <f t="shared" ref="D49:D66" si="13">IF(B49,C49/B49,0)</f>
        <v>0</v>
      </c>
      <c r="E49" s="27">
        <v>0</v>
      </c>
      <c r="F49" s="189">
        <f t="shared" ref="F49:F66" si="14">E49/$E$68</f>
        <v>0</v>
      </c>
      <c r="G49" s="192">
        <v>0</v>
      </c>
      <c r="H49" s="24">
        <f t="shared" ref="H49:H66" si="15">G49/$G$68</f>
        <v>0</v>
      </c>
      <c r="I49" s="191">
        <f t="shared" ref="I49:I66" si="16">IF(E49,G49/E49,0)</f>
        <v>0</v>
      </c>
    </row>
    <row r="50" spans="1:10">
      <c r="A50" s="286" t="s">
        <v>219</v>
      </c>
      <c r="B50" s="192">
        <f>_xlfn.IFNA(VLOOKUP(A50,[8]折!$C$3:$F$99,4,0),-[4]整車!$B$22)</f>
        <v>0</v>
      </c>
      <c r="C50" s="27">
        <f>_xlfn.IFNA(VLOOKUP(A50,[8]折!$C$3:$F$99,3,0),-[4]整車!$B$22)</f>
        <v>0</v>
      </c>
      <c r="D50" s="188">
        <f t="shared" si="13"/>
        <v>0</v>
      </c>
      <c r="E50" s="27">
        <f>_xlfn.IFNA(VLOOKUP(A50,[8]折同!$C$3:$H$362,6,0),-[4]整車!$B$22)</f>
        <v>0</v>
      </c>
      <c r="F50" s="189">
        <f t="shared" si="14"/>
        <v>0</v>
      </c>
      <c r="G50" s="192">
        <f>_xlfn.IFNA(VLOOKUP(A50,[8]折同!$C$3:$H$362,4,0),-[4]整車!$B$22)</f>
        <v>0</v>
      </c>
      <c r="H50" s="24">
        <f t="shared" si="15"/>
        <v>0</v>
      </c>
      <c r="I50" s="191">
        <f t="shared" si="16"/>
        <v>0</v>
      </c>
      <c r="J50" s="478"/>
    </row>
    <row r="51" spans="1:10">
      <c r="A51" s="445" t="s">
        <v>220</v>
      </c>
      <c r="B51" s="192">
        <f>_xlfn.IFNA(VLOOKUP(A51,[8]折!$C$3:$F$99,4,0),-[4]整車!$B$22)</f>
        <v>0</v>
      </c>
      <c r="C51" s="27">
        <f>_xlfn.IFNA(VLOOKUP(A51,[8]折!$C$3:$F$99,3,0),-[4]整車!$B$22)</f>
        <v>0</v>
      </c>
      <c r="D51" s="188">
        <f t="shared" si="13"/>
        <v>0</v>
      </c>
      <c r="E51" s="27">
        <f>_xlfn.IFNA(VLOOKUP(A51,[8]折同!$C$3:$H$362,6,0),-[4]整車!$B$22)</f>
        <v>0</v>
      </c>
      <c r="F51" s="189">
        <f t="shared" si="14"/>
        <v>0</v>
      </c>
      <c r="G51" s="192">
        <f>_xlfn.IFNA(VLOOKUP(A51,[8]折同!$C$3:$H$362,4,0),-[4]整車!$B$22)</f>
        <v>0</v>
      </c>
      <c r="H51" s="24">
        <f t="shared" si="15"/>
        <v>0</v>
      </c>
      <c r="I51" s="191">
        <f t="shared" si="16"/>
        <v>0</v>
      </c>
    </row>
    <row r="52" spans="1:10">
      <c r="A52" s="446" t="s">
        <v>22</v>
      </c>
      <c r="B52" s="192">
        <f>_xlfn.IFNA(VLOOKUP(A52,[8]折!$C$3:$F$99,4,0),-[4]整車!$B$22)</f>
        <v>0</v>
      </c>
      <c r="C52" s="27">
        <f>_xlfn.IFNA(VLOOKUP(A52,[8]折!$C$3:$F$99,3,0),-[4]整車!$B$22)</f>
        <v>0</v>
      </c>
      <c r="D52" s="188">
        <f t="shared" si="13"/>
        <v>0</v>
      </c>
      <c r="E52" s="27">
        <f>_xlfn.IFNA(VLOOKUP(A52,[8]折同!$C$3:$H$362,6,0),-[4]整車!$B$22)</f>
        <v>0</v>
      </c>
      <c r="F52" s="189">
        <f t="shared" si="14"/>
        <v>0</v>
      </c>
      <c r="G52" s="192">
        <f>_xlfn.IFNA(VLOOKUP(A52,[8]折同!$C$3:$H$362,4,0),-[4]整車!$B$22)</f>
        <v>0</v>
      </c>
      <c r="H52" s="24">
        <f t="shared" si="15"/>
        <v>0</v>
      </c>
      <c r="I52" s="191">
        <f t="shared" si="16"/>
        <v>0</v>
      </c>
    </row>
    <row r="53" spans="1:10">
      <c r="A53" s="445" t="s">
        <v>221</v>
      </c>
      <c r="B53" s="192">
        <f>_xlfn.IFNA(VLOOKUP(A53,[8]折!$C$3:$F$99,4,0),-[4]整車!$B$22)</f>
        <v>0</v>
      </c>
      <c r="C53" s="27">
        <f>_xlfn.IFNA(VLOOKUP(A53,[8]折!$C$3:$F$99,3,0),-[4]整車!$B$22)</f>
        <v>0</v>
      </c>
      <c r="D53" s="188">
        <f t="shared" si="13"/>
        <v>0</v>
      </c>
      <c r="E53" s="27">
        <f>_xlfn.IFNA(VLOOKUP(A53,[8]折同!$C$3:$H$362,6,0),-[4]整車!$B$22)</f>
        <v>0</v>
      </c>
      <c r="F53" s="189">
        <f t="shared" si="14"/>
        <v>0</v>
      </c>
      <c r="G53" s="192">
        <f>_xlfn.IFNA(VLOOKUP(A53,[8]折同!$C$3:$H$362,4,0),-[4]整車!$B$22)</f>
        <v>0</v>
      </c>
      <c r="H53" s="24">
        <f t="shared" si="15"/>
        <v>0</v>
      </c>
      <c r="I53" s="191">
        <f t="shared" si="16"/>
        <v>0</v>
      </c>
    </row>
    <row r="54" spans="1:10">
      <c r="A54" s="446" t="s">
        <v>222</v>
      </c>
      <c r="B54" s="192">
        <f>_xlfn.IFNA(VLOOKUP(A54,[8]折!$C$3:$F$99,4,0),-[4]整車!$B$22)</f>
        <v>0</v>
      </c>
      <c r="C54" s="27">
        <f>_xlfn.IFNA(VLOOKUP(A54,[8]折!$C$3:$F$99,3,0),-[4]整車!$B$22)</f>
        <v>0</v>
      </c>
      <c r="D54" s="188">
        <f t="shared" si="13"/>
        <v>0</v>
      </c>
      <c r="E54" s="27">
        <f>_xlfn.IFNA(VLOOKUP(A54,[8]折同!$C$3:$H$362,6,0),-[4]整車!$B$22)</f>
        <v>0</v>
      </c>
      <c r="F54" s="189">
        <f t="shared" si="14"/>
        <v>0</v>
      </c>
      <c r="G54" s="192">
        <f>_xlfn.IFNA(VLOOKUP(A54,[8]折同!$C$3:$H$362,4,0),-[4]整車!$B$22)</f>
        <v>0</v>
      </c>
      <c r="H54" s="24">
        <f t="shared" si="15"/>
        <v>0</v>
      </c>
      <c r="I54" s="191">
        <f t="shared" si="16"/>
        <v>0</v>
      </c>
    </row>
    <row r="55" spans="1:10">
      <c r="A55" s="446" t="s">
        <v>23</v>
      </c>
      <c r="B55" s="192">
        <f>_xlfn.IFNA(VLOOKUP(A55,[8]折!$C$3:$F$99,4,0),-[4]整車!$B$22)</f>
        <v>0</v>
      </c>
      <c r="C55" s="27">
        <f>_xlfn.IFNA(VLOOKUP(A55,[8]折!$C$3:$F$99,3,0),-[4]整車!$B$22)</f>
        <v>0</v>
      </c>
      <c r="D55" s="188">
        <f t="shared" si="13"/>
        <v>0</v>
      </c>
      <c r="E55" s="27">
        <f>_xlfn.IFNA(VLOOKUP(A55,[8]折同!$C$3:$H$362,6,0),-[4]整車!$B$22)</f>
        <v>0</v>
      </c>
      <c r="F55" s="189">
        <f t="shared" si="14"/>
        <v>0</v>
      </c>
      <c r="G55" s="192">
        <f>_xlfn.IFNA(VLOOKUP(A55,[8]折同!$C$3:$H$362,4,0),-[4]整車!$B$22)</f>
        <v>0</v>
      </c>
      <c r="H55" s="24">
        <f t="shared" si="15"/>
        <v>0</v>
      </c>
      <c r="I55" s="191">
        <f t="shared" si="16"/>
        <v>0</v>
      </c>
    </row>
    <row r="56" spans="1:10">
      <c r="A56" s="446" t="s">
        <v>223</v>
      </c>
      <c r="B56" s="192">
        <v>0</v>
      </c>
      <c r="C56" s="27">
        <v>0</v>
      </c>
      <c r="D56" s="188">
        <f t="shared" si="13"/>
        <v>0</v>
      </c>
      <c r="E56" s="27">
        <v>0</v>
      </c>
      <c r="F56" s="189">
        <f t="shared" si="14"/>
        <v>0</v>
      </c>
      <c r="G56" s="192">
        <v>0</v>
      </c>
      <c r="H56" s="24">
        <f t="shared" si="15"/>
        <v>0</v>
      </c>
      <c r="I56" s="191">
        <f t="shared" si="16"/>
        <v>0</v>
      </c>
    </row>
    <row r="57" spans="1:10">
      <c r="A57" s="448" t="s">
        <v>224</v>
      </c>
      <c r="B57" s="192">
        <v>0</v>
      </c>
      <c r="C57" s="27">
        <v>0</v>
      </c>
      <c r="D57" s="188">
        <f t="shared" si="13"/>
        <v>0</v>
      </c>
      <c r="E57" s="27">
        <v>0</v>
      </c>
      <c r="F57" s="189">
        <f t="shared" si="14"/>
        <v>0</v>
      </c>
      <c r="G57" s="192">
        <v>0</v>
      </c>
      <c r="H57" s="24">
        <f t="shared" si="15"/>
        <v>0</v>
      </c>
      <c r="I57" s="191">
        <f t="shared" si="16"/>
        <v>0</v>
      </c>
    </row>
    <row r="58" spans="1:10">
      <c r="A58" s="289" t="s">
        <v>380</v>
      </c>
      <c r="B58" s="192">
        <v>0</v>
      </c>
      <c r="C58" s="27">
        <v>0</v>
      </c>
      <c r="D58" s="188">
        <f t="shared" si="13"/>
        <v>0</v>
      </c>
      <c r="E58" s="192">
        <v>0</v>
      </c>
      <c r="F58" s="189">
        <f t="shared" si="14"/>
        <v>0</v>
      </c>
      <c r="G58" s="27">
        <v>0</v>
      </c>
      <c r="H58" s="24">
        <f t="shared" si="15"/>
        <v>0</v>
      </c>
      <c r="I58" s="191">
        <f t="shared" si="16"/>
        <v>0</v>
      </c>
    </row>
    <row r="59" spans="1:10">
      <c r="A59" s="446" t="s">
        <v>24</v>
      </c>
      <c r="B59" s="192">
        <v>400</v>
      </c>
      <c r="C59" s="27">
        <v>154715</v>
      </c>
      <c r="D59" s="188">
        <f t="shared" si="13"/>
        <v>386.78750000000002</v>
      </c>
      <c r="E59" s="192">
        <v>400</v>
      </c>
      <c r="F59" s="189">
        <f t="shared" si="14"/>
        <v>0.80321285140562249</v>
      </c>
      <c r="G59" s="27">
        <v>154715</v>
      </c>
      <c r="H59" s="24">
        <f t="shared" si="15"/>
        <v>0.79231320735392019</v>
      </c>
      <c r="I59" s="191">
        <f t="shared" si="16"/>
        <v>386.78750000000002</v>
      </c>
    </row>
    <row r="60" spans="1:10">
      <c r="A60" s="446" t="s">
        <v>25</v>
      </c>
      <c r="B60" s="192">
        <f>_xlfn.IFNA(VLOOKUP(A60,[8]折!$C$3:$F$99,4,0),-[4]整車!$B$22)</f>
        <v>0</v>
      </c>
      <c r="C60" s="27">
        <f>_xlfn.IFNA(VLOOKUP(A60,[8]折!$C$3:$F$99,3,0),-[4]整車!$B$22)</f>
        <v>0</v>
      </c>
      <c r="D60" s="188">
        <f t="shared" si="13"/>
        <v>0</v>
      </c>
      <c r="E60" s="27">
        <f>_xlfn.IFNA(VLOOKUP(A60,[8]折同!$C$3:$H$362,6,0),-[4]整車!$B$22)</f>
        <v>0</v>
      </c>
      <c r="F60" s="189">
        <f t="shared" si="14"/>
        <v>0</v>
      </c>
      <c r="G60" s="192">
        <f>_xlfn.IFNA(VLOOKUP(A60,[8]折同!$C$3:$H$362,4,0),-[4]整車!$B$22)</f>
        <v>0</v>
      </c>
      <c r="H60" s="24">
        <f t="shared" si="15"/>
        <v>0</v>
      </c>
      <c r="I60" s="191">
        <f t="shared" si="16"/>
        <v>0</v>
      </c>
    </row>
    <row r="61" spans="1:10">
      <c r="A61" s="446" t="s">
        <v>26</v>
      </c>
      <c r="B61" s="192">
        <f>_xlfn.IFNA(VLOOKUP(A61,[8]折!$C$3:$F$99,4,0),-[4]整車!$B$22)</f>
        <v>0</v>
      </c>
      <c r="C61" s="27">
        <f>_xlfn.IFNA(VLOOKUP(A61,[8]折!$C$3:$F$99,3,0),-[4]整車!$B$22)</f>
        <v>0</v>
      </c>
      <c r="D61" s="188">
        <f t="shared" si="13"/>
        <v>0</v>
      </c>
      <c r="E61" s="27">
        <f>_xlfn.IFNA(VLOOKUP(A61,[8]折同!$C$3:$H$362,6,0),-[4]整車!$B$22)</f>
        <v>0</v>
      </c>
      <c r="F61" s="189">
        <f t="shared" si="14"/>
        <v>0</v>
      </c>
      <c r="G61" s="192">
        <f>_xlfn.IFNA(VLOOKUP(A61,[8]折同!$C$3:$H$362,4,0),-[4]整車!$B$22)</f>
        <v>0</v>
      </c>
      <c r="H61" s="24">
        <f t="shared" si="15"/>
        <v>0</v>
      </c>
      <c r="I61" s="191">
        <f t="shared" si="16"/>
        <v>0</v>
      </c>
    </row>
    <row r="62" spans="1:10">
      <c r="A62" s="289" t="s">
        <v>225</v>
      </c>
      <c r="B62" s="192">
        <f>_xlfn.IFNA(VLOOKUP(A62,[8]折!$C$3:$F$99,4,0),-[4]整車!$B$22)</f>
        <v>0</v>
      </c>
      <c r="C62" s="27">
        <f>_xlfn.IFNA(VLOOKUP(A62,[8]折!$C$3:$F$99,3,0),-[4]整車!$B$22)</f>
        <v>0</v>
      </c>
      <c r="D62" s="188">
        <f t="shared" si="13"/>
        <v>0</v>
      </c>
      <c r="E62" s="27">
        <f>_xlfn.IFNA(VLOOKUP(A62,[8]折同!$C$3:$H$362,6,0),-[4]整車!$B$22)</f>
        <v>0</v>
      </c>
      <c r="F62" s="189">
        <f t="shared" si="14"/>
        <v>0</v>
      </c>
      <c r="G62" s="192">
        <f>_xlfn.IFNA(VLOOKUP(A62,[8]折同!$C$3:$H$362,4,0),-[4]整車!$B$22)</f>
        <v>0</v>
      </c>
      <c r="H62" s="24">
        <f t="shared" si="15"/>
        <v>0</v>
      </c>
      <c r="I62" s="191">
        <f t="shared" si="16"/>
        <v>0</v>
      </c>
    </row>
    <row r="63" spans="1:10">
      <c r="A63" s="446" t="s">
        <v>27</v>
      </c>
      <c r="B63" s="192">
        <f>_xlfn.IFNA(VLOOKUP(A63,[8]折!$C$3:$F$99,4,0),-[4]整車!$B$22)</f>
        <v>0</v>
      </c>
      <c r="C63" s="27">
        <f>_xlfn.IFNA(VLOOKUP(A63,[8]折!$C$3:$F$99,3,0),-[4]整車!$B$22)</f>
        <v>0</v>
      </c>
      <c r="D63" s="188">
        <f t="shared" si="13"/>
        <v>0</v>
      </c>
      <c r="E63" s="27">
        <f>_xlfn.IFNA(VLOOKUP(A63,[8]折同!$C$3:$H$362,6,0),-[4]整車!$B$22)</f>
        <v>0</v>
      </c>
      <c r="F63" s="189">
        <f t="shared" si="14"/>
        <v>0</v>
      </c>
      <c r="G63" s="192">
        <f>_xlfn.IFNA(VLOOKUP(A63,[8]折同!$C$3:$H$362,4,0),-[4]整車!$B$22)</f>
        <v>0</v>
      </c>
      <c r="H63" s="24">
        <f t="shared" si="15"/>
        <v>0</v>
      </c>
      <c r="I63" s="191">
        <f t="shared" si="16"/>
        <v>0</v>
      </c>
    </row>
    <row r="64" spans="1:10" ht="15.75" customHeight="1">
      <c r="A64" s="289" t="s">
        <v>226</v>
      </c>
      <c r="B64" s="192">
        <f>_xlfn.IFNA(VLOOKUP(A64,[8]折!$C$3:$F$99,4,0),-[4]整車!$B$22)</f>
        <v>0</v>
      </c>
      <c r="C64" s="27">
        <f>_xlfn.IFNA(VLOOKUP(A64,[8]折!$C$3:$F$99,3,0),-[4]整車!$B$22)</f>
        <v>0</v>
      </c>
      <c r="D64" s="188">
        <f t="shared" si="13"/>
        <v>0</v>
      </c>
      <c r="E64" s="27">
        <f>_xlfn.IFNA(VLOOKUP(A64,[8]折同!$C$3:$H$362,6,0),-[4]整車!$B$22)</f>
        <v>0</v>
      </c>
      <c r="F64" s="189">
        <f t="shared" si="14"/>
        <v>0</v>
      </c>
      <c r="G64" s="192">
        <f>_xlfn.IFNA(VLOOKUP(A64,[8]折同!$C$3:$H$362,4,0),-[4]整車!$B$22)</f>
        <v>0</v>
      </c>
      <c r="H64" s="24">
        <f t="shared" si="15"/>
        <v>0</v>
      </c>
      <c r="I64" s="191">
        <f t="shared" si="16"/>
        <v>0</v>
      </c>
    </row>
    <row r="65" spans="1:9">
      <c r="A65" s="446" t="s">
        <v>28</v>
      </c>
      <c r="B65" s="192">
        <f>_xlfn.IFNA(VLOOKUP(A65,[8]折!$C$3:$F$99,4,0),-[4]整車!$B$22)</f>
        <v>0</v>
      </c>
      <c r="C65" s="27">
        <f>_xlfn.IFNA(VLOOKUP(A65,[8]折!$C$3:$F$99,3,0),-[4]整車!$B$22)</f>
        <v>0</v>
      </c>
      <c r="D65" s="188">
        <f t="shared" si="13"/>
        <v>0</v>
      </c>
      <c r="E65" s="27">
        <f>_xlfn.IFNA(VLOOKUP(A65,[8]折同!$C$3:$H$362,6,0),-[4]整車!$B$22)</f>
        <v>0</v>
      </c>
      <c r="F65" s="189">
        <f t="shared" si="14"/>
        <v>0</v>
      </c>
      <c r="G65" s="192">
        <f>_xlfn.IFNA(VLOOKUP(A65,[8]折同!$C$3:$H$362,4,0),-[4]整車!$B$22)</f>
        <v>0</v>
      </c>
      <c r="H65" s="24">
        <f t="shared" si="15"/>
        <v>0</v>
      </c>
      <c r="I65" s="191">
        <f t="shared" si="16"/>
        <v>0</v>
      </c>
    </row>
    <row r="66" spans="1:9">
      <c r="A66" s="289" t="s">
        <v>227</v>
      </c>
      <c r="B66" s="192">
        <v>0</v>
      </c>
      <c r="C66" s="27">
        <v>0</v>
      </c>
      <c r="D66" s="188">
        <f t="shared" si="13"/>
        <v>0</v>
      </c>
      <c r="E66" s="27"/>
      <c r="F66" s="189">
        <f t="shared" si="14"/>
        <v>0</v>
      </c>
      <c r="G66" s="192"/>
      <c r="H66" s="24">
        <f t="shared" si="15"/>
        <v>0</v>
      </c>
      <c r="I66" s="191">
        <f t="shared" si="16"/>
        <v>0</v>
      </c>
    </row>
    <row r="67" spans="1:9">
      <c r="A67" s="30" t="s">
        <v>29</v>
      </c>
      <c r="B67" s="192">
        <f>B68-B7-B12-B41-B47</f>
        <v>0</v>
      </c>
      <c r="C67" s="27">
        <f>C68-C47-C41-C12-C7</f>
        <v>0</v>
      </c>
      <c r="D67" s="188">
        <f t="shared" si="0"/>
        <v>0</v>
      </c>
      <c r="E67" s="27">
        <f>E68-E47-E41-E12-E7</f>
        <v>1</v>
      </c>
      <c r="F67" s="189">
        <f t="shared" ref="F67:F68" si="17">E67/$E$68</f>
        <v>2.008032128514056E-3</v>
      </c>
      <c r="G67" s="192">
        <f>G68-G47-G41-G12-G7</f>
        <v>122</v>
      </c>
      <c r="H67" s="24">
        <f t="shared" ref="H67:H68" si="18">G67/$G$68</f>
        <v>6.2477595124699138E-4</v>
      </c>
      <c r="I67" s="191">
        <f t="shared" si="1"/>
        <v>122</v>
      </c>
    </row>
    <row r="68" spans="1:9">
      <c r="A68" s="32" t="s">
        <v>399</v>
      </c>
      <c r="B68" s="194">
        <v>497</v>
      </c>
      <c r="C68" s="33">
        <v>195148</v>
      </c>
      <c r="D68" s="188">
        <f t="shared" ref="D68" si="19">C68/B68</f>
        <v>392.6519114688129</v>
      </c>
      <c r="E68" s="194">
        <v>498</v>
      </c>
      <c r="F68" s="189">
        <f t="shared" si="17"/>
        <v>1</v>
      </c>
      <c r="G68" s="33">
        <v>195270</v>
      </c>
      <c r="H68" s="24">
        <f t="shared" si="18"/>
        <v>1</v>
      </c>
      <c r="I68" s="191">
        <f t="shared" ref="I68" si="20">G68/E68</f>
        <v>392.10843373493975</v>
      </c>
    </row>
    <row r="69" spans="1:9" ht="6.75" customHeight="1">
      <c r="A69" s="38"/>
      <c r="B69" s="195"/>
      <c r="C69" s="39"/>
      <c r="D69" s="196"/>
      <c r="E69" s="39"/>
      <c r="F69" s="197"/>
      <c r="G69" s="195"/>
      <c r="H69" s="41"/>
      <c r="I69" s="196"/>
    </row>
    <row r="70" spans="1:9">
      <c r="A70" s="54" t="s">
        <v>462</v>
      </c>
      <c r="B70" s="198"/>
      <c r="C70" s="39"/>
      <c r="D70" s="198"/>
      <c r="E70" s="13"/>
      <c r="F70" s="198"/>
      <c r="G70" s="198"/>
      <c r="H70" s="13"/>
      <c r="I70" s="198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2025-05-06T08:55:28Z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