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7359F9C9-CF17-48C9-BA8E-7DFFAC9D85A8}" xr6:coauthVersionLast="47" xr6:coauthVersionMax="47" xr10:uidLastSave="{00000000-0000-0000-0000-000000000000}"/>
  <bookViews>
    <workbookView xWindow="4155" yWindow="0" windowWidth="16290" windowHeight="10800" tabRatio="670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22" l="1"/>
  <c r="L67" i="22"/>
  <c r="F51" i="12"/>
  <c r="C64" i="12"/>
  <c r="C50" i="12"/>
  <c r="C51" i="12"/>
  <c r="C55" i="12"/>
  <c r="C58" i="12"/>
  <c r="C61" i="12"/>
  <c r="C62" i="12"/>
  <c r="C49" i="12"/>
  <c r="C44" i="12"/>
  <c r="C43" i="12"/>
  <c r="C15" i="12"/>
  <c r="C16" i="12"/>
  <c r="C17" i="12"/>
  <c r="C18" i="12"/>
  <c r="C20" i="12"/>
  <c r="C21" i="12"/>
  <c r="C26" i="12"/>
  <c r="C28" i="12"/>
  <c r="C29" i="12"/>
  <c r="C14" i="12"/>
  <c r="C10" i="12"/>
  <c r="C11" i="12"/>
  <c r="C9" i="12"/>
  <c r="D72" i="1"/>
  <c r="J120" i="30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F65" i="25" s="1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C65" i="25" s="1"/>
  <c r="G10" i="25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F65" i="23" s="1"/>
  <c r="C13" i="23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65" i="23" s="1"/>
  <c r="C19" i="23"/>
  <c r="C16" i="23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D16" i="22"/>
  <c r="C16" i="22"/>
  <c r="C17" i="22"/>
  <c r="D13" i="22"/>
  <c r="C13" i="22"/>
  <c r="F64" i="12"/>
  <c r="F62" i="12"/>
  <c r="F61" i="12"/>
  <c r="F58" i="12"/>
  <c r="F55" i="12"/>
  <c r="F50" i="12"/>
  <c r="F49" i="12"/>
  <c r="F44" i="12"/>
  <c r="F43" i="12"/>
  <c r="F29" i="12"/>
  <c r="F28" i="12"/>
  <c r="F26" i="12"/>
  <c r="F21" i="12"/>
  <c r="F20" i="12"/>
  <c r="F15" i="12"/>
  <c r="F16" i="12"/>
  <c r="F17" i="12"/>
  <c r="F18" i="12"/>
  <c r="F14" i="12"/>
  <c r="F10" i="12"/>
  <c r="F11" i="12"/>
  <c r="F9" i="12"/>
  <c r="C26" i="11"/>
  <c r="C64" i="11"/>
  <c r="B64" i="11"/>
  <c r="B50" i="11"/>
  <c r="C50" i="11"/>
  <c r="B52" i="11"/>
  <c r="C52" i="11"/>
  <c r="B53" i="11"/>
  <c r="C53" i="11"/>
  <c r="B54" i="11"/>
  <c r="C54" i="11"/>
  <c r="B55" i="11"/>
  <c r="C55" i="11"/>
  <c r="B56" i="11"/>
  <c r="C56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8" i="11"/>
  <c r="C18" i="11"/>
  <c r="B20" i="11"/>
  <c r="C20" i="11"/>
  <c r="B25" i="11"/>
  <c r="C25" i="11"/>
  <c r="B26" i="11"/>
  <c r="C14" i="11"/>
  <c r="C13" i="11" s="1"/>
  <c r="B14" i="11"/>
  <c r="B13" i="11" s="1"/>
  <c r="C10" i="11"/>
  <c r="C11" i="11"/>
  <c r="C9" i="11"/>
  <c r="B10" i="11"/>
  <c r="B11" i="11"/>
  <c r="B9" i="11"/>
  <c r="C66" i="5"/>
  <c r="C61" i="5"/>
  <c r="C59" i="5"/>
  <c r="C58" i="5"/>
  <c r="C49" i="5"/>
  <c r="C48" i="5"/>
  <c r="C17" i="5"/>
  <c r="C16" i="5"/>
  <c r="C14" i="5"/>
  <c r="C8" i="5"/>
  <c r="B66" i="5"/>
  <c r="B49" i="5"/>
  <c r="B58" i="5"/>
  <c r="B59" i="5"/>
  <c r="B61" i="5"/>
  <c r="B48" i="5"/>
  <c r="B14" i="5"/>
  <c r="B16" i="5"/>
  <c r="B17" i="5"/>
  <c r="B8" i="5"/>
  <c r="F67" i="2"/>
  <c r="F65" i="2"/>
  <c r="F64" i="2"/>
  <c r="F62" i="2"/>
  <c r="F60" i="2"/>
  <c r="F59" i="2"/>
  <c r="F57" i="2"/>
  <c r="F56" i="2"/>
  <c r="F53" i="2"/>
  <c r="F54" i="2"/>
  <c r="F52" i="2"/>
  <c r="F49" i="2"/>
  <c r="F50" i="2"/>
  <c r="F48" i="2"/>
  <c r="F43" i="2"/>
  <c r="F42" i="2"/>
  <c r="F36" i="2"/>
  <c r="F28" i="2"/>
  <c r="F27" i="2"/>
  <c r="F25" i="2"/>
  <c r="F24" i="2"/>
  <c r="F20" i="2"/>
  <c r="F14" i="2"/>
  <c r="F15" i="2"/>
  <c r="F16" i="2"/>
  <c r="F17" i="2"/>
  <c r="F18" i="2"/>
  <c r="F13" i="2"/>
  <c r="F9" i="2"/>
  <c r="F10" i="2"/>
  <c r="F8" i="2"/>
  <c r="C67" i="2"/>
  <c r="C49" i="2"/>
  <c r="C50" i="2"/>
  <c r="C52" i="2"/>
  <c r="C53" i="2"/>
  <c r="C54" i="2"/>
  <c r="C56" i="2"/>
  <c r="C57" i="2"/>
  <c r="C59" i="2"/>
  <c r="C60" i="2"/>
  <c r="C62" i="2"/>
  <c r="C64" i="2"/>
  <c r="C65" i="2"/>
  <c r="C48" i="2"/>
  <c r="C43" i="2"/>
  <c r="C42" i="2"/>
  <c r="C14" i="2"/>
  <c r="C15" i="2"/>
  <c r="C16" i="2"/>
  <c r="C17" i="2"/>
  <c r="C18" i="2"/>
  <c r="C20" i="2"/>
  <c r="C24" i="2"/>
  <c r="C25" i="2"/>
  <c r="C27" i="2"/>
  <c r="C28" i="2"/>
  <c r="C36" i="2"/>
  <c r="C13" i="2"/>
  <c r="C9" i="2"/>
  <c r="C10" i="2"/>
  <c r="C8" i="2"/>
  <c r="G7" i="27"/>
  <c r="C67" i="1"/>
  <c r="B67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60" i="1"/>
  <c r="C60" i="1"/>
  <c r="B61" i="1"/>
  <c r="C61" i="1"/>
  <c r="B62" i="1"/>
  <c r="C62" i="1"/>
  <c r="B64" i="1"/>
  <c r="C64" i="1"/>
  <c r="B65" i="1"/>
  <c r="C65" i="1"/>
  <c r="C48" i="1"/>
  <c r="B48" i="1"/>
  <c r="B43" i="1"/>
  <c r="C43" i="1"/>
  <c r="B44" i="1"/>
  <c r="C44" i="1"/>
  <c r="C42" i="1"/>
  <c r="B42" i="1"/>
  <c r="B14" i="1"/>
  <c r="C14" i="1"/>
  <c r="B15" i="1"/>
  <c r="C15" i="1"/>
  <c r="B16" i="1"/>
  <c r="C16" i="1"/>
  <c r="B17" i="1"/>
  <c r="C17" i="1"/>
  <c r="B18" i="1"/>
  <c r="C18" i="1"/>
  <c r="B19" i="1"/>
  <c r="C19" i="1"/>
  <c r="B27" i="1"/>
  <c r="C27" i="1"/>
  <c r="B28" i="1"/>
  <c r="C28" i="1"/>
  <c r="B33" i="1"/>
  <c r="C33" i="1"/>
  <c r="C13" i="1"/>
  <c r="C12" i="1" s="1"/>
  <c r="B13" i="1"/>
  <c r="C9" i="1"/>
  <c r="C10" i="1"/>
  <c r="C8" i="1"/>
  <c r="B9" i="1"/>
  <c r="B10" i="1"/>
  <c r="B8" i="1"/>
  <c r="B63" i="23"/>
  <c r="E68" i="10"/>
  <c r="B8" i="28" l="1"/>
  <c r="B7" i="28"/>
  <c r="C27" i="9"/>
  <c r="F60" i="12" l="1"/>
  <c r="F53" i="12"/>
  <c r="F46" i="12"/>
  <c r="F45" i="12"/>
  <c r="F40" i="12"/>
  <c r="F39" i="12"/>
  <c r="F38" i="12"/>
  <c r="F37" i="12"/>
  <c r="F36" i="12"/>
  <c r="F35" i="12"/>
  <c r="F34" i="12"/>
  <c r="F33" i="12"/>
  <c r="F32" i="12"/>
  <c r="F31" i="12"/>
  <c r="F30" i="12"/>
  <c r="F24" i="12"/>
  <c r="F23" i="12"/>
  <c r="F22" i="12"/>
  <c r="F49" i="11"/>
  <c r="H49" i="11"/>
  <c r="F64" i="10"/>
  <c r="C64" i="10"/>
  <c r="F63" i="10"/>
  <c r="C63" i="10"/>
  <c r="F62" i="10"/>
  <c r="C62" i="10"/>
  <c r="F61" i="10"/>
  <c r="C61" i="10"/>
  <c r="F60" i="10"/>
  <c r="C60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4" i="10"/>
  <c r="C14" i="10"/>
  <c r="F10" i="10"/>
  <c r="C10" i="10"/>
  <c r="F9" i="10"/>
  <c r="C9" i="10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3" i="9"/>
  <c r="E13" i="9"/>
  <c r="G10" i="9"/>
  <c r="E10" i="9"/>
  <c r="G9" i="9"/>
  <c r="E9" i="9"/>
  <c r="G8" i="9"/>
  <c r="E8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3" i="9"/>
  <c r="B13" i="9"/>
  <c r="C10" i="9"/>
  <c r="B10" i="9"/>
  <c r="C9" i="9"/>
  <c r="B9" i="9"/>
  <c r="C8" i="9"/>
  <c r="B8" i="9"/>
  <c r="C64" i="5"/>
  <c r="C63" i="5"/>
  <c r="C62" i="5"/>
  <c r="C60" i="5"/>
  <c r="C55" i="5"/>
  <c r="C53" i="5"/>
  <c r="C52" i="5"/>
  <c r="C51" i="5"/>
  <c r="C50" i="5"/>
  <c r="C45" i="5"/>
  <c r="C44" i="5"/>
  <c r="C43" i="5"/>
  <c r="C42" i="5"/>
  <c r="C39" i="5"/>
  <c r="C38" i="5"/>
  <c r="C37" i="5"/>
  <c r="C36" i="5"/>
  <c r="C35" i="5"/>
  <c r="C34" i="5"/>
  <c r="C33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0" i="5"/>
  <c r="C9" i="5"/>
  <c r="F22" i="2"/>
  <c r="C14" i="22"/>
  <c r="H105" i="30"/>
  <c r="H120" i="30" l="1"/>
  <c r="C3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D51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J51" i="12" s="1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I47" i="1"/>
  <c r="B47" i="9"/>
  <c r="G47" i="9"/>
  <c r="F47" i="10"/>
  <c r="C47" i="9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H51" i="12" s="1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45" i="12" l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C42" i="12" l="1"/>
  <c r="H53" i="1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C12" i="2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D7" i="9" s="1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H43" i="11"/>
  <c r="B12" i="9"/>
  <c r="G12" i="9"/>
  <c r="H12" i="9" s="1"/>
  <c r="C7" i="2"/>
  <c r="H72" i="2"/>
  <c r="H12" i="1"/>
  <c r="B12" i="1"/>
  <c r="C41" i="1"/>
  <c r="D41" i="1" s="1"/>
  <c r="F58" i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12" i="10"/>
  <c r="C8" i="11"/>
  <c r="D8" i="11" s="1"/>
  <c r="H25" i="11"/>
  <c r="H26" i="11"/>
  <c r="H48" i="11"/>
  <c r="C7" i="10"/>
  <c r="B12" i="10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H29" i="11"/>
  <c r="H52" i="11"/>
  <c r="H8" i="11"/>
  <c r="H15" i="11"/>
  <c r="H16" i="11"/>
  <c r="H17" i="11"/>
  <c r="F7" i="10"/>
  <c r="E12" i="10"/>
  <c r="F12" i="10"/>
  <c r="H7" i="9"/>
  <c r="F47" i="9"/>
  <c r="E7" i="9"/>
  <c r="H17" i="5"/>
  <c r="H24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B63" i="11" l="1"/>
  <c r="G8" i="12"/>
  <c r="D12" i="10"/>
  <c r="C67" i="10"/>
  <c r="D67" i="10" s="1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J72" i="2"/>
  <c r="E63" i="12"/>
  <c r="H66" i="1"/>
  <c r="C63" i="12"/>
  <c r="C67" i="9"/>
  <c r="B67" i="9"/>
  <c r="C66" i="1"/>
  <c r="C63" i="11"/>
  <c r="E67" i="9"/>
  <c r="B66" i="2"/>
  <c r="F63" i="12"/>
  <c r="B63" i="12"/>
  <c r="H13" i="11"/>
  <c r="F48" i="11"/>
  <c r="F67" i="10"/>
  <c r="H12" i="5"/>
  <c r="F66" i="2"/>
  <c r="E66" i="2"/>
  <c r="F47" i="1"/>
  <c r="H41" i="1"/>
  <c r="J7" i="10" l="1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<sst xmlns="http://schemas.openxmlformats.org/spreadsheetml/2006/main" count="1814" uniqueCount="533">
  <si>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</si>
  <si>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</si>
  <si>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</si>
  <si>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</si>
  <si>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</si>
  <si>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</si>
  <si>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</si>
  <si>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</si>
  <si>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</si>
  <si>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</si>
  <si>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</si>
  <si>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</si>
  <si>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</si>
  <si>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</si>
  <si>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</si>
  <si>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</si>
  <si>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</si>
  <si>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</si>
  <si>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</si>
  <si>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</si>
  <si>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</si>
  <si>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</si>
  <si>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</si>
  <si>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</si>
  <si>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</si>
  <si>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</si>
  <si>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</si>
  <si>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</si>
  <si>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</si>
  <si>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</si>
  <si>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</si>
  <si>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</si>
  <si>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</si>
  <si>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</si>
  <si>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</si>
  <si>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</si>
  <si>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</si>
  <si>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</si>
  <si>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</si>
  <si>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</si>
  <si>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</si>
  <si>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</si>
  <si>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</si>
  <si>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</si>
  <si>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</si>
  <si>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</si>
  <si>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</si>
  <si>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</si>
  <si>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</si>
  <si>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</si>
  <si>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</si>
  <si>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</si>
  <si>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</si>
  <si>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</si>
  <si>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</si>
  <si>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</si>
  <si>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</si>
  <si>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</si>
  <si>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</si>
  <si>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</si>
  <si>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</si>
  <si>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</si>
  <si>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</si>
  <si>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</si>
  <si>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</si>
  <si>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</si>
  <si>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</si>
  <si>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</si>
  <si>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</si>
  <si>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</si>
  <si>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</si>
  <si>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</si>
  <si>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</si>
  <si>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</si>
  <si>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</si>
  <si>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</si>
  <si>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</si>
  <si>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</si>
  <si>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</si>
  <si>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</si>
  <si>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</si>
  <si>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</si>
  <si>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</si>
  <si>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</si>
  <si>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</si>
  <si>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</si>
  <si>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</si>
  <si>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</si>
  <si>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</si>
  <si>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</si>
  <si>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</si>
  <si>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</si>
  <si>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</si>
  <si>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</si>
  <si>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</si>
  <si>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</si>
  <si>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</si>
  <si>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</si>
  <si>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</si>
  <si>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</si>
  <si>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</si>
  <si>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</si>
  <si>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</si>
  <si>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</si>
  <si>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</si>
  <si>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</si>
  <si>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</si>
  <si>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</si>
  <si>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</si>
  <si>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</si>
  <si>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</si>
  <si>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</si>
  <si>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</si>
  <si>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</si>
  <si>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</si>
  <si>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</si>
  <si>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</si>
  <si>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</si>
  <si>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</si>
  <si>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</si>
  <si>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</si>
  <si>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</si>
  <si>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</si>
  <si>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</si>
  <si>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</si>
  <si>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</si>
  <si>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</si>
  <si>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</si>
  <si>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</si>
  <si>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</si>
  <si>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</si>
  <si>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</si>
  <si>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</si>
  <si>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</si>
  <si>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</si>
  <si>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</si>
  <si>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</si>
  <si>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</si>
  <si>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</si>
  <si>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</si>
  <si>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</si>
  <si>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</si>
  <si>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</si>
  <si>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</si>
  <si>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</si>
  <si>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</si>
  <si>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</si>
  <si>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</si>
  <si>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</si>
  <si>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</si>
  <si>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</si>
  <si>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</si>
  <si>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</si>
  <si>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</si>
  <si>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</si>
  <si>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</si>
  <si>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</si>
  <si>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</si>
  <si>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</si>
  <si>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</si>
  <si>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</si>
  <si>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</si>
  <si>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</si>
  <si>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</si>
  <si>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</si>
  <si>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</si>
  <si>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</si>
  <si>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</si>
  <si>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</si>
  <si>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</si>
  <si>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</si>
  <si>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</si>
  <si>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</si>
  <si>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</si>
  <si>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</si>
  <si>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</si>
  <si>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</si>
  <si>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</si>
  <si>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</si>
  <si>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</si>
  <si>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</si>
  <si>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</si>
  <si>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</si>
  <si>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</si>
  <si>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</si>
  <si>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</si>
  <si>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</si>
  <si>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</si>
  <si>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</si>
  <si>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</si>
  <si>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</si>
  <si>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</si>
  <si>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</si>
  <si>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</si>
  <si>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</si>
  <si>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</si>
  <si>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</si>
  <si>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</si>
  <si>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</si>
  <si>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</si>
  <si>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</si>
  <si>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</si>
  <si>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</si>
  <si>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</si>
  <si>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</si>
  <si>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</si>
  <si>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</si>
  <si>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</si>
  <si>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</si>
  <si>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</si>
  <si>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</si>
  <si>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</si>
  <si>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</si>
  <si>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</si>
  <si>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</si>
  <si>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</si>
  <si>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</si>
  <si>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</si>
  <si>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</si>
  <si>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</si>
  <si>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</si>
  <si>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</si>
  <si>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</si>
  <si>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</si>
  <si>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</si>
  <si>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</si>
  <si>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</si>
  <si>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</si>
  <si>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</si>
  <si>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</si>
  <si>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</si>
  <si>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</si>
  <si>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</si>
  <si>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</si>
  <si>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</si>
  <si>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</si>
  <si>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</si>
  <si>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</si>
  <si>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</si>
  <si>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</si>
  <si>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</si>
  <si>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</si>
  <si>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</si>
  <si>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</si>
  <si>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</si>
  <si>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</si>
  <si>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</si>
  <si>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</si>
  <si>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</si>
  <si>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</si>
  <si>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</si>
  <si>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</si>
  <si>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</si>
  <si>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</si>
  <si>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</si>
  <si>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</si>
  <si>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</si>
  <si>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</si>
  <si>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</si>
  <si>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</si>
  <si>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</si>
  <si>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</si>
  <si>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</si>
  <si>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</si>
  <si>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</si>
  <si>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</si>
  <si>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</si>
  <si>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</si>
  <si>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</si>
  <si>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</si>
  <si>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</si>
  <si>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</si>
  <si>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</si>
  <si>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</si>
  <si>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</si>
  <si>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</si>
  <si>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</si>
  <si>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</si>
  <si>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</si>
  <si>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</si>
  <si>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</si>
  <si>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</si>
  <si>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</si>
  <si>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</si>
  <si>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</si>
  <si>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</si>
  <si>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</si>
  <si>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</si>
  <si>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</si>
  <si>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</si>
  <si>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</si>
  <si>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</si>
  <si>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</si>
  <si>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</si>
  <si>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</si>
  <si>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</si>
  <si>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</si>
  <si>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</si>
  <si>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</si>
  <si>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</si>
  <si>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</si>
  <si>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</si>
  <si>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</si>
  <si>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</si>
  <si>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</si>
  <si>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</si>
  <si>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</si>
  <si>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</si>
  <si>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</si>
  <si>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</si>
  <si>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</si>
  <si>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</si>
  <si>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</si>
  <si>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</si>
  <si>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</si>
  <si>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</si>
  <si>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</si>
  <si>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</si>
  <si>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</si>
  <si>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</si>
  <si>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</si>
  <si>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</si>
  <si>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</si>
  <si>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</si>
  <si>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</si>
  <si>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</si>
  <si>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</si>
  <si>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</si>
  <si>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</si>
  <si>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</si>
  <si>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</si>
  <si>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</si>
  <si>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</si>
  <si>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</si>
  <si>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</si>
  <si>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</si>
  <si>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</si>
  <si>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</si>
  <si>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</si>
  <si>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</si>
  <si>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</si>
  <si>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</si>
  <si>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</si>
  <si>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</si>
  <si>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</si>
  <si>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</si>
  <si>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</si>
  <si>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</si>
  <si>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</si>
  <si>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</si>
  <si>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</si>
  <si>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</si>
  <si>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</si>
  <si>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</si>
  <si>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</si>
  <si>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</si>
  <si>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</si>
  <si>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</si>
  <si>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</si>
  <si>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</si>
  <si>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</si>
  <si>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</si>
  <si>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</si>
  <si>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</si>
  <si>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</si>
  <si>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</si>
  <si>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</si>
  <si>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</si>
  <si>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</si>
  <si>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</si>
  <si>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</si>
  <si>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</si>
  <si>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</si>
  <si>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</si>
  <si>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</si>
  <si>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</si>
  <si>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</si>
  <si>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</si>
  <si>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</si>
  <si>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</si>
  <si>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</si>
  <si>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</si>
  <si>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</si>
  <si>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</si>
  <si>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</si>
  <si>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</si>
  <si>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</si>
  <si>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</si>
  <si>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</si>
  <si>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</si>
  <si>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</si>
  <si>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</si>
  <si>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</si>
  <si>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</si>
  <si>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</si>
  <si>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</si>
  <si>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</si>
  <si>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</si>
  <si>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</si>
  <si>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</si>
  <si>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</si>
  <si>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</si>
  <si>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</si>
  <si>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</si>
  <si>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</si>
  <si>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</si>
  <si>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</si>
  <si>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</si>
  <si>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</si>
  <si>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</si>
  <si>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</si>
  <si>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</si>
  <si>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</si>
  <si>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</si>
  <si>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</si>
  <si>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</si>
  <si>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</si>
  <si>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</si>
  <si>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</si>
  <si>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</si>
  <si>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</si>
  <si>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t>1</t>
    </r>
    <r>
      <rPr>
        <sz val="12"/>
        <rFont val="新細明體"/>
        <family val="1"/>
        <charset val="136"/>
      </rPr>
      <t>月數量</t>
    </r>
    <phoneticPr fontId="4" type="noConversion"/>
  </si>
  <si>
    <r>
      <t>1</t>
    </r>
    <r>
      <rPr>
        <sz val="12"/>
        <rFont val="新細明體"/>
        <family val="1"/>
        <charset val="136"/>
      </rPr>
      <t>月金額</t>
    </r>
    <phoneticPr fontId="4" type="noConversion"/>
  </si>
  <si>
    <r>
      <t>1-1</t>
    </r>
    <r>
      <rPr>
        <sz val="12"/>
        <rFont val="新細明體"/>
        <family val="1"/>
        <charset val="136"/>
      </rPr>
      <t>月數量</t>
    </r>
    <phoneticPr fontId="4" type="noConversion"/>
  </si>
  <si>
    <r>
      <t>1-1</t>
    </r>
    <r>
      <rPr>
        <sz val="12"/>
        <rFont val="新細明體"/>
        <family val="1"/>
        <charset val="136"/>
      </rPr>
      <t>月金額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</si>
  <si>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</si>
  <si>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</si>
  <si>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</si>
  <si>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</si>
  <si>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</si>
  <si>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</si>
  <si>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</si>
  <si>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</si>
  <si>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</si>
  <si>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</si>
  <si>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</si>
  <si>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</si>
  <si>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</si>
  <si>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</si>
  <si>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</si>
  <si>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</si>
  <si>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</si>
  <si>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</si>
  <si>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</si>
  <si>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</si>
  <si>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</si>
  <si>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</si>
  <si>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</si>
  <si>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</si>
  <si>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</si>
  <si>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</si>
  <si>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</si>
  <si>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</si>
  <si>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</si>
  <si>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</si>
  <si>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</si>
  <si>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</si>
  <si>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</si>
  <si>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</si>
  <si>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</si>
  <si>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</si>
  <si>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</si>
  <si>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</si>
  <si>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</si>
  <si>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</si>
  <si>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</si>
  <si>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</si>
  <si>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哥倫比亞</t>
  </si>
  <si>
    <t>泰國</t>
  </si>
  <si>
    <t>印尼</t>
  </si>
  <si>
    <t>宏都拉斯</t>
  </si>
  <si>
    <t>孟加拉</t>
  </si>
  <si>
    <t>菲律賓</t>
  </si>
  <si>
    <t>香港</t>
  </si>
  <si>
    <t>印度</t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</si>
  <si>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6" type="noConversion"/>
  </si>
  <si>
    <t>2025年1-1月台灣自行車主要出口國家統計</t>
    <phoneticPr fontId="4" type="noConversion"/>
  </si>
  <si>
    <t>2025年1月</t>
    <phoneticPr fontId="4" type="noConversion"/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</si>
  <si>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</si>
  <si>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</si>
  <si>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</si>
  <si>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</si>
  <si>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</si>
  <si>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</si>
  <si>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</si>
  <si>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</si>
  <si>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</si>
  <si>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</t>
    </r>
    <r>
      <rPr>
        <b/>
        <sz val="14"/>
        <rFont val="新細明體"/>
        <family val="1"/>
        <charset val="136"/>
      </rPr>
      <t>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</si>
  <si>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</si>
  <si>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</si>
  <si>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t>2025年1-1月台灣折疊式自行車主要出口國家統計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</si>
  <si>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</si>
  <si>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</si>
  <si>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</si>
  <si>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t>2025年</t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</si>
  <si>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</si>
  <si>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>資料來源: 經濟部國貿署,臺灣自行車輸出業同業公會整理</t>
    <phoneticPr fontId="10" type="noConversion"/>
  </si>
  <si>
    <t xml:space="preserve">                                                '2025/2024年1-1月台灣電動自行車主要出口國家比較        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</si>
  <si>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2025 -2024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</si>
  <si>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</si>
  <si>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</si>
  <si>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</si>
  <si>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</si>
  <si>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</si>
  <si>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t>2025年</t>
  </si>
  <si>
    <t>2024年</t>
  </si>
  <si>
    <t>增/減</t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</si>
  <si>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</si>
  <si>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t>＊中華民國</t>
    <phoneticPr fontId="3" type="noConversion"/>
  </si>
  <si>
    <t>塞爾維亞</t>
  </si>
  <si>
    <t>貝里斯</t>
  </si>
  <si>
    <t>薩摩亞</t>
  </si>
  <si>
    <t>義大利</t>
    <phoneticPr fontId="3" type="noConversion"/>
  </si>
  <si>
    <t>波多黎各</t>
  </si>
  <si>
    <t>埃及</t>
  </si>
  <si>
    <t>土耳其</t>
  </si>
  <si>
    <t>新加坡</t>
  </si>
  <si>
    <t>摩洛哥</t>
  </si>
  <si>
    <t>瓜地馬拉</t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</si>
  <si>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</si>
  <si>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</si>
  <si>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</si>
  <si>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</si>
  <si>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</si>
  <si>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</si>
  <si>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</si>
  <si>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t>2025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月台灣自行車主要零件進出口統計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</si>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</sst>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10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0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76" fontId="56" fillId="0" borderId="10" xfId="4" applyNumberFormat="1" applyFont="1" applyBorder="1"/>
    <xf numFmtId="180" fontId="55" fillId="0" borderId="10" xfId="1" applyNumberFormat="1" applyFont="1" applyFill="1" applyBorder="1" applyAlignment="1"/>
    <xf numFmtId="180" fontId="56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7" fillId="0" borderId="10" xfId="0" applyNumberFormat="1" applyFont="1" applyBorder="1" applyAlignment="1"/>
    <xf numFmtId="176" fontId="58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2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3" fillId="7" borderId="9" xfId="4" applyNumberFormat="1" applyFont="1" applyFill="1" applyBorder="1" applyAlignment="1">
      <alignment horizontal="right"/>
    </xf>
    <xf numFmtId="176" fontId="64" fillId="7" borderId="9" xfId="4" applyNumberFormat="1" applyFont="1" applyFill="1" applyBorder="1"/>
    <xf numFmtId="176" fontId="64" fillId="7" borderId="9" xfId="4" applyNumberFormat="1" applyFont="1" applyFill="1" applyBorder="1" applyAlignment="1">
      <alignment horizontal="right"/>
    </xf>
    <xf numFmtId="179" fontId="64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1" fillId="0" borderId="10" xfId="4" applyNumberFormat="1" applyFont="1" applyBorder="1" applyAlignment="1">
      <alignment horizontal="right"/>
    </xf>
    <xf numFmtId="176" fontId="68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9" fillId="0" borderId="9" xfId="0" applyNumberFormat="1" applyFont="1" applyBorder="1" applyAlignment="1">
      <alignment horizontal="center"/>
    </xf>
    <xf numFmtId="10" fontId="69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5" fillId="0" borderId="10" xfId="0" quotePrefix="1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70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70" fillId="0" borderId="10" xfId="4" applyNumberFormat="1" applyFont="1" applyBorder="1" applyAlignment="1">
      <alignment horizontal="right"/>
    </xf>
    <xf numFmtId="176" fontId="73" fillId="7" borderId="10" xfId="4" applyNumberFormat="1" applyFont="1" applyFill="1" applyBorder="1" applyAlignment="1">
      <alignment horizontal="right"/>
    </xf>
    <xf numFmtId="176" fontId="65" fillId="0" borderId="10" xfId="0" applyNumberFormat="1" applyFont="1" applyBorder="1" applyAlignment="1">
      <alignment horizontal="center" vertical="center"/>
    </xf>
    <xf numFmtId="176" fontId="65" fillId="0" borderId="10" xfId="0" quotePrefix="1" applyNumberFormat="1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/>
    </xf>
    <xf numFmtId="178" fontId="65" fillId="0" borderId="11" xfId="2" applyNumberFormat="1" applyFont="1" applyBorder="1" applyAlignment="1"/>
    <xf numFmtId="176" fontId="65" fillId="0" borderId="0" xfId="0" applyNumberFormat="1" applyFont="1" applyAlignment="1"/>
    <xf numFmtId="178" fontId="65" fillId="4" borderId="11" xfId="2" applyNumberFormat="1" applyFont="1" applyFill="1" applyBorder="1" applyAlignment="1"/>
    <xf numFmtId="176" fontId="65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5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5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5" fillId="0" borderId="0" xfId="0" applyFont="1" applyAlignment="1"/>
    <xf numFmtId="0" fontId="70" fillId="0" borderId="10" xfId="0" applyFont="1" applyBorder="1" applyAlignment="1">
      <alignment horizontal="right"/>
    </xf>
    <xf numFmtId="0" fontId="77" fillId="0" borderId="10" xfId="0" applyFont="1" applyBorder="1" applyAlignment="1">
      <alignment horizontal="right"/>
    </xf>
    <xf numFmtId="0" fontId="70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44" fillId="0" borderId="0" xfId="0" applyNumberFormat="1" applyFon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9" fillId="0" borderId="9" xfId="0" applyNumberFormat="1" applyFont="1" applyBorder="1" applyAlignment="1">
      <alignment horizontal="center"/>
    </xf>
    <xf numFmtId="176" fontId="80" fillId="0" borderId="10" xfId="4" applyNumberFormat="1" applyFont="1" applyBorder="1"/>
    <xf numFmtId="180" fontId="80" fillId="0" borderId="0" xfId="1" applyNumberFormat="1" applyFont="1" applyFill="1" applyAlignment="1"/>
    <xf numFmtId="176" fontId="81" fillId="0" borderId="10" xfId="0" applyNumberFormat="1" applyFont="1" applyBorder="1" applyAlignment="1"/>
    <xf numFmtId="176" fontId="82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3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4" fillId="0" borderId="0" xfId="0" applyFont="1" applyAlignment="1"/>
    <xf numFmtId="0" fontId="85" fillId="2" borderId="2" xfId="0" applyFont="1" applyFill="1" applyBorder="1" applyAlignment="1"/>
    <xf numFmtId="0" fontId="85" fillId="0" borderId="4" xfId="0" quotePrefix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4" fillId="2" borderId="11" xfId="0" applyFont="1" applyFill="1" applyBorder="1" applyAlignment="1"/>
    <xf numFmtId="176" fontId="84" fillId="2" borderId="9" xfId="0" applyNumberFormat="1" applyFont="1" applyFill="1" applyBorder="1" applyAlignment="1"/>
    <xf numFmtId="176" fontId="84" fillId="0" borderId="9" xfId="0" applyNumberFormat="1" applyFont="1" applyBorder="1" applyAlignment="1"/>
    <xf numFmtId="176" fontId="84" fillId="0" borderId="10" xfId="0" applyNumberFormat="1" applyFont="1" applyBorder="1" applyAlignment="1"/>
    <xf numFmtId="176" fontId="84" fillId="2" borderId="10" xfId="0" applyNumberFormat="1" applyFont="1" applyFill="1" applyBorder="1" applyAlignment="1"/>
    <xf numFmtId="176" fontId="84" fillId="2" borderId="0" xfId="0" applyNumberFormat="1" applyFont="1" applyFill="1" applyAlignment="1"/>
    <xf numFmtId="0" fontId="85" fillId="0" borderId="0" xfId="0" applyFont="1" applyAlignment="1"/>
    <xf numFmtId="0" fontId="86" fillId="0" borderId="0" xfId="0" applyFont="1" applyAlignment="1">
      <alignment horizontal="centerContinuous"/>
    </xf>
    <xf numFmtId="0" fontId="87" fillId="2" borderId="1" xfId="0" applyFont="1" applyFill="1" applyBorder="1" applyAlignment="1"/>
    <xf numFmtId="0" fontId="92" fillId="0" borderId="8" xfId="0" quotePrefix="1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1" fillId="2" borderId="8" xfId="0" applyFont="1" applyFill="1" applyBorder="1" applyAlignment="1"/>
    <xf numFmtId="176" fontId="91" fillId="2" borderId="6" xfId="0" applyNumberFormat="1" applyFont="1" applyFill="1" applyBorder="1" applyAlignment="1"/>
    <xf numFmtId="176" fontId="91" fillId="0" borderId="6" xfId="0" applyNumberFormat="1" applyFont="1" applyBorder="1" applyAlignment="1"/>
    <xf numFmtId="176" fontId="91" fillId="0" borderId="10" xfId="0" applyNumberFormat="1" applyFont="1" applyBorder="1" applyAlignment="1"/>
    <xf numFmtId="176" fontId="91" fillId="2" borderId="10" xfId="0" applyNumberFormat="1" applyFont="1" applyFill="1" applyBorder="1" applyAlignment="1"/>
    <xf numFmtId="0" fontId="93" fillId="0" borderId="10" xfId="0" applyFont="1" applyBorder="1" applyAlignment="1">
      <alignment horizontal="right"/>
    </xf>
    <xf numFmtId="176" fontId="54" fillId="5" borderId="10" xfId="4" applyNumberFormat="1" applyFont="1" applyFill="1" applyBorder="1"/>
    <xf numFmtId="0" fontId="94" fillId="0" borderId="0" xfId="0" applyFont="1">
      <alignment vertical="center"/>
    </xf>
    <xf numFmtId="3" fontId="94" fillId="0" borderId="0" xfId="0" applyNumberFormat="1" applyFont="1">
      <alignment vertical="center"/>
    </xf>
    <xf numFmtId="0" fontId="96" fillId="0" borderId="0" xfId="0" applyFont="1" applyAlignment="1"/>
    <xf numFmtId="0" fontId="65" fillId="0" borderId="4" xfId="0" quotePrefix="1" applyFont="1" applyBorder="1" applyAlignment="1">
      <alignment horizontal="center"/>
    </xf>
    <xf numFmtId="176" fontId="0" fillId="0" borderId="1" xfId="0" applyNumberFormat="1" applyBorder="1" applyAlignment="1"/>
    <xf numFmtId="10" fontId="0" fillId="2" borderId="1" xfId="3" applyNumberFormat="1" applyFont="1" applyFill="1" applyBorder="1" applyAlignment="1"/>
    <xf numFmtId="0" fontId="65" fillId="0" borderId="0" xfId="0" applyFont="1" applyAlignment="1">
      <alignment horizontal="left"/>
    </xf>
    <xf numFmtId="0" fontId="54" fillId="0" borderId="10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100" fillId="0" borderId="10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65" fillId="0" borderId="0" xfId="0" applyNumberFormat="1" applyFont="1" applyFill="1" applyAlignment="1"/>
    <xf numFmtId="176" fontId="8" fillId="0" borderId="0" xfId="0" applyNumberFormat="1" applyFont="1" applyFill="1" applyAlignment="1"/>
    <xf numFmtId="178" fontId="65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6" fontId="8" fillId="0" borderId="2" xfId="0" applyNumberFormat="1" applyFont="1" applyFill="1" applyBorder="1" applyAlignment="1"/>
    <xf numFmtId="178" fontId="25" fillId="0" borderId="3" xfId="2" applyNumberFormat="1" applyFont="1" applyFill="1" applyBorder="1" applyAlignment="1"/>
    <xf numFmtId="176" fontId="7" fillId="0" borderId="5" xfId="0" applyNumberFormat="1" applyFont="1" applyFill="1" applyBorder="1" applyAlignment="1"/>
    <xf numFmtId="176" fontId="13" fillId="0" borderId="5" xfId="0" applyNumberFormat="1" applyFont="1" applyFill="1" applyBorder="1" applyAlignment="1"/>
    <xf numFmtId="181" fontId="23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6" fontId="7" fillId="0" borderId="5" xfId="0" applyNumberFormat="1" applyFont="1" applyFill="1" applyBorder="1" applyAlignment="1">
      <alignment horizontal="left"/>
    </xf>
    <xf numFmtId="178" fontId="7" fillId="0" borderId="5" xfId="2" applyNumberFormat="1" applyFont="1" applyFill="1" applyBorder="1" applyAlignment="1"/>
    <xf numFmtId="176" fontId="7" fillId="0" borderId="9" xfId="0" applyNumberFormat="1" applyFont="1" applyFill="1" applyBorder="1" applyAlignment="1"/>
    <xf numFmtId="181" fontId="23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2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&#25972;&#36554;&#20986;&#21475;.xlsx" TargetMode="External"/><Relationship Id="rId1" Type="http://schemas.openxmlformats.org/officeDocument/2006/relationships/externalLinkPath" Target="file:///D:\DATA%20Files\Downloads\&#36914;&#20986;&#21475;&#20540;&#34920;%20-%20202501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%20&#38646;&#20214;.xlsx" TargetMode="External"/><Relationship Id="rId1" Type="http://schemas.openxmlformats.org/officeDocument/2006/relationships/externalLinkPath" Target="file:///D:\DATA%20Files\Downloads\&#36914;&#20986;&#21475;&#20540;&#34920;%20-%20202501%20&#38646;&#20214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%20&#38646;&#20214;&#36914;&#21475;.xlsx" TargetMode="External"/><Relationship Id="rId1" Type="http://schemas.openxmlformats.org/officeDocument/2006/relationships/externalLinkPath" Target="file:///D:\DATA%20Files\Downloads\&#36914;&#20986;&#21475;&#20540;&#34920;%20-%20202501%20&#38646;&#20214;&#36914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&#38646;&#20214;&#20986;&#21475;.xlsx" TargetMode="External"/><Relationship Id="rId1" Type="http://schemas.openxmlformats.org/officeDocument/2006/relationships/externalLinkPath" Target="file:///D:\DATA%20Files\Downloads\&#36914;&#20986;&#21475;&#20540;&#34920;%20-%20202401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&#38646;&#20214;&#36914;&#21475;.xlsx" TargetMode="External"/><Relationship Id="rId1" Type="http://schemas.openxmlformats.org/officeDocument/2006/relationships/externalLinkPath" Target="file:///D:\DATA%20Files\Downloads\&#36914;&#20986;&#21475;&#20540;&#34920;%20-%20202401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&#25972;&#36554;&#20986;&#21475;.xlsx" TargetMode="External"/><Relationship Id="rId1" Type="http://schemas.openxmlformats.org/officeDocument/2006/relationships/externalLinkPath" Target="file:///D:\DATA%20Files\Downloads\&#36914;&#20986;&#21475;&#20540;&#34920;%20-%20202401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&#25972;&#36554;&#36914;&#21475;.xlsx" TargetMode="External"/><Relationship Id="rId1" Type="http://schemas.openxmlformats.org/officeDocument/2006/relationships/externalLinkPath" Target="file:///D:\DATA%20Files\Downloads\&#36914;&#20986;&#21475;&#20540;&#34920;%20-%20202501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&#38651;&#36628;&#36554;&#20986;&#21475;.xlsx" TargetMode="External"/><Relationship Id="rId1" Type="http://schemas.openxmlformats.org/officeDocument/2006/relationships/externalLinkPath" Target="file:///D:\DATA%20Files\Downloads\&#36914;&#20986;&#21475;&#20540;&#34920;%20-%20202501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&#38651;&#36628;&#36554;&#20986;&#21475;.xlsx" TargetMode="External"/><Relationship Id="rId1" Type="http://schemas.openxmlformats.org/officeDocument/2006/relationships/externalLinkPath" Target="file:///D:\DATA%20Files\Downloads\&#36914;&#20986;&#21475;&#20540;&#34920;%20-%20202401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48431613</v>
          </cell>
          <cell r="C10">
            <v>52420</v>
          </cell>
        </row>
        <row r="11">
          <cell r="A11" t="str">
            <v>美國</v>
          </cell>
          <cell r="B11">
            <v>14358586</v>
          </cell>
          <cell r="C11">
            <v>21360</v>
          </cell>
        </row>
        <row r="12">
          <cell r="A12" t="str">
            <v>荷蘭</v>
          </cell>
          <cell r="B12">
            <v>10165275</v>
          </cell>
          <cell r="C12">
            <v>5925</v>
          </cell>
        </row>
        <row r="13">
          <cell r="A13" t="str">
            <v>中國大陸</v>
          </cell>
          <cell r="B13">
            <v>3722377</v>
          </cell>
          <cell r="C13">
            <v>2160</v>
          </cell>
        </row>
        <row r="14">
          <cell r="A14" t="str">
            <v>英國</v>
          </cell>
          <cell r="B14">
            <v>3605262</v>
          </cell>
          <cell r="C14">
            <v>3877</v>
          </cell>
        </row>
        <row r="15">
          <cell r="A15" t="str">
            <v>澳大利亞</v>
          </cell>
          <cell r="B15">
            <v>2445817</v>
          </cell>
          <cell r="C15">
            <v>2689</v>
          </cell>
        </row>
        <row r="16">
          <cell r="A16" t="str">
            <v>韓國</v>
          </cell>
          <cell r="B16">
            <v>1956341</v>
          </cell>
          <cell r="C16">
            <v>1113</v>
          </cell>
        </row>
        <row r="17">
          <cell r="A17" t="str">
            <v>德國</v>
          </cell>
          <cell r="B17">
            <v>1530831</v>
          </cell>
          <cell r="C17">
            <v>3259</v>
          </cell>
        </row>
        <row r="18">
          <cell r="A18" t="str">
            <v>西班牙</v>
          </cell>
          <cell r="B18">
            <v>1108513</v>
          </cell>
          <cell r="C18">
            <v>587</v>
          </cell>
        </row>
        <row r="19">
          <cell r="A19" t="str">
            <v>巴拿馬</v>
          </cell>
          <cell r="B19">
            <v>963424</v>
          </cell>
          <cell r="C19">
            <v>326</v>
          </cell>
        </row>
        <row r="20">
          <cell r="A20" t="str">
            <v>加拿大</v>
          </cell>
          <cell r="B20">
            <v>934174</v>
          </cell>
          <cell r="C20">
            <v>1025</v>
          </cell>
        </row>
        <row r="21">
          <cell r="A21" t="str">
            <v>日本</v>
          </cell>
          <cell r="B21">
            <v>883489</v>
          </cell>
          <cell r="C21">
            <v>1374</v>
          </cell>
        </row>
        <row r="22">
          <cell r="A22" t="str">
            <v>瑞士</v>
          </cell>
          <cell r="B22">
            <v>775160</v>
          </cell>
          <cell r="C22">
            <v>1316</v>
          </cell>
        </row>
        <row r="23">
          <cell r="A23" t="str">
            <v>比利時</v>
          </cell>
          <cell r="B23">
            <v>659928</v>
          </cell>
          <cell r="C23">
            <v>476</v>
          </cell>
        </row>
        <row r="24">
          <cell r="A24" t="str">
            <v>法國</v>
          </cell>
          <cell r="B24">
            <v>626148</v>
          </cell>
          <cell r="C24">
            <v>429</v>
          </cell>
        </row>
        <row r="25">
          <cell r="A25" t="str">
            <v>波蘭</v>
          </cell>
          <cell r="B25">
            <v>540468</v>
          </cell>
          <cell r="C25">
            <v>1171</v>
          </cell>
        </row>
        <row r="26">
          <cell r="A26" t="str">
            <v>義大利</v>
          </cell>
          <cell r="B26">
            <v>441015</v>
          </cell>
          <cell r="C26">
            <v>314</v>
          </cell>
        </row>
        <row r="27">
          <cell r="A27" t="str">
            <v>哥斯大黎加</v>
          </cell>
          <cell r="B27">
            <v>395104</v>
          </cell>
          <cell r="C27">
            <v>329</v>
          </cell>
        </row>
        <row r="28">
          <cell r="A28" t="str">
            <v>挪威</v>
          </cell>
          <cell r="B28">
            <v>346154</v>
          </cell>
          <cell r="C28">
            <v>330</v>
          </cell>
        </row>
        <row r="29">
          <cell r="A29" t="str">
            <v>南非</v>
          </cell>
          <cell r="B29">
            <v>237549</v>
          </cell>
          <cell r="C29">
            <v>172</v>
          </cell>
        </row>
        <row r="30">
          <cell r="A30" t="str">
            <v>墨西哥</v>
          </cell>
          <cell r="B30">
            <v>231590</v>
          </cell>
          <cell r="C30">
            <v>243</v>
          </cell>
        </row>
        <row r="31">
          <cell r="A31" t="str">
            <v>巴西</v>
          </cell>
          <cell r="B31">
            <v>214685</v>
          </cell>
          <cell r="C31">
            <v>124</v>
          </cell>
        </row>
        <row r="32">
          <cell r="A32" t="str">
            <v>以色列</v>
          </cell>
          <cell r="B32">
            <v>212101</v>
          </cell>
          <cell r="C32">
            <v>222</v>
          </cell>
        </row>
        <row r="33">
          <cell r="A33" t="str">
            <v>厄瓜多</v>
          </cell>
          <cell r="B33">
            <v>209548</v>
          </cell>
          <cell r="C33">
            <v>109</v>
          </cell>
        </row>
        <row r="34">
          <cell r="A34" t="str">
            <v>紐西蘭</v>
          </cell>
          <cell r="B34">
            <v>179750</v>
          </cell>
          <cell r="C34">
            <v>131</v>
          </cell>
        </row>
        <row r="35">
          <cell r="A35" t="str">
            <v>阿拉伯聯合大公國</v>
          </cell>
          <cell r="B35">
            <v>172271</v>
          </cell>
          <cell r="C35">
            <v>315</v>
          </cell>
        </row>
        <row r="36">
          <cell r="A36" t="str">
            <v>哥倫比亞</v>
          </cell>
          <cell r="B36">
            <v>150471</v>
          </cell>
          <cell r="C36">
            <v>103</v>
          </cell>
        </row>
        <row r="37">
          <cell r="A37" t="str">
            <v>智利</v>
          </cell>
          <cell r="B37">
            <v>147066</v>
          </cell>
          <cell r="C37">
            <v>109</v>
          </cell>
        </row>
        <row r="38">
          <cell r="A38" t="str">
            <v>捷克</v>
          </cell>
          <cell r="B38">
            <v>127820</v>
          </cell>
          <cell r="C38">
            <v>551</v>
          </cell>
        </row>
        <row r="39">
          <cell r="A39" t="str">
            <v>秘魯</v>
          </cell>
          <cell r="B39">
            <v>124780</v>
          </cell>
          <cell r="C39">
            <v>60</v>
          </cell>
        </row>
        <row r="40">
          <cell r="A40" t="str">
            <v>印度</v>
          </cell>
          <cell r="B40">
            <v>114594</v>
          </cell>
          <cell r="C40">
            <v>187</v>
          </cell>
        </row>
        <row r="41">
          <cell r="A41" t="str">
            <v>冰島</v>
          </cell>
          <cell r="B41">
            <v>95318</v>
          </cell>
          <cell r="C41">
            <v>640</v>
          </cell>
        </row>
        <row r="42">
          <cell r="A42" t="str">
            <v>愛沙尼亞</v>
          </cell>
          <cell r="B42">
            <v>91579</v>
          </cell>
          <cell r="C42">
            <v>277</v>
          </cell>
        </row>
        <row r="43">
          <cell r="A43" t="str">
            <v>哈薩克</v>
          </cell>
          <cell r="B43">
            <v>88507</v>
          </cell>
          <cell r="C43">
            <v>250</v>
          </cell>
        </row>
        <row r="44">
          <cell r="A44" t="str">
            <v>瓜地馬拉</v>
          </cell>
          <cell r="B44">
            <v>86166</v>
          </cell>
          <cell r="C44">
            <v>78</v>
          </cell>
        </row>
        <row r="45">
          <cell r="A45" t="str">
            <v>新加坡</v>
          </cell>
          <cell r="B45">
            <v>84979</v>
          </cell>
          <cell r="C45">
            <v>115</v>
          </cell>
        </row>
        <row r="46">
          <cell r="A46" t="str">
            <v>越南</v>
          </cell>
          <cell r="B46">
            <v>73731</v>
          </cell>
          <cell r="C46">
            <v>43</v>
          </cell>
        </row>
        <row r="47">
          <cell r="A47" t="str">
            <v>泰國</v>
          </cell>
          <cell r="B47">
            <v>71907</v>
          </cell>
          <cell r="C47">
            <v>57</v>
          </cell>
        </row>
        <row r="48">
          <cell r="A48" t="str">
            <v>菲律賓</v>
          </cell>
          <cell r="B48">
            <v>69443</v>
          </cell>
          <cell r="C48">
            <v>59</v>
          </cell>
        </row>
        <row r="49">
          <cell r="A49" t="str">
            <v>土耳其</v>
          </cell>
          <cell r="B49">
            <v>63728</v>
          </cell>
          <cell r="C49">
            <v>28</v>
          </cell>
        </row>
        <row r="50">
          <cell r="A50" t="str">
            <v>香港</v>
          </cell>
          <cell r="B50">
            <v>55881</v>
          </cell>
          <cell r="C50">
            <v>36</v>
          </cell>
        </row>
        <row r="51">
          <cell r="A51" t="str">
            <v>丹麥</v>
          </cell>
          <cell r="B51">
            <v>27303</v>
          </cell>
          <cell r="C51">
            <v>220</v>
          </cell>
        </row>
        <row r="52">
          <cell r="A52" t="str">
            <v>多明尼加</v>
          </cell>
          <cell r="B52">
            <v>15749</v>
          </cell>
          <cell r="C52">
            <v>30</v>
          </cell>
        </row>
        <row r="53">
          <cell r="A53" t="str">
            <v>馬來西亞</v>
          </cell>
          <cell r="B53">
            <v>15689</v>
          </cell>
          <cell r="C53">
            <v>1</v>
          </cell>
        </row>
        <row r="54">
          <cell r="A54" t="str">
            <v>阿根廷</v>
          </cell>
          <cell r="B54">
            <v>8240</v>
          </cell>
          <cell r="C54">
            <v>40</v>
          </cell>
        </row>
        <row r="55">
          <cell r="A55" t="str">
            <v>甘比亞</v>
          </cell>
          <cell r="B55">
            <v>2919</v>
          </cell>
          <cell r="C55">
            <v>59</v>
          </cell>
        </row>
        <row r="56">
          <cell r="A56" t="str">
            <v>幾內亞</v>
          </cell>
          <cell r="B56">
            <v>61</v>
          </cell>
          <cell r="C56">
            <v>50</v>
          </cell>
        </row>
        <row r="57">
          <cell r="A57" t="str">
            <v>約旦</v>
          </cell>
          <cell r="B57">
            <v>61</v>
          </cell>
          <cell r="C57">
            <v>1</v>
          </cell>
        </row>
        <row r="58">
          <cell r="A58" t="str">
            <v>奈及利亞</v>
          </cell>
          <cell r="B58">
            <v>61</v>
          </cell>
          <cell r="C58">
            <v>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39123975</v>
          </cell>
          <cell r="D3">
            <v>705938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17667382</v>
          </cell>
          <cell r="D4">
            <v>422340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8564035</v>
          </cell>
          <cell r="D5">
            <v>61443</v>
          </cell>
          <cell r="E5">
            <v>75800</v>
          </cell>
        </row>
        <row r="6">
          <cell r="A6">
            <v>87149620002</v>
          </cell>
          <cell r="B6" t="str">
            <v>曲柄齒輪及其零件</v>
          </cell>
          <cell r="C6">
            <v>7315445</v>
          </cell>
          <cell r="D6">
            <v>168605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6678106</v>
          </cell>
          <cell r="D7">
            <v>68798</v>
          </cell>
          <cell r="E7">
            <v>0</v>
          </cell>
        </row>
        <row r="8">
          <cell r="A8">
            <v>87149990157</v>
          </cell>
          <cell r="B8" t="str">
            <v>腳踏車用座管及上下管</v>
          </cell>
          <cell r="C8">
            <v>4737156</v>
          </cell>
          <cell r="D8">
            <v>108998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4409783</v>
          </cell>
          <cell r="D9">
            <v>145014</v>
          </cell>
          <cell r="E9">
            <v>0</v>
          </cell>
        </row>
        <row r="10">
          <cell r="A10">
            <v>87149610004</v>
          </cell>
          <cell r="B10" t="str">
            <v>踏板及其零件</v>
          </cell>
          <cell r="C10">
            <v>3648919</v>
          </cell>
          <cell r="D10">
            <v>155899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3519371</v>
          </cell>
          <cell r="D11">
            <v>39389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3318036</v>
          </cell>
          <cell r="D12">
            <v>99122</v>
          </cell>
          <cell r="E12">
            <v>181590</v>
          </cell>
        </row>
        <row r="13">
          <cell r="A13">
            <v>87149990166</v>
          </cell>
          <cell r="B13" t="str">
            <v>腳踏車用把手</v>
          </cell>
          <cell r="C13">
            <v>3089846</v>
          </cell>
          <cell r="D13">
            <v>113647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3041072</v>
          </cell>
          <cell r="D14">
            <v>154847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1869266</v>
          </cell>
          <cell r="D15">
            <v>56588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1273213</v>
          </cell>
          <cell r="D16">
            <v>110710</v>
          </cell>
          <cell r="E16">
            <v>16090559</v>
          </cell>
        </row>
        <row r="17">
          <cell r="A17">
            <v>87149990139</v>
          </cell>
          <cell r="B17" t="str">
            <v>腳踏車用軸心</v>
          </cell>
          <cell r="C17">
            <v>161022</v>
          </cell>
          <cell r="D17">
            <v>11270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153757</v>
          </cell>
          <cell r="D18">
            <v>12797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86226</v>
          </cell>
          <cell r="D19">
            <v>3429</v>
          </cell>
          <cell r="E19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24896039</v>
          </cell>
          <cell r="D3">
            <v>358652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7276347</v>
          </cell>
          <cell r="D4">
            <v>128815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5247553</v>
          </cell>
          <cell r="D5">
            <v>46581</v>
          </cell>
          <cell r="E5">
            <v>93422</v>
          </cell>
        </row>
        <row r="6">
          <cell r="A6">
            <v>87149620002</v>
          </cell>
          <cell r="B6" t="str">
            <v>曲柄齒輪及其零件</v>
          </cell>
          <cell r="C6">
            <v>2871368</v>
          </cell>
          <cell r="D6">
            <v>125388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2227470</v>
          </cell>
          <cell r="D7">
            <v>48403</v>
          </cell>
          <cell r="E7">
            <v>0</v>
          </cell>
        </row>
        <row r="8">
          <cell r="A8">
            <v>87149990166</v>
          </cell>
          <cell r="B8" t="str">
            <v>腳踏車用把手</v>
          </cell>
          <cell r="C8">
            <v>1678764</v>
          </cell>
          <cell r="D8">
            <v>26490</v>
          </cell>
          <cell r="E8">
            <v>0</v>
          </cell>
        </row>
        <row r="9">
          <cell r="A9">
            <v>87149990111</v>
          </cell>
          <cell r="B9" t="str">
            <v>腳踏車用變速器</v>
          </cell>
          <cell r="C9">
            <v>1373212</v>
          </cell>
          <cell r="D9">
            <v>17758</v>
          </cell>
          <cell r="E9">
            <v>0</v>
          </cell>
        </row>
        <row r="10">
          <cell r="A10">
            <v>87149200206</v>
          </cell>
          <cell r="B10" t="str">
            <v>輪幅</v>
          </cell>
          <cell r="C10">
            <v>1335114</v>
          </cell>
          <cell r="D10">
            <v>10676</v>
          </cell>
          <cell r="E10">
            <v>2560850</v>
          </cell>
        </row>
        <row r="11">
          <cell r="A11">
            <v>87149990157</v>
          </cell>
          <cell r="B11" t="str">
            <v>腳踏車用座管及上下管</v>
          </cell>
          <cell r="C11">
            <v>1097227</v>
          </cell>
          <cell r="D11">
            <v>28239</v>
          </cell>
          <cell r="E11">
            <v>0</v>
          </cell>
        </row>
        <row r="12">
          <cell r="A12">
            <v>87149320906</v>
          </cell>
          <cell r="B12" t="str">
            <v>其他飛輪之鏈輪</v>
          </cell>
          <cell r="C12">
            <v>817658</v>
          </cell>
          <cell r="D12">
            <v>21578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740309</v>
          </cell>
          <cell r="D13">
            <v>50682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548513</v>
          </cell>
          <cell r="D14">
            <v>17255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486349</v>
          </cell>
          <cell r="D15">
            <v>4766</v>
          </cell>
          <cell r="E15">
            <v>103711</v>
          </cell>
        </row>
        <row r="16">
          <cell r="A16">
            <v>87149610004</v>
          </cell>
          <cell r="B16" t="str">
            <v>踏板及其零件</v>
          </cell>
          <cell r="C16">
            <v>272258</v>
          </cell>
          <cell r="D16">
            <v>11881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40439</v>
          </cell>
          <cell r="D17">
            <v>2353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12113</v>
          </cell>
          <cell r="D18">
            <v>1144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3648</v>
          </cell>
          <cell r="D19">
            <v>151</v>
          </cell>
          <cell r="E1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43049512</v>
          </cell>
          <cell r="D3">
            <v>640723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12800515</v>
          </cell>
          <cell r="D4">
            <v>289981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6357713</v>
          </cell>
          <cell r="D5">
            <v>134587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4951571</v>
          </cell>
          <cell r="D6">
            <v>39846</v>
          </cell>
          <cell r="E6">
            <v>0</v>
          </cell>
        </row>
        <row r="7">
          <cell r="A7">
            <v>87149320906</v>
          </cell>
          <cell r="B7" t="str">
            <v>其他飛輪之鏈輪</v>
          </cell>
          <cell r="C7">
            <v>4583162</v>
          </cell>
          <cell r="D7">
            <v>102129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4403055</v>
          </cell>
          <cell r="D8">
            <v>44024</v>
          </cell>
          <cell r="E8">
            <v>39271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3259249</v>
          </cell>
          <cell r="D9">
            <v>65719</v>
          </cell>
          <cell r="E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3162278</v>
          </cell>
          <cell r="D10">
            <v>75297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2837917</v>
          </cell>
          <cell r="D11">
            <v>64030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2724423</v>
          </cell>
          <cell r="D12">
            <v>110849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2495893</v>
          </cell>
          <cell r="D13">
            <v>105881</v>
          </cell>
          <cell r="E13">
            <v>177366</v>
          </cell>
        </row>
        <row r="14">
          <cell r="A14">
            <v>87149500007</v>
          </cell>
          <cell r="B14" t="str">
            <v>腳踏車車座</v>
          </cell>
          <cell r="C14">
            <v>2164427</v>
          </cell>
          <cell r="D14">
            <v>86228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1694831</v>
          </cell>
          <cell r="D15">
            <v>39632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963977</v>
          </cell>
          <cell r="D16">
            <v>68670</v>
          </cell>
          <cell r="E16">
            <v>9103546</v>
          </cell>
        </row>
        <row r="17">
          <cell r="A17">
            <v>87149410006</v>
          </cell>
          <cell r="B17" t="str">
            <v>鋼?煞車器及其零件</v>
          </cell>
          <cell r="C17">
            <v>308968</v>
          </cell>
          <cell r="D17">
            <v>12219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240616</v>
          </cell>
          <cell r="D18">
            <v>13181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6973</v>
          </cell>
          <cell r="D19">
            <v>290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30753648</v>
          </cell>
          <cell r="D3">
            <v>457566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11137424</v>
          </cell>
          <cell r="D4">
            <v>145987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6833160</v>
          </cell>
          <cell r="D5">
            <v>73166</v>
          </cell>
          <cell r="E5">
            <v>169432</v>
          </cell>
        </row>
        <row r="6">
          <cell r="A6">
            <v>87149620002</v>
          </cell>
          <cell r="B6" t="str">
            <v>曲柄齒輪及其零件</v>
          </cell>
          <cell r="C6">
            <v>4324665</v>
          </cell>
          <cell r="D6">
            <v>152443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4115918</v>
          </cell>
          <cell r="D7">
            <v>41618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3000962</v>
          </cell>
          <cell r="D8">
            <v>78815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2302302</v>
          </cell>
          <cell r="D9">
            <v>37462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1613845</v>
          </cell>
          <cell r="D10">
            <v>34992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1519082</v>
          </cell>
          <cell r="D11">
            <v>31573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950928</v>
          </cell>
          <cell r="D12">
            <v>59326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835859</v>
          </cell>
          <cell r="D13">
            <v>9584</v>
          </cell>
          <cell r="E13">
            <v>1909117</v>
          </cell>
        </row>
        <row r="14">
          <cell r="A14">
            <v>87149200304</v>
          </cell>
          <cell r="B14" t="str">
            <v>輪圈及輪幅</v>
          </cell>
          <cell r="C14">
            <v>656853</v>
          </cell>
          <cell r="D14">
            <v>18674</v>
          </cell>
          <cell r="E14">
            <v>99229</v>
          </cell>
        </row>
        <row r="15">
          <cell r="A15">
            <v>87149990148</v>
          </cell>
          <cell r="B15" t="str">
            <v>腳踏車用把手豎管</v>
          </cell>
          <cell r="C15">
            <v>545854</v>
          </cell>
          <cell r="D15">
            <v>20515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236615</v>
          </cell>
          <cell r="D16">
            <v>30338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149132</v>
          </cell>
          <cell r="D17">
            <v>12687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93511</v>
          </cell>
          <cell r="D18">
            <v>2205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59158</v>
          </cell>
          <cell r="D19">
            <v>2985</v>
          </cell>
          <cell r="E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84131970</v>
          </cell>
          <cell r="C10">
            <v>74922</v>
          </cell>
        </row>
        <row r="11">
          <cell r="A11" t="str">
            <v>美國</v>
          </cell>
          <cell r="B11">
            <v>26070018</v>
          </cell>
          <cell r="C11">
            <v>26185</v>
          </cell>
        </row>
        <row r="12">
          <cell r="A12" t="str">
            <v>荷蘭</v>
          </cell>
          <cell r="B12">
            <v>14711985</v>
          </cell>
          <cell r="C12">
            <v>8380</v>
          </cell>
        </row>
        <row r="13">
          <cell r="A13" t="str">
            <v>中國大陸</v>
          </cell>
          <cell r="B13">
            <v>12111955</v>
          </cell>
          <cell r="C13">
            <v>10880</v>
          </cell>
        </row>
        <row r="14">
          <cell r="A14" t="str">
            <v>德國</v>
          </cell>
          <cell r="B14">
            <v>4259478</v>
          </cell>
          <cell r="C14">
            <v>6312</v>
          </cell>
        </row>
        <row r="15">
          <cell r="A15" t="str">
            <v>英國</v>
          </cell>
          <cell r="B15">
            <v>4135119</v>
          </cell>
          <cell r="C15">
            <v>3229</v>
          </cell>
        </row>
        <row r="16">
          <cell r="A16" t="str">
            <v>日本</v>
          </cell>
          <cell r="B16">
            <v>3425193</v>
          </cell>
          <cell r="C16">
            <v>3683</v>
          </cell>
        </row>
        <row r="17">
          <cell r="A17" t="str">
            <v>澳大利亞</v>
          </cell>
          <cell r="B17">
            <v>2578278</v>
          </cell>
          <cell r="C17">
            <v>1755</v>
          </cell>
        </row>
        <row r="18">
          <cell r="A18" t="str">
            <v>法國</v>
          </cell>
          <cell r="B18">
            <v>2158098</v>
          </cell>
          <cell r="C18">
            <v>1158</v>
          </cell>
        </row>
        <row r="19">
          <cell r="A19" t="str">
            <v>瑞士</v>
          </cell>
          <cell r="B19">
            <v>2056877</v>
          </cell>
          <cell r="C19">
            <v>1231</v>
          </cell>
        </row>
        <row r="20">
          <cell r="A20" t="str">
            <v>加拿大</v>
          </cell>
          <cell r="B20">
            <v>1953440</v>
          </cell>
          <cell r="C20">
            <v>1426</v>
          </cell>
        </row>
        <row r="21">
          <cell r="A21" t="str">
            <v>韓國</v>
          </cell>
          <cell r="B21">
            <v>1399647</v>
          </cell>
          <cell r="C21">
            <v>754</v>
          </cell>
        </row>
        <row r="22">
          <cell r="A22" t="str">
            <v>西班牙</v>
          </cell>
          <cell r="B22">
            <v>1181266</v>
          </cell>
          <cell r="C22">
            <v>754</v>
          </cell>
        </row>
        <row r="23">
          <cell r="A23" t="str">
            <v>義大利</v>
          </cell>
          <cell r="B23">
            <v>1157808</v>
          </cell>
          <cell r="C23">
            <v>712</v>
          </cell>
        </row>
        <row r="24">
          <cell r="A24" t="str">
            <v>比利時</v>
          </cell>
          <cell r="B24">
            <v>1084574</v>
          </cell>
          <cell r="C24">
            <v>1311</v>
          </cell>
        </row>
        <row r="25">
          <cell r="A25" t="str">
            <v>瑞典</v>
          </cell>
          <cell r="B25">
            <v>790038</v>
          </cell>
          <cell r="C25">
            <v>1820</v>
          </cell>
        </row>
        <row r="26">
          <cell r="A26" t="str">
            <v>捷克</v>
          </cell>
          <cell r="B26">
            <v>723234</v>
          </cell>
          <cell r="C26">
            <v>1098</v>
          </cell>
        </row>
        <row r="27">
          <cell r="A27" t="str">
            <v>挪威</v>
          </cell>
          <cell r="B27">
            <v>690295</v>
          </cell>
          <cell r="C27">
            <v>1080</v>
          </cell>
        </row>
        <row r="28">
          <cell r="A28" t="str">
            <v>波蘭</v>
          </cell>
          <cell r="B28">
            <v>676607</v>
          </cell>
          <cell r="C28">
            <v>770</v>
          </cell>
        </row>
        <row r="29">
          <cell r="A29" t="str">
            <v>巴拿馬</v>
          </cell>
          <cell r="B29">
            <v>588785</v>
          </cell>
          <cell r="C29">
            <v>283</v>
          </cell>
        </row>
        <row r="30">
          <cell r="A30" t="str">
            <v>墨西哥</v>
          </cell>
          <cell r="B30">
            <v>334030</v>
          </cell>
          <cell r="C30">
            <v>284</v>
          </cell>
        </row>
        <row r="31">
          <cell r="A31" t="str">
            <v>紐西蘭</v>
          </cell>
          <cell r="B31">
            <v>272397</v>
          </cell>
          <cell r="C31">
            <v>202</v>
          </cell>
        </row>
        <row r="32">
          <cell r="A32" t="str">
            <v>阿根廷</v>
          </cell>
          <cell r="B32">
            <v>265585</v>
          </cell>
          <cell r="C32">
            <v>182</v>
          </cell>
        </row>
        <row r="33">
          <cell r="A33" t="str">
            <v>新加坡</v>
          </cell>
          <cell r="B33">
            <v>221627</v>
          </cell>
          <cell r="C33">
            <v>105</v>
          </cell>
        </row>
        <row r="34">
          <cell r="A34" t="str">
            <v>印度</v>
          </cell>
          <cell r="B34">
            <v>208838</v>
          </cell>
          <cell r="C34">
            <v>199</v>
          </cell>
        </row>
        <row r="35">
          <cell r="A35" t="str">
            <v>阿拉伯聯合大公國</v>
          </cell>
          <cell r="B35">
            <v>155077</v>
          </cell>
          <cell r="C35">
            <v>199</v>
          </cell>
        </row>
        <row r="36">
          <cell r="A36" t="str">
            <v>香港</v>
          </cell>
          <cell r="B36">
            <v>137467</v>
          </cell>
          <cell r="C36">
            <v>132</v>
          </cell>
        </row>
        <row r="37">
          <cell r="A37" t="str">
            <v>泰國</v>
          </cell>
          <cell r="B37">
            <v>116100</v>
          </cell>
          <cell r="C37">
            <v>66</v>
          </cell>
        </row>
        <row r="38">
          <cell r="A38" t="str">
            <v>瓜地馬拉</v>
          </cell>
          <cell r="B38">
            <v>102409</v>
          </cell>
          <cell r="C38">
            <v>80</v>
          </cell>
        </row>
        <row r="39">
          <cell r="A39" t="str">
            <v>波多黎各</v>
          </cell>
          <cell r="B39">
            <v>87597</v>
          </cell>
          <cell r="C39">
            <v>70</v>
          </cell>
        </row>
        <row r="40">
          <cell r="A40" t="str">
            <v>馬來西亞</v>
          </cell>
          <cell r="B40">
            <v>87178</v>
          </cell>
          <cell r="C40">
            <v>38</v>
          </cell>
        </row>
        <row r="41">
          <cell r="A41" t="str">
            <v>薩爾瓦多</v>
          </cell>
          <cell r="B41">
            <v>59287</v>
          </cell>
          <cell r="C41">
            <v>38</v>
          </cell>
        </row>
        <row r="42">
          <cell r="A42" t="str">
            <v>菲律賓</v>
          </cell>
          <cell r="B42">
            <v>51960</v>
          </cell>
          <cell r="C42">
            <v>43</v>
          </cell>
        </row>
        <row r="43">
          <cell r="A43" t="str">
            <v>智利</v>
          </cell>
          <cell r="B43">
            <v>48683</v>
          </cell>
          <cell r="C43">
            <v>69</v>
          </cell>
        </row>
        <row r="44">
          <cell r="A44" t="str">
            <v>烏拉圭</v>
          </cell>
          <cell r="B44">
            <v>47301</v>
          </cell>
          <cell r="C44">
            <v>34</v>
          </cell>
        </row>
        <row r="45">
          <cell r="A45" t="str">
            <v>模里西斯</v>
          </cell>
          <cell r="B45">
            <v>40713</v>
          </cell>
          <cell r="C45">
            <v>48</v>
          </cell>
        </row>
        <row r="46">
          <cell r="A46" t="str">
            <v>卡達</v>
          </cell>
          <cell r="B46">
            <v>35476</v>
          </cell>
          <cell r="C46">
            <v>33</v>
          </cell>
        </row>
        <row r="47">
          <cell r="A47" t="str">
            <v>尼泊爾</v>
          </cell>
          <cell r="B47">
            <v>30527</v>
          </cell>
          <cell r="C47">
            <v>18</v>
          </cell>
        </row>
        <row r="48">
          <cell r="A48" t="str">
            <v>越南</v>
          </cell>
          <cell r="B48">
            <v>18220</v>
          </cell>
          <cell r="C48">
            <v>8</v>
          </cell>
        </row>
        <row r="49">
          <cell r="A49" t="str">
            <v>賽普勒斯</v>
          </cell>
          <cell r="B49">
            <v>17159</v>
          </cell>
          <cell r="C49">
            <v>128</v>
          </cell>
        </row>
        <row r="50">
          <cell r="A50" t="str">
            <v>烏克蘭</v>
          </cell>
          <cell r="B50">
            <v>16677</v>
          </cell>
          <cell r="C50">
            <v>90</v>
          </cell>
        </row>
        <row r="51">
          <cell r="A51" t="str">
            <v>多明尼加</v>
          </cell>
          <cell r="B51">
            <v>14396</v>
          </cell>
          <cell r="C51">
            <v>8</v>
          </cell>
        </row>
        <row r="52">
          <cell r="A52" t="str">
            <v>葡萄牙</v>
          </cell>
          <cell r="B52">
            <v>7294</v>
          </cell>
          <cell r="C52">
            <v>3</v>
          </cell>
        </row>
        <row r="53">
          <cell r="A53" t="str">
            <v>哥倫比亞</v>
          </cell>
          <cell r="B53">
            <v>2249</v>
          </cell>
          <cell r="C53">
            <v>15</v>
          </cell>
        </row>
        <row r="54">
          <cell r="A54" t="str">
            <v>奧地利</v>
          </cell>
          <cell r="B54">
            <v>611</v>
          </cell>
          <cell r="C54">
            <v>1</v>
          </cell>
        </row>
        <row r="55">
          <cell r="A55" t="str">
            <v>蘇利南</v>
          </cell>
          <cell r="B55">
            <v>289</v>
          </cell>
          <cell r="C55">
            <v>1</v>
          </cell>
        </row>
        <row r="56">
          <cell r="A56" t="str">
            <v>伊拉克</v>
          </cell>
          <cell r="B56">
            <v>96</v>
          </cell>
          <cell r="C56">
            <v>3</v>
          </cell>
        </row>
        <row r="57">
          <cell r="A57" t="str">
            <v>迦納</v>
          </cell>
          <cell r="B57">
            <v>32</v>
          </cell>
          <cell r="C57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  <row r="3">
          <cell r="C3" t="str">
            <v>中國大陸</v>
          </cell>
          <cell r="D3" t="str">
            <v>China</v>
          </cell>
          <cell r="E3">
            <v>1764148</v>
          </cell>
          <cell r="F3">
            <v>20731</v>
          </cell>
        </row>
        <row r="4">
          <cell r="C4" t="str">
            <v>越南</v>
          </cell>
          <cell r="D4" t="str">
            <v>Viet Nam</v>
          </cell>
          <cell r="E4">
            <v>260360</v>
          </cell>
          <cell r="F4">
            <v>271</v>
          </cell>
        </row>
        <row r="5">
          <cell r="C5" t="str">
            <v>柬埔寨</v>
          </cell>
          <cell r="D5" t="str">
            <v>Cambodia</v>
          </cell>
          <cell r="E5">
            <v>165163</v>
          </cell>
          <cell r="F5">
            <v>573</v>
          </cell>
        </row>
        <row r="6">
          <cell r="C6" t="str">
            <v>美國</v>
          </cell>
          <cell r="D6" t="str">
            <v>United States</v>
          </cell>
          <cell r="E6">
            <v>70260</v>
          </cell>
          <cell r="F6">
            <v>13</v>
          </cell>
        </row>
        <row r="7">
          <cell r="C7" t="str">
            <v>德國</v>
          </cell>
          <cell r="D7" t="str">
            <v>Germany</v>
          </cell>
          <cell r="E7">
            <v>60720</v>
          </cell>
          <cell r="F7">
            <v>11</v>
          </cell>
        </row>
        <row r="8">
          <cell r="C8" t="str">
            <v>印尼</v>
          </cell>
          <cell r="D8" t="str">
            <v>Indonesia</v>
          </cell>
          <cell r="E8">
            <v>38530</v>
          </cell>
          <cell r="F8">
            <v>303</v>
          </cell>
        </row>
        <row r="9">
          <cell r="C9" t="str">
            <v>中華民國</v>
          </cell>
          <cell r="D9" t="str">
            <v>Taiwan, Roc</v>
          </cell>
          <cell r="E9">
            <v>34706</v>
          </cell>
          <cell r="F9">
            <v>17</v>
          </cell>
        </row>
        <row r="10">
          <cell r="C10" t="str">
            <v>法國</v>
          </cell>
          <cell r="D10" t="str">
            <v>France</v>
          </cell>
          <cell r="E10">
            <v>25425</v>
          </cell>
          <cell r="F10">
            <v>20</v>
          </cell>
        </row>
        <row r="11">
          <cell r="C11" t="str">
            <v>韓國</v>
          </cell>
          <cell r="D11" t="str">
            <v>Republic of Korea</v>
          </cell>
          <cell r="E11">
            <v>14412</v>
          </cell>
          <cell r="F11">
            <v>86</v>
          </cell>
        </row>
        <row r="12">
          <cell r="C12" t="str">
            <v>日本</v>
          </cell>
          <cell r="D12" t="str">
            <v>Japan</v>
          </cell>
          <cell r="E12">
            <v>4378</v>
          </cell>
          <cell r="F12">
            <v>12</v>
          </cell>
        </row>
        <row r="13">
          <cell r="C13" t="str">
            <v>澳大利亞</v>
          </cell>
          <cell r="D13" t="str">
            <v>Australia</v>
          </cell>
          <cell r="E13">
            <v>3105</v>
          </cell>
          <cell r="F13">
            <v>1</v>
          </cell>
        </row>
        <row r="14">
          <cell r="C14" t="str">
            <v>英國</v>
          </cell>
          <cell r="D14" t="str">
            <v>United Kingdom</v>
          </cell>
          <cell r="E14">
            <v>3104</v>
          </cell>
          <cell r="F14">
            <v>2</v>
          </cell>
        </row>
        <row r="15">
          <cell r="C15" t="str">
            <v>西班牙</v>
          </cell>
          <cell r="D15" t="str">
            <v>Spain</v>
          </cell>
          <cell r="E15">
            <v>3072</v>
          </cell>
          <cell r="F15">
            <v>1</v>
          </cell>
        </row>
        <row r="16">
          <cell r="C16" t="str">
            <v>斯洛伐克</v>
          </cell>
          <cell r="D16" t="str">
            <v>Slovakia</v>
          </cell>
          <cell r="E16">
            <v>2647</v>
          </cell>
          <cell r="F16">
            <v>2</v>
          </cell>
        </row>
        <row r="17">
          <cell r="C17" t="str">
            <v>義大利</v>
          </cell>
          <cell r="D17" t="str">
            <v>Italy</v>
          </cell>
          <cell r="E17">
            <v>2581</v>
          </cell>
          <cell r="F17">
            <v>2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  <row r="3">
          <cell r="C3" t="str">
            <v>美國</v>
          </cell>
          <cell r="D3" t="str">
            <v>United States</v>
          </cell>
          <cell r="E3">
            <v>44739526</v>
          </cell>
          <cell r="F3">
            <v>46688469</v>
          </cell>
          <cell r="G3">
            <v>72176</v>
          </cell>
          <cell r="H3">
            <v>47446</v>
          </cell>
        </row>
        <row r="4">
          <cell r="C4" t="str">
            <v>荷蘭</v>
          </cell>
          <cell r="D4" t="str">
            <v>Netherlands</v>
          </cell>
          <cell r="E4">
            <v>10839495</v>
          </cell>
          <cell r="F4">
            <v>22492749</v>
          </cell>
          <cell r="G4">
            <v>10482</v>
          </cell>
          <cell r="H4">
            <v>20352</v>
          </cell>
        </row>
        <row r="5">
          <cell r="C5" t="str">
            <v>澳大利亞</v>
          </cell>
          <cell r="D5" t="str">
            <v>Australia</v>
          </cell>
          <cell r="E5">
            <v>8478700</v>
          </cell>
          <cell r="F5">
            <v>9472448</v>
          </cell>
          <cell r="G5">
            <v>10980</v>
          </cell>
          <cell r="H5">
            <v>6564</v>
          </cell>
        </row>
        <row r="6">
          <cell r="C6" t="str">
            <v>英國</v>
          </cell>
          <cell r="D6" t="str">
            <v>United Kingdom</v>
          </cell>
          <cell r="E6">
            <v>5857504</v>
          </cell>
          <cell r="F6">
            <v>7936304</v>
          </cell>
          <cell r="G6">
            <v>11331</v>
          </cell>
          <cell r="H6">
            <v>11699</v>
          </cell>
        </row>
        <row r="7">
          <cell r="C7" t="str">
            <v>加拿大</v>
          </cell>
          <cell r="D7" t="str">
            <v>Canada</v>
          </cell>
          <cell r="E7">
            <v>3458264</v>
          </cell>
          <cell r="F7">
            <v>7442615</v>
          </cell>
          <cell r="G7">
            <v>3785</v>
          </cell>
          <cell r="H7">
            <v>5903</v>
          </cell>
        </row>
        <row r="8">
          <cell r="C8" t="str">
            <v>中國大陸</v>
          </cell>
          <cell r="D8" t="str">
            <v>China</v>
          </cell>
          <cell r="E8">
            <v>1787811</v>
          </cell>
          <cell r="F8">
            <v>6956764</v>
          </cell>
          <cell r="G8">
            <v>1350</v>
          </cell>
          <cell r="H8">
            <v>8772</v>
          </cell>
        </row>
        <row r="9">
          <cell r="C9" t="str">
            <v>德國</v>
          </cell>
          <cell r="D9" t="str">
            <v>Germany</v>
          </cell>
          <cell r="E9">
            <v>1312370</v>
          </cell>
          <cell r="F9">
            <v>5630719</v>
          </cell>
          <cell r="G9">
            <v>5061</v>
          </cell>
          <cell r="H9">
            <v>12264</v>
          </cell>
        </row>
        <row r="10">
          <cell r="C10" t="str">
            <v>日本</v>
          </cell>
          <cell r="D10" t="str">
            <v>Japan</v>
          </cell>
          <cell r="E10">
            <v>3803361</v>
          </cell>
          <cell r="F10">
            <v>5216766</v>
          </cell>
          <cell r="G10">
            <v>4494</v>
          </cell>
          <cell r="H10">
            <v>5610</v>
          </cell>
        </row>
        <row r="11">
          <cell r="C11" t="str">
            <v>法國</v>
          </cell>
          <cell r="D11" t="str">
            <v>France</v>
          </cell>
          <cell r="E11">
            <v>822168</v>
          </cell>
          <cell r="F11">
            <v>4657126</v>
          </cell>
          <cell r="G11">
            <v>942</v>
          </cell>
          <cell r="H11">
            <v>6102</v>
          </cell>
        </row>
        <row r="12">
          <cell r="C12" t="str">
            <v>比利時</v>
          </cell>
          <cell r="D12" t="str">
            <v>Belgium</v>
          </cell>
          <cell r="E12">
            <v>4924735</v>
          </cell>
          <cell r="F12">
            <v>4005163</v>
          </cell>
          <cell r="G12">
            <v>9228</v>
          </cell>
          <cell r="H12">
            <v>1884</v>
          </cell>
        </row>
        <row r="13">
          <cell r="C13" t="str">
            <v>韓國</v>
          </cell>
          <cell r="D13" t="str">
            <v>Republic of Korea</v>
          </cell>
          <cell r="E13">
            <v>5397723</v>
          </cell>
          <cell r="F13">
            <v>3744934</v>
          </cell>
          <cell r="G13">
            <v>4901</v>
          </cell>
          <cell r="H13">
            <v>3797</v>
          </cell>
        </row>
        <row r="14">
          <cell r="C14" t="str">
            <v>義大利</v>
          </cell>
          <cell r="D14" t="str">
            <v>Italy</v>
          </cell>
          <cell r="E14">
            <v>1878010</v>
          </cell>
          <cell r="F14">
            <v>3185035</v>
          </cell>
          <cell r="G14">
            <v>1258</v>
          </cell>
          <cell r="H14">
            <v>1500</v>
          </cell>
        </row>
        <row r="15">
          <cell r="C15" t="str">
            <v>西班牙</v>
          </cell>
          <cell r="D15" t="str">
            <v>Spain</v>
          </cell>
          <cell r="E15">
            <v>48715</v>
          </cell>
          <cell r="F15">
            <v>3017123</v>
          </cell>
          <cell r="G15">
            <v>164</v>
          </cell>
          <cell r="H15">
            <v>3784</v>
          </cell>
        </row>
        <row r="16">
          <cell r="C16" t="str">
            <v>紐西蘭</v>
          </cell>
          <cell r="D16" t="str">
            <v>New Zealand</v>
          </cell>
          <cell r="E16">
            <v>2259492</v>
          </cell>
          <cell r="F16">
            <v>2489574</v>
          </cell>
          <cell r="G16">
            <v>1889</v>
          </cell>
          <cell r="H16">
            <v>1622</v>
          </cell>
        </row>
        <row r="17">
          <cell r="C17" t="str">
            <v>挪威</v>
          </cell>
          <cell r="D17" t="str">
            <v>Norway</v>
          </cell>
          <cell r="E17">
            <v>571538</v>
          </cell>
          <cell r="F17">
            <v>2083857</v>
          </cell>
          <cell r="G17">
            <v>598</v>
          </cell>
          <cell r="H17">
            <v>7229</v>
          </cell>
        </row>
        <row r="18">
          <cell r="C18" t="str">
            <v>墨西哥</v>
          </cell>
          <cell r="D18" t="str">
            <v>Mexico</v>
          </cell>
          <cell r="E18">
            <v>840037</v>
          </cell>
          <cell r="F18">
            <v>1993103</v>
          </cell>
          <cell r="G18">
            <v>861</v>
          </cell>
          <cell r="H18">
            <v>1354</v>
          </cell>
        </row>
        <row r="19">
          <cell r="C19" t="str">
            <v>巴拿馬</v>
          </cell>
          <cell r="D19" t="str">
            <v>Panama</v>
          </cell>
          <cell r="E19">
            <v>430670</v>
          </cell>
          <cell r="F19">
            <v>1449510</v>
          </cell>
          <cell r="G19">
            <v>302</v>
          </cell>
          <cell r="H19">
            <v>692</v>
          </cell>
        </row>
        <row r="20">
          <cell r="C20" t="str">
            <v>瑞士</v>
          </cell>
          <cell r="D20" t="str">
            <v>Switzerland</v>
          </cell>
          <cell r="E20">
            <v>1740505</v>
          </cell>
          <cell r="F20">
            <v>1391535</v>
          </cell>
          <cell r="G20">
            <v>999</v>
          </cell>
          <cell r="H20">
            <v>1324</v>
          </cell>
        </row>
        <row r="21">
          <cell r="C21" t="str">
            <v>智利</v>
          </cell>
          <cell r="D21" t="str">
            <v>Chile</v>
          </cell>
          <cell r="E21">
            <v>759565</v>
          </cell>
          <cell r="F21">
            <v>1253497</v>
          </cell>
          <cell r="G21">
            <v>628</v>
          </cell>
          <cell r="H21">
            <v>884</v>
          </cell>
        </row>
        <row r="22">
          <cell r="C22" t="str">
            <v>南非</v>
          </cell>
          <cell r="D22" t="str">
            <v>South Africa</v>
          </cell>
          <cell r="E22">
            <v>1410597</v>
          </cell>
          <cell r="F22">
            <v>1215230</v>
          </cell>
          <cell r="G22">
            <v>996</v>
          </cell>
          <cell r="H22">
            <v>510</v>
          </cell>
        </row>
        <row r="23">
          <cell r="C23" t="str">
            <v>巴西</v>
          </cell>
          <cell r="D23" t="str">
            <v>Brazil</v>
          </cell>
          <cell r="E23">
            <v>123798</v>
          </cell>
          <cell r="F23">
            <v>1186145</v>
          </cell>
          <cell r="G23">
            <v>136</v>
          </cell>
          <cell r="H23">
            <v>783</v>
          </cell>
        </row>
        <row r="24">
          <cell r="C24" t="str">
            <v>波蘭</v>
          </cell>
          <cell r="D24" t="str">
            <v>Poland</v>
          </cell>
          <cell r="E24">
            <v>216168</v>
          </cell>
          <cell r="F24">
            <v>1098009</v>
          </cell>
          <cell r="G24">
            <v>822</v>
          </cell>
          <cell r="H24">
            <v>2149</v>
          </cell>
        </row>
        <row r="25">
          <cell r="C25" t="str">
            <v>以色列</v>
          </cell>
          <cell r="D25" t="str">
            <v>Israel</v>
          </cell>
          <cell r="E25">
            <v>950016</v>
          </cell>
          <cell r="F25">
            <v>780978</v>
          </cell>
          <cell r="G25">
            <v>647</v>
          </cell>
          <cell r="H25">
            <v>615</v>
          </cell>
        </row>
        <row r="26">
          <cell r="C26" t="str">
            <v>秘魯</v>
          </cell>
          <cell r="D26" t="str">
            <v>Peru</v>
          </cell>
          <cell r="E26">
            <v>5570</v>
          </cell>
          <cell r="F26">
            <v>767156</v>
          </cell>
          <cell r="G26">
            <v>11</v>
          </cell>
          <cell r="H26">
            <v>314</v>
          </cell>
        </row>
        <row r="27">
          <cell r="C27" t="str">
            <v>新加坡</v>
          </cell>
          <cell r="D27" t="str">
            <v>Singapore</v>
          </cell>
          <cell r="E27">
            <v>1464050</v>
          </cell>
          <cell r="F27">
            <v>688073</v>
          </cell>
          <cell r="G27">
            <v>1146</v>
          </cell>
          <cell r="H27">
            <v>340</v>
          </cell>
        </row>
        <row r="28">
          <cell r="C28" t="str">
            <v>哥倫比亞</v>
          </cell>
          <cell r="D28" t="str">
            <v>Colombia</v>
          </cell>
          <cell r="E28">
            <v>646148</v>
          </cell>
          <cell r="F28">
            <v>620327</v>
          </cell>
          <cell r="G28">
            <v>530</v>
          </cell>
          <cell r="H28">
            <v>222</v>
          </cell>
        </row>
        <row r="29">
          <cell r="C29" t="str">
            <v>捷克</v>
          </cell>
          <cell r="D29" t="str">
            <v>Czech Republic</v>
          </cell>
          <cell r="E29">
            <v>53780</v>
          </cell>
          <cell r="F29">
            <v>590720</v>
          </cell>
          <cell r="G29">
            <v>248</v>
          </cell>
          <cell r="H29">
            <v>942</v>
          </cell>
        </row>
        <row r="30">
          <cell r="C30" t="str">
            <v>瑞典</v>
          </cell>
          <cell r="D30" t="str">
            <v>Sweden</v>
          </cell>
          <cell r="E30">
            <v>631357</v>
          </cell>
          <cell r="F30">
            <v>544477</v>
          </cell>
          <cell r="G30">
            <v>2618</v>
          </cell>
          <cell r="H30">
            <v>3426</v>
          </cell>
        </row>
        <row r="31">
          <cell r="C31" t="str">
            <v>芬蘭</v>
          </cell>
          <cell r="D31" t="str">
            <v>Finland</v>
          </cell>
          <cell r="E31">
            <v>223834</v>
          </cell>
          <cell r="F31">
            <v>424085</v>
          </cell>
          <cell r="G31">
            <v>460</v>
          </cell>
          <cell r="H31">
            <v>893</v>
          </cell>
        </row>
        <row r="32">
          <cell r="C32" t="str">
            <v>馬來西亞</v>
          </cell>
          <cell r="D32" t="str">
            <v>Malaysia</v>
          </cell>
          <cell r="E32">
            <v>513887</v>
          </cell>
          <cell r="F32">
            <v>391894</v>
          </cell>
          <cell r="G32">
            <v>347</v>
          </cell>
          <cell r="H32">
            <v>218</v>
          </cell>
        </row>
        <row r="33">
          <cell r="C33" t="str">
            <v>丹麥</v>
          </cell>
          <cell r="D33" t="str">
            <v>Denmark</v>
          </cell>
          <cell r="E33">
            <v>702207</v>
          </cell>
          <cell r="F33">
            <v>374510</v>
          </cell>
          <cell r="G33">
            <v>2301</v>
          </cell>
          <cell r="H33">
            <v>810</v>
          </cell>
        </row>
        <row r="34">
          <cell r="C34" t="str">
            <v>泰國</v>
          </cell>
          <cell r="D34" t="str">
            <v>Thailand</v>
          </cell>
          <cell r="E34">
            <v>445786</v>
          </cell>
          <cell r="F34">
            <v>361241</v>
          </cell>
          <cell r="G34">
            <v>271</v>
          </cell>
          <cell r="H34">
            <v>219</v>
          </cell>
        </row>
        <row r="35">
          <cell r="C35" t="str">
            <v>香港</v>
          </cell>
          <cell r="D35" t="str">
            <v>Hong Kong</v>
          </cell>
          <cell r="E35">
            <v>628064</v>
          </cell>
          <cell r="F35">
            <v>319706</v>
          </cell>
          <cell r="G35">
            <v>483</v>
          </cell>
          <cell r="H35">
            <v>248</v>
          </cell>
        </row>
        <row r="36">
          <cell r="C36" t="str">
            <v>匈牙利</v>
          </cell>
          <cell r="D36" t="str">
            <v>Hungary</v>
          </cell>
          <cell r="E36">
            <v>6510</v>
          </cell>
          <cell r="F36">
            <v>236602</v>
          </cell>
          <cell r="G36">
            <v>41</v>
          </cell>
          <cell r="H36">
            <v>467</v>
          </cell>
        </row>
        <row r="37">
          <cell r="C37" t="str">
            <v>厄瓜多</v>
          </cell>
          <cell r="D37" t="str">
            <v>Ecuador</v>
          </cell>
          <cell r="E37">
            <v>75407</v>
          </cell>
          <cell r="F37">
            <v>168006</v>
          </cell>
          <cell r="G37">
            <v>98</v>
          </cell>
          <cell r="H37">
            <v>158</v>
          </cell>
        </row>
        <row r="38">
          <cell r="C38" t="str">
            <v>烏拉圭</v>
          </cell>
          <cell r="D38" t="str">
            <v>Uruguay</v>
          </cell>
          <cell r="E38">
            <v>91139</v>
          </cell>
          <cell r="F38">
            <v>144869</v>
          </cell>
          <cell r="G38">
            <v>70</v>
          </cell>
          <cell r="H38">
            <v>130</v>
          </cell>
        </row>
        <row r="39">
          <cell r="C39" t="str">
            <v>菲律賓</v>
          </cell>
          <cell r="D39" t="str">
            <v>Philippines</v>
          </cell>
          <cell r="E39">
            <v>86653</v>
          </cell>
          <cell r="F39">
            <v>141636</v>
          </cell>
          <cell r="G39">
            <v>153</v>
          </cell>
          <cell r="H39">
            <v>151</v>
          </cell>
        </row>
        <row r="40">
          <cell r="C40" t="str">
            <v>阿拉伯聯合大公國</v>
          </cell>
          <cell r="D40" t="str">
            <v>United Arab Emirates</v>
          </cell>
          <cell r="E40">
            <v>16528</v>
          </cell>
          <cell r="F40">
            <v>129020</v>
          </cell>
          <cell r="G40">
            <v>7</v>
          </cell>
          <cell r="H40">
            <v>90</v>
          </cell>
        </row>
        <row r="41">
          <cell r="C41" t="str">
            <v>哥斯大黎加</v>
          </cell>
          <cell r="D41" t="str">
            <v>Costa Rica</v>
          </cell>
          <cell r="E41">
            <v>452224</v>
          </cell>
          <cell r="F41">
            <v>126078</v>
          </cell>
          <cell r="G41">
            <v>322</v>
          </cell>
          <cell r="H41">
            <v>73</v>
          </cell>
        </row>
        <row r="42">
          <cell r="C42" t="str">
            <v>愛沙尼亞</v>
          </cell>
          <cell r="D42" t="str">
            <v>Estonia</v>
          </cell>
          <cell r="E42">
            <v>5533</v>
          </cell>
          <cell r="F42">
            <v>80752</v>
          </cell>
          <cell r="G42">
            <v>58</v>
          </cell>
          <cell r="H42">
            <v>236</v>
          </cell>
        </row>
        <row r="43">
          <cell r="C43" t="str">
            <v>奧地利</v>
          </cell>
          <cell r="D43" t="str">
            <v>Austria</v>
          </cell>
          <cell r="E43">
            <v>312405</v>
          </cell>
          <cell r="F43">
            <v>73725</v>
          </cell>
          <cell r="G43">
            <v>367</v>
          </cell>
          <cell r="H43">
            <v>29</v>
          </cell>
        </row>
        <row r="44">
          <cell r="C44" t="str">
            <v>蒙古</v>
          </cell>
          <cell r="D44" t="str">
            <v>Mongolia</v>
          </cell>
          <cell r="E44">
            <v>0</v>
          </cell>
          <cell r="F44">
            <v>67418</v>
          </cell>
          <cell r="G44">
            <v>0</v>
          </cell>
          <cell r="H44">
            <v>61</v>
          </cell>
        </row>
        <row r="45">
          <cell r="C45" t="str">
            <v>克羅埃西亞</v>
          </cell>
          <cell r="D45" t="str">
            <v>Croatia</v>
          </cell>
          <cell r="E45">
            <v>56854</v>
          </cell>
          <cell r="F45">
            <v>65785</v>
          </cell>
          <cell r="G45">
            <v>345</v>
          </cell>
          <cell r="H45">
            <v>323</v>
          </cell>
        </row>
        <row r="46">
          <cell r="C46" t="str">
            <v>薩爾瓦多</v>
          </cell>
          <cell r="D46" t="str">
            <v>El Salvador</v>
          </cell>
          <cell r="E46">
            <v>0</v>
          </cell>
          <cell r="F46">
            <v>56046</v>
          </cell>
          <cell r="G46">
            <v>0</v>
          </cell>
          <cell r="H46">
            <v>47</v>
          </cell>
        </row>
        <row r="47">
          <cell r="C47" t="str">
            <v>越南</v>
          </cell>
          <cell r="D47" t="str">
            <v>Viet Nam</v>
          </cell>
          <cell r="E47">
            <v>16745</v>
          </cell>
          <cell r="F47">
            <v>50849</v>
          </cell>
          <cell r="G47">
            <v>9</v>
          </cell>
          <cell r="H47">
            <v>24</v>
          </cell>
        </row>
        <row r="48">
          <cell r="C48" t="str">
            <v>印度</v>
          </cell>
          <cell r="D48" t="str">
            <v>India</v>
          </cell>
          <cell r="E48">
            <v>137396</v>
          </cell>
          <cell r="F48">
            <v>39412</v>
          </cell>
          <cell r="G48">
            <v>103</v>
          </cell>
          <cell r="H48">
            <v>22</v>
          </cell>
        </row>
        <row r="49">
          <cell r="C49" t="str">
            <v>希臘</v>
          </cell>
          <cell r="D49" t="str">
            <v>Greece</v>
          </cell>
          <cell r="E49">
            <v>29078</v>
          </cell>
          <cell r="F49">
            <v>35523</v>
          </cell>
          <cell r="G49">
            <v>374</v>
          </cell>
          <cell r="H49">
            <v>98</v>
          </cell>
        </row>
        <row r="50">
          <cell r="C50" t="str">
            <v>瓜地馬拉</v>
          </cell>
          <cell r="D50" t="str">
            <v>Guatemala</v>
          </cell>
          <cell r="E50">
            <v>61483</v>
          </cell>
          <cell r="F50">
            <v>27451</v>
          </cell>
          <cell r="G50">
            <v>51</v>
          </cell>
          <cell r="H50">
            <v>16</v>
          </cell>
        </row>
        <row r="51">
          <cell r="C51" t="str">
            <v>印尼</v>
          </cell>
          <cell r="D51" t="str">
            <v>Indonesia</v>
          </cell>
          <cell r="E51">
            <v>869655</v>
          </cell>
          <cell r="F51">
            <v>25850</v>
          </cell>
          <cell r="G51">
            <v>704</v>
          </cell>
          <cell r="H51">
            <v>9</v>
          </cell>
        </row>
        <row r="52">
          <cell r="C52" t="str">
            <v>俄羅斯</v>
          </cell>
          <cell r="D52" t="str">
            <v>Russian Federation</v>
          </cell>
          <cell r="E52">
            <v>20976</v>
          </cell>
          <cell r="F52">
            <v>24967</v>
          </cell>
          <cell r="G52">
            <v>130</v>
          </cell>
          <cell r="H52">
            <v>20</v>
          </cell>
        </row>
        <row r="53">
          <cell r="C53" t="str">
            <v>模里西斯</v>
          </cell>
          <cell r="D53" t="str">
            <v>Mauritius</v>
          </cell>
          <cell r="E53">
            <v>0</v>
          </cell>
          <cell r="F53">
            <v>9150</v>
          </cell>
          <cell r="G53">
            <v>0</v>
          </cell>
          <cell r="H53">
            <v>3</v>
          </cell>
        </row>
        <row r="54">
          <cell r="C54" t="str">
            <v>盧森堡</v>
          </cell>
          <cell r="D54" t="str">
            <v>Luxembourg</v>
          </cell>
          <cell r="E54">
            <v>0</v>
          </cell>
          <cell r="F54">
            <v>7582</v>
          </cell>
          <cell r="G54">
            <v>0</v>
          </cell>
          <cell r="H54">
            <v>2</v>
          </cell>
        </row>
        <row r="55">
          <cell r="C55" t="str">
            <v>東加</v>
          </cell>
          <cell r="D55" t="str">
            <v>Tonga</v>
          </cell>
          <cell r="E55">
            <v>0</v>
          </cell>
          <cell r="F55">
            <v>6536</v>
          </cell>
          <cell r="G55">
            <v>0</v>
          </cell>
          <cell r="H55">
            <v>60</v>
          </cell>
        </row>
        <row r="56">
          <cell r="C56" t="str">
            <v>新克里多亞</v>
          </cell>
          <cell r="D56" t="str">
            <v>New Caledonia</v>
          </cell>
          <cell r="E56">
            <v>0</v>
          </cell>
          <cell r="F56">
            <v>6438</v>
          </cell>
          <cell r="G56">
            <v>0</v>
          </cell>
          <cell r="H56">
            <v>2</v>
          </cell>
        </row>
        <row r="57">
          <cell r="C57" t="str">
            <v>阿根廷</v>
          </cell>
          <cell r="D57" t="str">
            <v>Argentina</v>
          </cell>
          <cell r="E57">
            <v>103327</v>
          </cell>
          <cell r="F57">
            <v>3562</v>
          </cell>
          <cell r="G57">
            <v>80</v>
          </cell>
          <cell r="H57">
            <v>1</v>
          </cell>
        </row>
        <row r="58">
          <cell r="C58" t="str">
            <v>保加利亞</v>
          </cell>
          <cell r="D58" t="str">
            <v>Bulgaria</v>
          </cell>
          <cell r="E58">
            <v>6076</v>
          </cell>
          <cell r="F58">
            <v>0</v>
          </cell>
          <cell r="G58">
            <v>30</v>
          </cell>
          <cell r="H58">
            <v>0</v>
          </cell>
        </row>
        <row r="59">
          <cell r="C59" t="str">
            <v>多明尼加</v>
          </cell>
          <cell r="D59" t="str">
            <v>Dominican Republic</v>
          </cell>
          <cell r="E59">
            <v>47993</v>
          </cell>
          <cell r="F59">
            <v>0</v>
          </cell>
          <cell r="G59">
            <v>41</v>
          </cell>
          <cell r="H59">
            <v>0</v>
          </cell>
        </row>
        <row r="60">
          <cell r="C60" t="str">
            <v>拉脫維亞</v>
          </cell>
          <cell r="D60" t="str">
            <v>Latvia</v>
          </cell>
          <cell r="E60">
            <v>37505</v>
          </cell>
          <cell r="F60">
            <v>0</v>
          </cell>
          <cell r="G60">
            <v>179</v>
          </cell>
          <cell r="H60">
            <v>0</v>
          </cell>
        </row>
        <row r="61">
          <cell r="C61" t="str">
            <v>立陶宛</v>
          </cell>
          <cell r="D61" t="str">
            <v>Lithuania</v>
          </cell>
          <cell r="E61">
            <v>60289</v>
          </cell>
          <cell r="F61">
            <v>0</v>
          </cell>
          <cell r="G61">
            <v>253</v>
          </cell>
          <cell r="H61">
            <v>0</v>
          </cell>
        </row>
        <row r="62">
          <cell r="C62" t="str">
            <v>關島</v>
          </cell>
          <cell r="D62" t="str">
            <v>Guam</v>
          </cell>
          <cell r="E62">
            <v>146619</v>
          </cell>
          <cell r="F62">
            <v>0</v>
          </cell>
          <cell r="G62">
            <v>82</v>
          </cell>
          <cell r="H62">
            <v>0</v>
          </cell>
        </row>
        <row r="63">
          <cell r="C63" t="str">
            <v>尼泊爾</v>
          </cell>
          <cell r="D63" t="str">
            <v>Nepal</v>
          </cell>
          <cell r="E63">
            <v>15262</v>
          </cell>
          <cell r="F63">
            <v>0</v>
          </cell>
          <cell r="G63">
            <v>8</v>
          </cell>
          <cell r="H63">
            <v>0</v>
          </cell>
        </row>
        <row r="64">
          <cell r="C64" t="str">
            <v>馬爾他</v>
          </cell>
          <cell r="D64" t="str">
            <v>Malta</v>
          </cell>
          <cell r="E64">
            <v>9005</v>
          </cell>
          <cell r="F64">
            <v>0</v>
          </cell>
          <cell r="G64">
            <v>52</v>
          </cell>
          <cell r="H64">
            <v>0</v>
          </cell>
        </row>
        <row r="65">
          <cell r="C65" t="str">
            <v>沙烏地阿拉伯</v>
          </cell>
          <cell r="D65" t="str">
            <v>Saudi Arabia</v>
          </cell>
          <cell r="E65">
            <v>66438</v>
          </cell>
          <cell r="F65">
            <v>0</v>
          </cell>
          <cell r="G65">
            <v>380</v>
          </cell>
          <cell r="H65">
            <v>0</v>
          </cell>
        </row>
        <row r="66">
          <cell r="C66" t="str">
            <v>羅馬尼亞</v>
          </cell>
          <cell r="D66" t="str">
            <v>Romania</v>
          </cell>
          <cell r="E66">
            <v>6148</v>
          </cell>
          <cell r="F66">
            <v>0</v>
          </cell>
          <cell r="G66">
            <v>51</v>
          </cell>
          <cell r="H66">
            <v>0</v>
          </cell>
        </row>
        <row r="67">
          <cell r="C67" t="str">
            <v>烏克蘭</v>
          </cell>
          <cell r="D67" t="str">
            <v>Ukraine</v>
          </cell>
          <cell r="E67">
            <v>36817</v>
          </cell>
          <cell r="F67">
            <v>0</v>
          </cell>
          <cell r="G67">
            <v>212</v>
          </cell>
          <cell r="H67">
            <v>0</v>
          </cell>
        </row>
        <row r="68">
          <cell r="C68" t="str">
            <v>斯洛維尼亞</v>
          </cell>
          <cell r="D68" t="str">
            <v>Slovenia</v>
          </cell>
          <cell r="E68">
            <v>10561</v>
          </cell>
          <cell r="F68">
            <v>0</v>
          </cell>
          <cell r="G68">
            <v>55</v>
          </cell>
          <cell r="H68">
            <v>0</v>
          </cell>
        </row>
        <row r="69">
          <cell r="C69" t="str">
            <v>斯洛伐克</v>
          </cell>
          <cell r="D69" t="str">
            <v>Slovakia</v>
          </cell>
          <cell r="E69">
            <v>6221</v>
          </cell>
          <cell r="F69">
            <v>0</v>
          </cell>
          <cell r="G69">
            <v>50</v>
          </cell>
          <cell r="H69">
            <v>0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27507813</v>
          </cell>
          <cell r="F3">
            <v>59692189</v>
          </cell>
          <cell r="G3">
            <v>21126</v>
          </cell>
        </row>
        <row r="4">
          <cell r="C4" t="str">
            <v>美國</v>
          </cell>
          <cell r="D4" t="str">
            <v>United States</v>
          </cell>
          <cell r="E4">
            <v>47136779</v>
          </cell>
          <cell r="F4">
            <v>36713037</v>
          </cell>
          <cell r="G4">
            <v>30608</v>
          </cell>
        </row>
        <row r="5">
          <cell r="C5" t="str">
            <v>英國</v>
          </cell>
          <cell r="D5" t="str">
            <v>United Kingdom</v>
          </cell>
          <cell r="E5">
            <v>6494141</v>
          </cell>
          <cell r="F5">
            <v>9848953</v>
          </cell>
          <cell r="G5">
            <v>4220</v>
          </cell>
        </row>
        <row r="6">
          <cell r="C6" t="str">
            <v>德國</v>
          </cell>
          <cell r="D6" t="str">
            <v>Germany</v>
          </cell>
          <cell r="E6">
            <v>7604844</v>
          </cell>
          <cell r="F6">
            <v>8690326</v>
          </cell>
          <cell r="G6">
            <v>9631</v>
          </cell>
        </row>
        <row r="7">
          <cell r="C7" t="str">
            <v>加拿大</v>
          </cell>
          <cell r="D7" t="str">
            <v>Canada</v>
          </cell>
          <cell r="E7">
            <v>3307162</v>
          </cell>
          <cell r="F7">
            <v>5956831</v>
          </cell>
          <cell r="G7">
            <v>1594</v>
          </cell>
        </row>
        <row r="8">
          <cell r="C8" t="str">
            <v>法國</v>
          </cell>
          <cell r="D8" t="str">
            <v>France</v>
          </cell>
          <cell r="E8">
            <v>1277360</v>
          </cell>
          <cell r="F8">
            <v>5152909</v>
          </cell>
          <cell r="G8">
            <v>1104</v>
          </cell>
        </row>
        <row r="9">
          <cell r="C9" t="str">
            <v>澳大利亞</v>
          </cell>
          <cell r="D9" t="str">
            <v>Australia</v>
          </cell>
          <cell r="E9">
            <v>2625967</v>
          </cell>
          <cell r="F9">
            <v>4671078</v>
          </cell>
          <cell r="G9">
            <v>1303</v>
          </cell>
        </row>
        <row r="10">
          <cell r="C10" t="str">
            <v>義大利</v>
          </cell>
          <cell r="D10" t="str">
            <v>Italy</v>
          </cell>
          <cell r="E10">
            <v>2313671</v>
          </cell>
          <cell r="F10">
            <v>4128888</v>
          </cell>
          <cell r="G10">
            <v>1087</v>
          </cell>
        </row>
        <row r="11">
          <cell r="C11" t="str">
            <v>瑞士</v>
          </cell>
          <cell r="D11" t="str">
            <v>Switzerland</v>
          </cell>
          <cell r="E11">
            <v>1782459</v>
          </cell>
          <cell r="F11">
            <v>3645098</v>
          </cell>
          <cell r="G11">
            <v>1222</v>
          </cell>
        </row>
        <row r="12">
          <cell r="C12" t="str">
            <v>挪威</v>
          </cell>
          <cell r="D12" t="str">
            <v>Norway</v>
          </cell>
          <cell r="E12">
            <v>53128</v>
          </cell>
          <cell r="F12">
            <v>3406405</v>
          </cell>
          <cell r="G12">
            <v>28</v>
          </cell>
        </row>
        <row r="13">
          <cell r="C13" t="str">
            <v>比利時</v>
          </cell>
          <cell r="D13" t="str">
            <v>Belgium</v>
          </cell>
          <cell r="E13">
            <v>0</v>
          </cell>
          <cell r="F13">
            <v>2645523</v>
          </cell>
          <cell r="G13">
            <v>0</v>
          </cell>
        </row>
        <row r="14">
          <cell r="C14" t="str">
            <v>紐西蘭</v>
          </cell>
          <cell r="D14" t="str">
            <v>New Zealand</v>
          </cell>
          <cell r="E14">
            <v>2256600</v>
          </cell>
          <cell r="F14">
            <v>2334641</v>
          </cell>
          <cell r="G14">
            <v>1010</v>
          </cell>
        </row>
        <row r="15">
          <cell r="C15" t="str">
            <v>奧地利</v>
          </cell>
          <cell r="D15" t="str">
            <v>Austria</v>
          </cell>
          <cell r="E15">
            <v>0</v>
          </cell>
          <cell r="F15">
            <v>2214280</v>
          </cell>
          <cell r="G15">
            <v>0</v>
          </cell>
        </row>
        <row r="16">
          <cell r="C16" t="str">
            <v>西班牙</v>
          </cell>
          <cell r="D16" t="str">
            <v>Spain</v>
          </cell>
          <cell r="E16">
            <v>308318</v>
          </cell>
          <cell r="F16">
            <v>1659510</v>
          </cell>
          <cell r="G16">
            <v>140</v>
          </cell>
        </row>
        <row r="17">
          <cell r="C17" t="str">
            <v>丹麥</v>
          </cell>
          <cell r="D17" t="str">
            <v>Denmark</v>
          </cell>
          <cell r="E17">
            <v>988355</v>
          </cell>
          <cell r="F17">
            <v>1136438</v>
          </cell>
          <cell r="G17">
            <v>730</v>
          </cell>
        </row>
        <row r="18">
          <cell r="C18" t="str">
            <v>韓國</v>
          </cell>
          <cell r="D18" t="str">
            <v>Republic of Korea</v>
          </cell>
          <cell r="E18">
            <v>544449</v>
          </cell>
          <cell r="F18">
            <v>1114968</v>
          </cell>
          <cell r="G18">
            <v>207</v>
          </cell>
        </row>
        <row r="19">
          <cell r="C19" t="str">
            <v>日本</v>
          </cell>
          <cell r="D19" t="str">
            <v>Japan</v>
          </cell>
          <cell r="E19">
            <v>889148</v>
          </cell>
          <cell r="F19">
            <v>847876</v>
          </cell>
          <cell r="G19">
            <v>847</v>
          </cell>
        </row>
        <row r="20">
          <cell r="C20" t="str">
            <v>捷克</v>
          </cell>
          <cell r="D20" t="str">
            <v>Czech Republic</v>
          </cell>
          <cell r="E20">
            <v>53743</v>
          </cell>
          <cell r="F20">
            <v>757450</v>
          </cell>
          <cell r="G20">
            <v>183</v>
          </cell>
        </row>
        <row r="21">
          <cell r="C21" t="str">
            <v>波蘭</v>
          </cell>
          <cell r="D21" t="str">
            <v>Poland</v>
          </cell>
          <cell r="E21">
            <v>266003</v>
          </cell>
          <cell r="F21">
            <v>625327</v>
          </cell>
          <cell r="G21">
            <v>297</v>
          </cell>
        </row>
        <row r="22">
          <cell r="C22" t="str">
            <v>瑞典</v>
          </cell>
          <cell r="D22" t="str">
            <v>Sweden</v>
          </cell>
          <cell r="E22">
            <v>0</v>
          </cell>
          <cell r="F22">
            <v>511894</v>
          </cell>
          <cell r="G22">
            <v>0</v>
          </cell>
        </row>
        <row r="23">
          <cell r="C23" t="str">
            <v>智利</v>
          </cell>
          <cell r="D23" t="str">
            <v>Chile</v>
          </cell>
          <cell r="E23">
            <v>391429</v>
          </cell>
          <cell r="F23">
            <v>392875</v>
          </cell>
          <cell r="G23">
            <v>166</v>
          </cell>
        </row>
        <row r="24">
          <cell r="C24" t="str">
            <v>南非</v>
          </cell>
          <cell r="D24" t="str">
            <v>South Africa</v>
          </cell>
          <cell r="E24">
            <v>262930</v>
          </cell>
          <cell r="F24">
            <v>328039</v>
          </cell>
          <cell r="G24">
            <v>107</v>
          </cell>
        </row>
        <row r="25">
          <cell r="C25" t="str">
            <v>哥倫比亞</v>
          </cell>
          <cell r="D25" t="str">
            <v>Colombia</v>
          </cell>
          <cell r="E25">
            <v>0</v>
          </cell>
          <cell r="F25">
            <v>215654</v>
          </cell>
          <cell r="G25">
            <v>0</v>
          </cell>
        </row>
        <row r="26">
          <cell r="C26" t="str">
            <v>以色列</v>
          </cell>
          <cell r="D26" t="str">
            <v>Israel</v>
          </cell>
          <cell r="E26">
            <v>420977</v>
          </cell>
          <cell r="F26">
            <v>136209</v>
          </cell>
          <cell r="G26">
            <v>148</v>
          </cell>
        </row>
        <row r="27">
          <cell r="C27" t="str">
            <v>芬蘭</v>
          </cell>
          <cell r="D27" t="str">
            <v>Finland</v>
          </cell>
          <cell r="E27">
            <v>164123</v>
          </cell>
          <cell r="F27">
            <v>131961</v>
          </cell>
          <cell r="G27">
            <v>280</v>
          </cell>
        </row>
        <row r="28">
          <cell r="C28" t="str">
            <v>中國大陸</v>
          </cell>
          <cell r="D28" t="str">
            <v>China</v>
          </cell>
          <cell r="E28">
            <v>0</v>
          </cell>
          <cell r="F28">
            <v>108823</v>
          </cell>
          <cell r="G28">
            <v>0</v>
          </cell>
        </row>
        <row r="29">
          <cell r="C29" t="str">
            <v>哥斯大黎加</v>
          </cell>
          <cell r="D29" t="str">
            <v>Costa Rica</v>
          </cell>
          <cell r="E29">
            <v>0</v>
          </cell>
          <cell r="F29">
            <v>36797</v>
          </cell>
          <cell r="G29">
            <v>0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14069</v>
          </cell>
          <cell r="F30">
            <v>36209</v>
          </cell>
          <cell r="G30">
            <v>16</v>
          </cell>
        </row>
        <row r="31">
          <cell r="C31" t="str">
            <v>巴西</v>
          </cell>
          <cell r="D31" t="str">
            <v>Brazil</v>
          </cell>
          <cell r="E31">
            <v>720072</v>
          </cell>
          <cell r="F31">
            <v>24673</v>
          </cell>
          <cell r="G31">
            <v>263</v>
          </cell>
        </row>
        <row r="32">
          <cell r="C32" t="str">
            <v>菲律賓</v>
          </cell>
          <cell r="D32" t="str">
            <v>Philippines</v>
          </cell>
          <cell r="E32">
            <v>45244</v>
          </cell>
          <cell r="F32">
            <v>2092</v>
          </cell>
          <cell r="G32">
            <v>11</v>
          </cell>
        </row>
        <row r="33">
          <cell r="C33" t="str">
            <v>烏拉圭</v>
          </cell>
          <cell r="D33" t="str">
            <v>Uruguay</v>
          </cell>
          <cell r="E33">
            <v>0</v>
          </cell>
          <cell r="F33">
            <v>1078</v>
          </cell>
          <cell r="G33">
            <v>0</v>
          </cell>
        </row>
        <row r="34">
          <cell r="C34" t="str">
            <v>新加坡</v>
          </cell>
          <cell r="D34" t="str">
            <v>Singapore</v>
          </cell>
          <cell r="E34">
            <v>103146</v>
          </cell>
          <cell r="F34">
            <v>0</v>
          </cell>
          <cell r="G34">
            <v>41</v>
          </cell>
        </row>
        <row r="35">
          <cell r="C35" t="str">
            <v>墨西哥</v>
          </cell>
          <cell r="D35" t="str">
            <v>Mexico</v>
          </cell>
          <cell r="E35">
            <v>927739</v>
          </cell>
          <cell r="F35">
            <v>0</v>
          </cell>
          <cell r="G35">
            <v>375</v>
          </cell>
        </row>
        <row r="36">
          <cell r="C36" t="str">
            <v>馬來西亞</v>
          </cell>
          <cell r="D36" t="str">
            <v>Malaysia</v>
          </cell>
          <cell r="E36">
            <v>109656</v>
          </cell>
          <cell r="F36">
            <v>0</v>
          </cell>
          <cell r="G36">
            <v>37</v>
          </cell>
        </row>
        <row r="37">
          <cell r="C37" t="str">
            <v>巴拿馬</v>
          </cell>
          <cell r="D37" t="str">
            <v>Panama</v>
          </cell>
          <cell r="E37">
            <v>671646</v>
          </cell>
          <cell r="F37">
            <v>0</v>
          </cell>
          <cell r="G37">
            <v>264</v>
          </cell>
        </row>
        <row r="38">
          <cell r="C38" t="str">
            <v>多明尼加</v>
          </cell>
          <cell r="D38" t="str">
            <v>Dominican Republic</v>
          </cell>
          <cell r="E38">
            <v>26763</v>
          </cell>
          <cell r="F38">
            <v>0</v>
          </cell>
          <cell r="G38">
            <v>12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3007371</v>
          </cell>
          <cell r="C10">
            <v>19816</v>
          </cell>
        </row>
        <row r="11">
          <cell r="A11" t="str">
            <v>中國大陸</v>
          </cell>
          <cell r="B11">
            <v>2650864</v>
          </cell>
          <cell r="C11">
            <v>19523</v>
          </cell>
        </row>
        <row r="12">
          <cell r="A12" t="str">
            <v>越南</v>
          </cell>
          <cell r="B12">
            <v>207265</v>
          </cell>
          <cell r="C12">
            <v>206</v>
          </cell>
        </row>
        <row r="13">
          <cell r="A13" t="str">
            <v>英國</v>
          </cell>
          <cell r="B13">
            <v>127759</v>
          </cell>
          <cell r="C13">
            <v>64</v>
          </cell>
        </row>
        <row r="14">
          <cell r="A14" t="str">
            <v>德國</v>
          </cell>
          <cell r="B14">
            <v>16874</v>
          </cell>
          <cell r="C14">
            <v>3</v>
          </cell>
        </row>
        <row r="15">
          <cell r="A15" t="str">
            <v>柬埔寨</v>
          </cell>
          <cell r="B15">
            <v>2858</v>
          </cell>
          <cell r="C15">
            <v>3</v>
          </cell>
        </row>
        <row r="16">
          <cell r="A16" t="str">
            <v>日本</v>
          </cell>
          <cell r="B16">
            <v>1082</v>
          </cell>
          <cell r="C16">
            <v>13</v>
          </cell>
        </row>
        <row r="17">
          <cell r="A17" t="str">
            <v>中華民國</v>
          </cell>
          <cell r="B17">
            <v>334</v>
          </cell>
          <cell r="C17">
            <v>1</v>
          </cell>
        </row>
        <row r="18">
          <cell r="A18" t="str">
            <v>美國</v>
          </cell>
          <cell r="B18">
            <v>122</v>
          </cell>
          <cell r="C18">
            <v>1</v>
          </cell>
        </row>
        <row r="19">
          <cell r="A19" t="str">
            <v>義大利</v>
          </cell>
          <cell r="B19">
            <v>122</v>
          </cell>
          <cell r="C19">
            <v>1</v>
          </cell>
        </row>
        <row r="20">
          <cell r="A20" t="str">
            <v>法國</v>
          </cell>
          <cell r="B20">
            <v>91</v>
          </cell>
          <cell r="C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50191119</v>
          </cell>
          <cell r="C3">
            <v>22972</v>
          </cell>
        </row>
        <row r="4">
          <cell r="A4" t="str">
            <v>美國</v>
          </cell>
          <cell r="B4">
            <v>26361814</v>
          </cell>
          <cell r="C4">
            <v>10392</v>
          </cell>
        </row>
        <row r="5">
          <cell r="A5" t="str">
            <v>荷蘭</v>
          </cell>
          <cell r="B5">
            <v>11704894</v>
          </cell>
          <cell r="C5">
            <v>5353</v>
          </cell>
        </row>
        <row r="6">
          <cell r="A6" t="str">
            <v>德國</v>
          </cell>
          <cell r="B6">
            <v>4360351</v>
          </cell>
          <cell r="C6">
            <v>3180</v>
          </cell>
        </row>
        <row r="7">
          <cell r="A7" t="str">
            <v>澳大利亞</v>
          </cell>
          <cell r="B7">
            <v>1561812</v>
          </cell>
          <cell r="C7">
            <v>679</v>
          </cell>
        </row>
        <row r="8">
          <cell r="A8" t="str">
            <v>英國</v>
          </cell>
          <cell r="B8">
            <v>1437277</v>
          </cell>
          <cell r="C8">
            <v>663</v>
          </cell>
        </row>
        <row r="9">
          <cell r="A9" t="str">
            <v>加拿大</v>
          </cell>
          <cell r="B9">
            <v>1016782</v>
          </cell>
          <cell r="C9">
            <v>369</v>
          </cell>
        </row>
        <row r="10">
          <cell r="A10" t="str">
            <v>義大利</v>
          </cell>
          <cell r="B10">
            <v>635634</v>
          </cell>
          <cell r="C10">
            <v>277</v>
          </cell>
        </row>
        <row r="11">
          <cell r="A11" t="str">
            <v>挪威</v>
          </cell>
          <cell r="B11">
            <v>574155</v>
          </cell>
          <cell r="C11">
            <v>320</v>
          </cell>
        </row>
        <row r="12">
          <cell r="A12" t="str">
            <v>南非</v>
          </cell>
          <cell r="B12">
            <v>527424</v>
          </cell>
          <cell r="C12">
            <v>176</v>
          </cell>
        </row>
        <row r="13">
          <cell r="A13" t="str">
            <v>瑞士</v>
          </cell>
          <cell r="B13">
            <v>485862</v>
          </cell>
          <cell r="C13">
            <v>225</v>
          </cell>
        </row>
        <row r="14">
          <cell r="A14" t="str">
            <v>紐西蘭</v>
          </cell>
          <cell r="B14">
            <v>464244</v>
          </cell>
          <cell r="C14">
            <v>202</v>
          </cell>
        </row>
        <row r="15">
          <cell r="A15" t="str">
            <v>瑞典</v>
          </cell>
          <cell r="B15">
            <v>236272</v>
          </cell>
          <cell r="C15">
            <v>620</v>
          </cell>
        </row>
        <row r="16">
          <cell r="A16" t="str">
            <v>日本</v>
          </cell>
          <cell r="B16">
            <v>162055</v>
          </cell>
          <cell r="C16">
            <v>223</v>
          </cell>
        </row>
        <row r="17">
          <cell r="A17" t="str">
            <v>丹麥</v>
          </cell>
          <cell r="B17">
            <v>154941</v>
          </cell>
          <cell r="C17">
            <v>79</v>
          </cell>
        </row>
        <row r="18">
          <cell r="A18" t="str">
            <v>秘魯</v>
          </cell>
          <cell r="B18">
            <v>137428</v>
          </cell>
          <cell r="C18">
            <v>44</v>
          </cell>
        </row>
        <row r="19">
          <cell r="A19" t="str">
            <v>阿根廷</v>
          </cell>
          <cell r="B19">
            <v>123381</v>
          </cell>
          <cell r="C19">
            <v>40</v>
          </cell>
        </row>
        <row r="20">
          <cell r="A20" t="str">
            <v>巴西</v>
          </cell>
          <cell r="B20">
            <v>70538</v>
          </cell>
          <cell r="C20">
            <v>24</v>
          </cell>
        </row>
        <row r="21">
          <cell r="A21" t="str">
            <v>西班牙</v>
          </cell>
          <cell r="B21">
            <v>43752</v>
          </cell>
          <cell r="C21">
            <v>32</v>
          </cell>
        </row>
        <row r="22">
          <cell r="A22" t="str">
            <v>墨西哥</v>
          </cell>
          <cell r="B22">
            <v>43600</v>
          </cell>
          <cell r="C22">
            <v>30</v>
          </cell>
        </row>
        <row r="23">
          <cell r="A23" t="str">
            <v>阿拉伯聯合大公國</v>
          </cell>
          <cell r="B23">
            <v>33992</v>
          </cell>
          <cell r="C23">
            <v>8</v>
          </cell>
        </row>
        <row r="24">
          <cell r="A24" t="str">
            <v>智利</v>
          </cell>
          <cell r="B24">
            <v>18851</v>
          </cell>
          <cell r="C24">
            <v>6</v>
          </cell>
        </row>
        <row r="25">
          <cell r="A25" t="str">
            <v>以色列</v>
          </cell>
          <cell r="B25">
            <v>13287</v>
          </cell>
          <cell r="C25">
            <v>10</v>
          </cell>
        </row>
        <row r="26">
          <cell r="A26" t="str">
            <v>奧地利</v>
          </cell>
          <cell r="B26">
            <v>9395</v>
          </cell>
          <cell r="C26">
            <v>2</v>
          </cell>
        </row>
        <row r="27">
          <cell r="A27" t="str">
            <v>香港</v>
          </cell>
          <cell r="B27">
            <v>7571</v>
          </cell>
          <cell r="C27">
            <v>15</v>
          </cell>
        </row>
        <row r="28">
          <cell r="A28" t="str">
            <v>摩洛哥</v>
          </cell>
          <cell r="B28">
            <v>4834</v>
          </cell>
          <cell r="C28">
            <v>1</v>
          </cell>
        </row>
        <row r="29">
          <cell r="A29" t="str">
            <v>菲律賓</v>
          </cell>
          <cell r="B29">
            <v>973</v>
          </cell>
          <cell r="C29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61322914</v>
          </cell>
          <cell r="C10">
            <v>31988</v>
          </cell>
        </row>
        <row r="11">
          <cell r="A11" t="str">
            <v>美國</v>
          </cell>
          <cell r="B11">
            <v>23327251</v>
          </cell>
          <cell r="C11">
            <v>11220</v>
          </cell>
        </row>
        <row r="12">
          <cell r="A12" t="str">
            <v>荷蘭</v>
          </cell>
          <cell r="B12">
            <v>20345469</v>
          </cell>
          <cell r="C12">
            <v>10555</v>
          </cell>
        </row>
        <row r="13">
          <cell r="A13" t="str">
            <v>英國</v>
          </cell>
          <cell r="B13">
            <v>2851287</v>
          </cell>
          <cell r="C13">
            <v>1427</v>
          </cell>
        </row>
        <row r="14">
          <cell r="A14" t="str">
            <v>德國</v>
          </cell>
          <cell r="B14">
            <v>2791582</v>
          </cell>
          <cell r="C14">
            <v>2281</v>
          </cell>
        </row>
        <row r="15">
          <cell r="A15" t="str">
            <v>加拿大</v>
          </cell>
          <cell r="B15">
            <v>1705943</v>
          </cell>
          <cell r="C15">
            <v>784</v>
          </cell>
        </row>
        <row r="16">
          <cell r="A16" t="str">
            <v>瑞士</v>
          </cell>
          <cell r="B16">
            <v>1679661</v>
          </cell>
          <cell r="C16">
            <v>962</v>
          </cell>
        </row>
        <row r="17">
          <cell r="A17" t="str">
            <v>巴拿馬</v>
          </cell>
          <cell r="B17">
            <v>1122622</v>
          </cell>
          <cell r="C17">
            <v>487</v>
          </cell>
        </row>
        <row r="18">
          <cell r="A18" t="str">
            <v>義大利</v>
          </cell>
          <cell r="B18">
            <v>991484</v>
          </cell>
          <cell r="C18">
            <v>497</v>
          </cell>
        </row>
        <row r="19">
          <cell r="A19" t="str">
            <v>法國</v>
          </cell>
          <cell r="B19">
            <v>883643</v>
          </cell>
          <cell r="C19">
            <v>800</v>
          </cell>
        </row>
        <row r="20">
          <cell r="A20" t="str">
            <v>西班牙</v>
          </cell>
          <cell r="B20">
            <v>761375</v>
          </cell>
          <cell r="C20">
            <v>358</v>
          </cell>
        </row>
        <row r="21">
          <cell r="A21" t="str">
            <v>丹麥</v>
          </cell>
          <cell r="B21">
            <v>750032</v>
          </cell>
          <cell r="C21">
            <v>373</v>
          </cell>
        </row>
        <row r="22">
          <cell r="A22" t="str">
            <v>紐西蘭</v>
          </cell>
          <cell r="B22">
            <v>722911</v>
          </cell>
          <cell r="C22">
            <v>259</v>
          </cell>
        </row>
        <row r="23">
          <cell r="A23" t="str">
            <v>韓國</v>
          </cell>
          <cell r="B23">
            <v>717384</v>
          </cell>
          <cell r="C23">
            <v>274</v>
          </cell>
        </row>
        <row r="24">
          <cell r="A24" t="str">
            <v>日本</v>
          </cell>
          <cell r="B24">
            <v>645566</v>
          </cell>
          <cell r="C24">
            <v>572</v>
          </cell>
        </row>
        <row r="25">
          <cell r="A25" t="str">
            <v>澳大利亞</v>
          </cell>
          <cell r="B25">
            <v>531138</v>
          </cell>
          <cell r="C25">
            <v>207</v>
          </cell>
        </row>
        <row r="26">
          <cell r="A26" t="str">
            <v>墨西哥</v>
          </cell>
          <cell r="B26">
            <v>395726</v>
          </cell>
          <cell r="C26">
            <v>127</v>
          </cell>
        </row>
        <row r="27">
          <cell r="A27" t="str">
            <v>挪威</v>
          </cell>
          <cell r="B27">
            <v>333194</v>
          </cell>
          <cell r="C27">
            <v>210</v>
          </cell>
        </row>
        <row r="28">
          <cell r="A28" t="str">
            <v>波蘭</v>
          </cell>
          <cell r="B28">
            <v>229049</v>
          </cell>
          <cell r="C28">
            <v>123</v>
          </cell>
        </row>
        <row r="29">
          <cell r="A29" t="str">
            <v>捷克</v>
          </cell>
          <cell r="B29">
            <v>215167</v>
          </cell>
          <cell r="C29">
            <v>93</v>
          </cell>
        </row>
        <row r="30">
          <cell r="A30" t="str">
            <v>瑞典</v>
          </cell>
          <cell r="B30">
            <v>115681</v>
          </cell>
          <cell r="C30">
            <v>300</v>
          </cell>
        </row>
        <row r="31">
          <cell r="A31" t="str">
            <v>馬來西亞</v>
          </cell>
          <cell r="B31">
            <v>108676</v>
          </cell>
          <cell r="C31">
            <v>38</v>
          </cell>
        </row>
        <row r="32">
          <cell r="A32" t="str">
            <v>薩爾瓦多</v>
          </cell>
          <cell r="B32">
            <v>43156</v>
          </cell>
          <cell r="C32">
            <v>12</v>
          </cell>
        </row>
        <row r="33">
          <cell r="A33" t="str">
            <v>阿拉伯聯合大公國</v>
          </cell>
          <cell r="B33">
            <v>22976</v>
          </cell>
          <cell r="C33">
            <v>15</v>
          </cell>
        </row>
        <row r="34">
          <cell r="A34" t="str">
            <v>瓜地馬拉</v>
          </cell>
          <cell r="B34">
            <v>20276</v>
          </cell>
          <cell r="C34">
            <v>8</v>
          </cell>
        </row>
        <row r="35">
          <cell r="A35" t="str">
            <v>南非</v>
          </cell>
          <cell r="B35">
            <v>7391</v>
          </cell>
          <cell r="C35">
            <v>2</v>
          </cell>
        </row>
        <row r="36">
          <cell r="A36" t="str">
            <v>泰國</v>
          </cell>
          <cell r="B36">
            <v>2249</v>
          </cell>
          <cell r="C36">
            <v>1</v>
          </cell>
        </row>
        <row r="37">
          <cell r="A37" t="str">
            <v>葡萄牙</v>
          </cell>
          <cell r="B37">
            <v>1093</v>
          </cell>
          <cell r="C37">
            <v>2</v>
          </cell>
        </row>
        <row r="38">
          <cell r="A38" t="str">
            <v>香港</v>
          </cell>
          <cell r="B38">
            <v>932</v>
          </cell>
          <cell r="C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="90" zoomScaleNormal="9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476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64" t="s">
        <v>107</v>
      </c>
      <c r="B3" s="565"/>
      <c r="C3" s="565"/>
      <c r="D3" s="565"/>
      <c r="E3" s="565"/>
      <c r="F3" s="565"/>
      <c r="G3" s="565"/>
      <c r="H3" s="565"/>
      <c r="I3" s="566"/>
    </row>
    <row r="4" spans="1:9" s="13" customFormat="1">
      <c r="A4" s="557" t="s">
        <v>477</v>
      </c>
      <c r="B4" s="8" t="s">
        <v>421</v>
      </c>
      <c r="C4" s="8" t="s">
        <v>422</v>
      </c>
      <c r="D4" s="9" t="s">
        <v>0</v>
      </c>
      <c r="E4" s="10" t="s">
        <v>423</v>
      </c>
      <c r="F4" s="11" t="s">
        <v>1</v>
      </c>
      <c r="G4" s="8" t="s">
        <v>424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22628</v>
      </c>
      <c r="C7" s="22">
        <f>SUM(C8:C10)</f>
        <v>15524350</v>
      </c>
      <c r="D7" s="23">
        <f>IF(B7,C7/B7,0)</f>
        <v>686.068145660244</v>
      </c>
      <c r="E7" s="22">
        <v>22628</v>
      </c>
      <c r="F7" s="24">
        <f>E7/$E$67</f>
        <v>0.43166730255627622</v>
      </c>
      <c r="G7" s="22">
        <v>15524350</v>
      </c>
      <c r="H7" s="24">
        <f>G7/$G$67</f>
        <v>0.32054166769130732</v>
      </c>
      <c r="I7" s="25">
        <f>IF(E7,G7/E7,0)</f>
        <v>686.068145660244</v>
      </c>
    </row>
    <row r="8" spans="1:9">
      <c r="A8" s="454" t="s">
        <v>199</v>
      </c>
      <c r="B8" s="27">
        <f>VLOOKUP(A8,[1]進出口值表查詢結果!$A$10:$C$58,3,0)</f>
        <v>21360</v>
      </c>
      <c r="C8" s="28">
        <f>VLOOKUP(A8,[1]進出口值表查詢結果!$A$10:$C$58,2,0)</f>
        <v>14358586</v>
      </c>
      <c r="D8" s="23">
        <f t="shared" ref="D8:D66" si="0">IF(B8,C8/B8,0)</f>
        <v>672.21844569288385</v>
      </c>
      <c r="E8" s="28">
        <v>21360</v>
      </c>
      <c r="F8" s="29">
        <f>E8/$E$67</f>
        <v>0.40747806180847007</v>
      </c>
      <c r="G8" s="27">
        <v>14358586</v>
      </c>
      <c r="H8" s="24">
        <f>G8/$G$67</f>
        <v>0.29647135642581218</v>
      </c>
      <c r="I8" s="25">
        <f t="shared" ref="I8:I66" si="1">IF(E8,G8/E8,0)</f>
        <v>672.21844569288385</v>
      </c>
    </row>
    <row r="9" spans="1:9">
      <c r="A9" s="455" t="s">
        <v>6</v>
      </c>
      <c r="B9" s="27">
        <f>VLOOKUP(A9,[1]進出口值表查詢結果!$A$10:$C$58,3,0)</f>
        <v>1025</v>
      </c>
      <c r="C9" s="28">
        <f>VLOOKUP(A9,[1]進出口值表查詢結果!$A$10:$C$58,2,0)</f>
        <v>934174</v>
      </c>
      <c r="D9" s="23">
        <f t="shared" si="0"/>
        <v>911.38926829268291</v>
      </c>
      <c r="E9" s="28">
        <v>1025</v>
      </c>
      <c r="F9" s="29">
        <f>E9/$E$67</f>
        <v>1.9553605494086225E-2</v>
      </c>
      <c r="G9" s="27">
        <v>934174</v>
      </c>
      <c r="H9" s="24">
        <f>G9/$G$67</f>
        <v>1.9288517192272741E-2</v>
      </c>
      <c r="I9" s="25">
        <f t="shared" si="1"/>
        <v>911.38926829268291</v>
      </c>
    </row>
    <row r="10" spans="1:9">
      <c r="A10" s="455" t="s">
        <v>7</v>
      </c>
      <c r="B10" s="27">
        <f>VLOOKUP(A10,[1]進出口值表查詢結果!$A$10:$C$58,3,0)</f>
        <v>243</v>
      </c>
      <c r="C10" s="28">
        <f>VLOOKUP(A10,[1]進出口值表查詢結果!$A$10:$C$58,2,0)</f>
        <v>231590</v>
      </c>
      <c r="D10" s="23">
        <f t="shared" si="0"/>
        <v>953.04526748971193</v>
      </c>
      <c r="E10" s="28">
        <v>243</v>
      </c>
      <c r="F10" s="29">
        <f>E10/$E$67</f>
        <v>4.6356352537199538E-3</v>
      </c>
      <c r="G10" s="27">
        <v>231590</v>
      </c>
      <c r="H10" s="24">
        <f>G10/$G$67</f>
        <v>4.7817940732223802E-3</v>
      </c>
      <c r="I10" s="25">
        <f t="shared" si="1"/>
        <v>953.04526748971193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13209</v>
      </c>
      <c r="C12" s="33">
        <f>SUM(C13:C39)</f>
        <v>15318880</v>
      </c>
      <c r="D12" s="23">
        <f t="shared" si="0"/>
        <v>1159.7304867893104</v>
      </c>
      <c r="E12" s="33">
        <v>13209</v>
      </c>
      <c r="F12" s="24">
        <f t="shared" ref="F12:F27" si="2">E12/$E$67</f>
        <v>0.25198397558183899</v>
      </c>
      <c r="G12" s="33">
        <v>15318880</v>
      </c>
      <c r="H12" s="24">
        <f t="shared" ref="H12:H39" si="3">G12/$G$67</f>
        <v>0.31629919077855201</v>
      </c>
      <c r="I12" s="25">
        <f t="shared" si="1"/>
        <v>1159.7304867893104</v>
      </c>
    </row>
    <row r="13" spans="1:9">
      <c r="A13" s="454" t="s">
        <v>200</v>
      </c>
      <c r="B13" s="27">
        <f>VLOOKUP(A13,[1]進出口值表查詢結果!$A$10:$C$58,3,0)</f>
        <v>5925</v>
      </c>
      <c r="C13" s="28">
        <f>VLOOKUP(A13,[1]進出口值表查詢結果!$A$10:$C$58,2,0)</f>
        <v>10165275</v>
      </c>
      <c r="D13" s="23">
        <f t="shared" si="0"/>
        <v>1715.6582278481012</v>
      </c>
      <c r="E13" s="27">
        <v>5925</v>
      </c>
      <c r="F13" s="29">
        <f t="shared" si="2"/>
        <v>0.11302937809996184</v>
      </c>
      <c r="G13" s="27">
        <v>10165275</v>
      </c>
      <c r="H13" s="24">
        <f t="shared" si="3"/>
        <v>0.20988925146887014</v>
      </c>
      <c r="I13" s="25">
        <f t="shared" si="1"/>
        <v>1715.6582278481012</v>
      </c>
    </row>
    <row r="14" spans="1:9">
      <c r="A14" s="454" t="s">
        <v>201</v>
      </c>
      <c r="B14" s="27">
        <f>VLOOKUP(A14,[1]進出口值表查詢結果!$A$10:$C$58,3,0)</f>
        <v>3259</v>
      </c>
      <c r="C14" s="28">
        <f>VLOOKUP(A14,[1]進出口值表查詢結果!$A$10:$C$58,2,0)</f>
        <v>1530831</v>
      </c>
      <c r="D14" s="23">
        <f t="shared" si="0"/>
        <v>469.72414851181344</v>
      </c>
      <c r="E14" s="27">
        <v>3259</v>
      </c>
      <c r="F14" s="29">
        <f t="shared" si="2"/>
        <v>6.2170927127050746E-2</v>
      </c>
      <c r="G14" s="27">
        <v>1530831</v>
      </c>
      <c r="H14" s="24">
        <f t="shared" si="3"/>
        <v>3.1608094489853147E-2</v>
      </c>
      <c r="I14" s="25">
        <f t="shared" si="1"/>
        <v>469.72414851181344</v>
      </c>
    </row>
    <row r="15" spans="1:9">
      <c r="A15" s="455" t="s">
        <v>9</v>
      </c>
      <c r="B15" s="27">
        <f>VLOOKUP(A15,[1]進出口值表查詢結果!$A$10:$C$58,3,0)</f>
        <v>587</v>
      </c>
      <c r="C15" s="28">
        <f>VLOOKUP(A15,[1]進出口值表查詢結果!$A$10:$C$58,2,0)</f>
        <v>1108513</v>
      </c>
      <c r="D15" s="23">
        <f t="shared" si="0"/>
        <v>1888.4378194207836</v>
      </c>
      <c r="E15" s="27">
        <v>587</v>
      </c>
      <c r="F15" s="29">
        <f t="shared" si="2"/>
        <v>1.1198016024418162E-2</v>
      </c>
      <c r="G15" s="27">
        <v>1108513</v>
      </c>
      <c r="H15" s="24">
        <f t="shared" si="3"/>
        <v>2.2888211466341211E-2</v>
      </c>
      <c r="I15" s="25">
        <f t="shared" si="1"/>
        <v>1888.4378194207836</v>
      </c>
    </row>
    <row r="16" spans="1:9">
      <c r="A16" s="454" t="s">
        <v>202</v>
      </c>
      <c r="B16" s="27">
        <f>VLOOKUP(A16,[1]進出口值表查詢結果!$A$10:$C$58,3,0)</f>
        <v>429</v>
      </c>
      <c r="C16" s="28">
        <f>VLOOKUP(A16,[1]進出口值表查詢結果!$A$10:$C$58,2,0)</f>
        <v>626148</v>
      </c>
      <c r="D16" s="23">
        <f t="shared" si="0"/>
        <v>1459.5524475524476</v>
      </c>
      <c r="E16" s="27">
        <v>429</v>
      </c>
      <c r="F16" s="29">
        <f t="shared" si="2"/>
        <v>8.1838992750858444E-3</v>
      </c>
      <c r="G16" s="27">
        <v>626148</v>
      </c>
      <c r="H16" s="24">
        <f t="shared" si="3"/>
        <v>1.2928497756207294E-2</v>
      </c>
      <c r="I16" s="25">
        <f t="shared" si="1"/>
        <v>1459.5524475524476</v>
      </c>
    </row>
    <row r="17" spans="1:9">
      <c r="A17" s="455" t="s">
        <v>10</v>
      </c>
      <c r="B17" s="27">
        <f>VLOOKUP(A17,[1]進出口值表查詢結果!$A$10:$C$58,3,0)</f>
        <v>314</v>
      </c>
      <c r="C17" s="28">
        <f>VLOOKUP(A17,[1]進出口值表查詢結果!$A$10:$C$58,2,0)</f>
        <v>441015</v>
      </c>
      <c r="D17" s="23">
        <f t="shared" si="0"/>
        <v>1404.5063694267517</v>
      </c>
      <c r="E17" s="27">
        <v>314</v>
      </c>
      <c r="F17" s="29">
        <f t="shared" si="2"/>
        <v>5.9900801220908054E-3</v>
      </c>
      <c r="G17" s="27">
        <v>441015</v>
      </c>
      <c r="H17" s="24">
        <f t="shared" si="3"/>
        <v>9.1059325238661785E-3</v>
      </c>
      <c r="I17" s="25">
        <f t="shared" si="1"/>
        <v>1404.5063694267517</v>
      </c>
    </row>
    <row r="18" spans="1:9">
      <c r="A18" s="455" t="s">
        <v>11</v>
      </c>
      <c r="B18" s="27">
        <f>VLOOKUP(A18,[1]進出口值表查詢結果!$A$10:$C$58,3,0)</f>
        <v>476</v>
      </c>
      <c r="C18" s="28">
        <f>VLOOKUP(A18,[1]進出口值表查詢結果!$A$10:$C$58,2,0)</f>
        <v>659928</v>
      </c>
      <c r="D18" s="23">
        <f t="shared" si="0"/>
        <v>1386.4033613445379</v>
      </c>
      <c r="E18" s="27">
        <v>476</v>
      </c>
      <c r="F18" s="29">
        <f t="shared" si="2"/>
        <v>9.0805036245707738E-3</v>
      </c>
      <c r="G18" s="27">
        <v>659928</v>
      </c>
      <c r="H18" s="24">
        <f t="shared" si="3"/>
        <v>1.362597607475927E-2</v>
      </c>
      <c r="I18" s="25">
        <f t="shared" si="1"/>
        <v>1386.4033613445379</v>
      </c>
    </row>
    <row r="19" spans="1:9">
      <c r="A19" s="454" t="s">
        <v>203</v>
      </c>
      <c r="B19" s="27">
        <f>VLOOKUP(A19,[1]進出口值表查詢結果!$A$10:$C$58,3,0)</f>
        <v>220</v>
      </c>
      <c r="C19" s="28">
        <f>VLOOKUP(A19,[1]進出口值表查詢結果!$A$10:$C$58,2,0)</f>
        <v>27303</v>
      </c>
      <c r="D19" s="23">
        <f t="shared" si="0"/>
        <v>124.10454545454546</v>
      </c>
      <c r="E19" s="27">
        <v>220</v>
      </c>
      <c r="F19" s="29">
        <f t="shared" si="2"/>
        <v>4.1968714231209459E-3</v>
      </c>
      <c r="G19" s="27">
        <v>27303</v>
      </c>
      <c r="H19" s="24">
        <f t="shared" si="3"/>
        <v>5.6374335498592619E-4</v>
      </c>
      <c r="I19" s="25">
        <f t="shared" si="1"/>
        <v>124.10454545454546</v>
      </c>
    </row>
    <row r="20" spans="1:9">
      <c r="A20" s="455" t="s">
        <v>204</v>
      </c>
      <c r="B20" s="27">
        <v>0</v>
      </c>
      <c r="C20" s="28">
        <v>0</v>
      </c>
      <c r="D20" s="23">
        <f t="shared" si="0"/>
        <v>0</v>
      </c>
      <c r="E20" s="27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54" t="s">
        <v>205</v>
      </c>
      <c r="B21" s="27">
        <v>0</v>
      </c>
      <c r="C21" s="28">
        <v>0</v>
      </c>
      <c r="D21" s="23">
        <f t="shared" si="0"/>
        <v>0</v>
      </c>
      <c r="E21" s="27">
        <v>0</v>
      </c>
      <c r="F21" s="29">
        <f t="shared" si="2"/>
        <v>0</v>
      </c>
      <c r="G21" s="27">
        <v>0</v>
      </c>
      <c r="H21" s="24">
        <f t="shared" si="3"/>
        <v>0</v>
      </c>
      <c r="I21" s="25">
        <f t="shared" si="1"/>
        <v>0</v>
      </c>
    </row>
    <row r="22" spans="1:9">
      <c r="A22" s="455" t="s">
        <v>13</v>
      </c>
      <c r="B22" s="27">
        <v>0</v>
      </c>
      <c r="C22" s="28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55" t="s">
        <v>14</v>
      </c>
      <c r="B23" s="27">
        <v>0</v>
      </c>
      <c r="C23" s="28">
        <v>0</v>
      </c>
      <c r="D23" s="23">
        <f t="shared" si="0"/>
        <v>0</v>
      </c>
      <c r="E23" s="27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55" t="s">
        <v>15</v>
      </c>
      <c r="B24" s="27">
        <v>0</v>
      </c>
      <c r="C24" s="28">
        <v>0</v>
      </c>
      <c r="D24" s="23">
        <f t="shared" si="0"/>
        <v>0</v>
      </c>
      <c r="E24" s="27">
        <v>0</v>
      </c>
      <c r="F24" s="29">
        <f t="shared" si="2"/>
        <v>0</v>
      </c>
      <c r="G24" s="27">
        <v>0</v>
      </c>
      <c r="H24" s="24">
        <f t="shared" si="3"/>
        <v>0</v>
      </c>
      <c r="I24" s="25">
        <f t="shared" si="1"/>
        <v>0</v>
      </c>
    </row>
    <row r="25" spans="1:9">
      <c r="A25" s="454" t="s">
        <v>206</v>
      </c>
      <c r="B25" s="27">
        <v>0</v>
      </c>
      <c r="C25" s="28">
        <v>0</v>
      </c>
      <c r="D25" s="23">
        <f t="shared" si="0"/>
        <v>0</v>
      </c>
      <c r="E25" s="27">
        <v>0</v>
      </c>
      <c r="F25" s="29">
        <f t="shared" si="2"/>
        <v>0</v>
      </c>
      <c r="G25" s="27">
        <v>0</v>
      </c>
      <c r="H25" s="24">
        <f t="shared" si="3"/>
        <v>0</v>
      </c>
      <c r="I25" s="25">
        <f t="shared" si="1"/>
        <v>0</v>
      </c>
    </row>
    <row r="26" spans="1:9">
      <c r="A26" s="454" t="s">
        <v>207</v>
      </c>
      <c r="B26" s="27">
        <v>0</v>
      </c>
      <c r="C26" s="28">
        <v>0</v>
      </c>
      <c r="D26" s="23">
        <f t="shared" si="0"/>
        <v>0</v>
      </c>
      <c r="E26" s="27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56" t="s">
        <v>208</v>
      </c>
      <c r="B27" s="27">
        <f>VLOOKUP(A27,[1]進出口值表查詢結果!$A$10:$C$58,3,0)</f>
        <v>1171</v>
      </c>
      <c r="C27" s="28">
        <f>VLOOKUP(A27,[1]進出口值表查詢結果!$A$10:$C$58,2,0)</f>
        <v>540468</v>
      </c>
      <c r="D27" s="23">
        <f t="shared" si="0"/>
        <v>461.54397950469684</v>
      </c>
      <c r="E27" s="27">
        <v>1171</v>
      </c>
      <c r="F27" s="29">
        <f t="shared" si="2"/>
        <v>2.2338801983975583E-2</v>
      </c>
      <c r="G27" s="27">
        <v>540468</v>
      </c>
      <c r="H27" s="24">
        <f t="shared" si="3"/>
        <v>1.1159405324782389E-2</v>
      </c>
      <c r="I27" s="25">
        <f t="shared" si="1"/>
        <v>461.54397950469684</v>
      </c>
    </row>
    <row r="28" spans="1:9">
      <c r="A28" s="456" t="s">
        <v>209</v>
      </c>
      <c r="B28" s="27">
        <f>VLOOKUP(A28,[1]進出口值表查詢結果!$A$10:$C$58,3,0)</f>
        <v>551</v>
      </c>
      <c r="C28" s="28">
        <f>VLOOKUP(A28,[1]進出口值表查詢結果!$A$10:$C$58,2,0)</f>
        <v>127820</v>
      </c>
      <c r="D28" s="23">
        <f t="shared" si="0"/>
        <v>231.97822141560798</v>
      </c>
      <c r="E28" s="27">
        <v>551</v>
      </c>
      <c r="F28" s="29">
        <f t="shared" ref="F28:F39" si="4">E28/$E$67</f>
        <v>1.051125524608928E-2</v>
      </c>
      <c r="G28" s="27">
        <v>127820</v>
      </c>
      <c r="H28" s="24">
        <f t="shared" si="3"/>
        <v>2.639185277599571E-3</v>
      </c>
      <c r="I28" s="25">
        <f t="shared" si="1"/>
        <v>231.97822141560798</v>
      </c>
    </row>
    <row r="29" spans="1:9">
      <c r="A29" s="455" t="s">
        <v>210</v>
      </c>
      <c r="B29" s="27">
        <v>0</v>
      </c>
      <c r="C29" s="28">
        <v>0</v>
      </c>
      <c r="D29" s="23">
        <f t="shared" si="0"/>
        <v>0</v>
      </c>
      <c r="E29" s="27">
        <v>0</v>
      </c>
      <c r="F29" s="29">
        <f t="shared" si="4"/>
        <v>0</v>
      </c>
      <c r="G29" s="27">
        <v>0</v>
      </c>
      <c r="H29" s="24">
        <f t="shared" si="3"/>
        <v>0</v>
      </c>
      <c r="I29" s="25">
        <f t="shared" si="1"/>
        <v>0</v>
      </c>
    </row>
    <row r="30" spans="1:9">
      <c r="A30" s="455" t="s">
        <v>211</v>
      </c>
      <c r="B30" s="27">
        <v>0</v>
      </c>
      <c r="C30" s="28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55" t="s">
        <v>16</v>
      </c>
      <c r="B31" s="27">
        <v>0</v>
      </c>
      <c r="C31" s="28">
        <v>0</v>
      </c>
      <c r="D31" s="23">
        <f t="shared" si="0"/>
        <v>0</v>
      </c>
      <c r="E31" s="27">
        <v>0</v>
      </c>
      <c r="F31" s="29">
        <f t="shared" si="4"/>
        <v>0</v>
      </c>
      <c r="G31" s="27">
        <v>0</v>
      </c>
      <c r="H31" s="24">
        <f t="shared" si="3"/>
        <v>0</v>
      </c>
      <c r="I31" s="25">
        <f t="shared" si="1"/>
        <v>0</v>
      </c>
    </row>
    <row r="32" spans="1:9">
      <c r="A32" s="455" t="s">
        <v>17</v>
      </c>
      <c r="B32" s="27">
        <v>0</v>
      </c>
      <c r="C32" s="28">
        <v>0</v>
      </c>
      <c r="D32" s="23">
        <f t="shared" si="0"/>
        <v>0</v>
      </c>
      <c r="E32" s="27">
        <v>0</v>
      </c>
      <c r="F32" s="29">
        <f t="shared" si="4"/>
        <v>0</v>
      </c>
      <c r="G32" s="27">
        <v>0</v>
      </c>
      <c r="H32" s="24">
        <f t="shared" si="3"/>
        <v>0</v>
      </c>
      <c r="I32" s="25">
        <f t="shared" si="1"/>
        <v>0</v>
      </c>
    </row>
    <row r="33" spans="1:9">
      <c r="A33" s="455" t="s">
        <v>212</v>
      </c>
      <c r="B33" s="27">
        <f>VLOOKUP(A33,[1]進出口值表查詢結果!$A$10:$C$58,3,0)</f>
        <v>277</v>
      </c>
      <c r="C33" s="28">
        <f>VLOOKUP(A33,[1]進出口值表查詢結果!$A$10:$C$58,2,0)</f>
        <v>91579</v>
      </c>
      <c r="D33" s="23">
        <f t="shared" si="0"/>
        <v>330.61010830324909</v>
      </c>
      <c r="E33" s="27">
        <v>277</v>
      </c>
      <c r="F33" s="29">
        <f t="shared" si="4"/>
        <v>5.28424265547501E-3</v>
      </c>
      <c r="G33" s="27">
        <v>91579</v>
      </c>
      <c r="H33" s="24">
        <f t="shared" si="3"/>
        <v>1.8908930412868967E-3</v>
      </c>
      <c r="I33" s="25">
        <f t="shared" si="1"/>
        <v>330.61010830324909</v>
      </c>
    </row>
    <row r="34" spans="1:9">
      <c r="A34" s="455" t="s">
        <v>213</v>
      </c>
      <c r="B34" s="27">
        <v>0</v>
      </c>
      <c r="C34" s="28">
        <v>0</v>
      </c>
      <c r="D34" s="23">
        <f t="shared" si="0"/>
        <v>0</v>
      </c>
      <c r="E34" s="27">
        <v>0</v>
      </c>
      <c r="F34" s="29">
        <f t="shared" si="4"/>
        <v>0</v>
      </c>
      <c r="G34" s="27">
        <v>0</v>
      </c>
      <c r="H34" s="24">
        <f t="shared" si="3"/>
        <v>0</v>
      </c>
      <c r="I34" s="25">
        <f t="shared" si="1"/>
        <v>0</v>
      </c>
    </row>
    <row r="35" spans="1:9">
      <c r="A35" s="455" t="s">
        <v>214</v>
      </c>
      <c r="B35" s="27">
        <v>0</v>
      </c>
      <c r="C35" s="28">
        <v>0</v>
      </c>
      <c r="D35" s="23">
        <f t="shared" si="0"/>
        <v>0</v>
      </c>
      <c r="E35" s="27">
        <v>0</v>
      </c>
      <c r="F35" s="29">
        <f t="shared" si="4"/>
        <v>0</v>
      </c>
      <c r="G35" s="27">
        <v>0</v>
      </c>
      <c r="H35" s="24">
        <f t="shared" si="3"/>
        <v>0</v>
      </c>
      <c r="I35" s="25">
        <f t="shared" si="1"/>
        <v>0</v>
      </c>
    </row>
    <row r="36" spans="1:9">
      <c r="A36" s="455" t="s">
        <v>215</v>
      </c>
      <c r="B36" s="27">
        <v>0</v>
      </c>
      <c r="C36" s="28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55" t="s">
        <v>216</v>
      </c>
      <c r="B37" s="27">
        <v>0</v>
      </c>
      <c r="C37" s="28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55" t="s">
        <v>217</v>
      </c>
      <c r="B38" s="27">
        <v>0</v>
      </c>
      <c r="C38" s="28">
        <v>0</v>
      </c>
      <c r="D38" s="23">
        <f t="shared" si="0"/>
        <v>0</v>
      </c>
      <c r="E38" s="27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55" t="s">
        <v>18</v>
      </c>
      <c r="B39" s="27">
        <v>0</v>
      </c>
      <c r="C39" s="28">
        <v>0</v>
      </c>
      <c r="D39" s="23">
        <f t="shared" si="0"/>
        <v>0</v>
      </c>
      <c r="E39" s="27">
        <v>0</v>
      </c>
      <c r="F39" s="29">
        <f t="shared" si="4"/>
        <v>0</v>
      </c>
      <c r="G39" s="27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2286</v>
      </c>
      <c r="C41" s="33">
        <f>SUM(C42:C45)</f>
        <v>1216632</v>
      </c>
      <c r="D41" s="23">
        <f t="shared" si="0"/>
        <v>532.20997375328079</v>
      </c>
      <c r="E41" s="33">
        <v>2286</v>
      </c>
      <c r="F41" s="24">
        <f>E41/$E$67</f>
        <v>4.3609309423884017E-2</v>
      </c>
      <c r="G41" s="33">
        <v>1216632</v>
      </c>
      <c r="H41" s="24">
        <f>G41/$G$67</f>
        <v>2.5120616982135201E-2</v>
      </c>
      <c r="I41" s="25">
        <f t="shared" si="1"/>
        <v>532.20997375328079</v>
      </c>
    </row>
    <row r="42" spans="1:9">
      <c r="A42" s="454" t="s">
        <v>218</v>
      </c>
      <c r="B42" s="27">
        <f>VLOOKUP(A42,[1]進出口值表查詢結果!$A$10:$C$58,3,0)</f>
        <v>1316</v>
      </c>
      <c r="C42" s="28">
        <f>VLOOKUP(A42,[1]進出口值表查詢結果!$A$10:$C$58,2,0)</f>
        <v>775160</v>
      </c>
      <c r="D42" s="23">
        <f t="shared" si="0"/>
        <v>589.02735562310033</v>
      </c>
      <c r="E42" s="27">
        <v>1316</v>
      </c>
      <c r="F42" s="29">
        <f>E42/$E$67</f>
        <v>2.5104921785578025E-2</v>
      </c>
      <c r="G42" s="27">
        <v>775160</v>
      </c>
      <c r="H42" s="29">
        <f>G42/$G$67</f>
        <v>1.6005248472727926E-2</v>
      </c>
      <c r="I42" s="25">
        <f t="shared" si="1"/>
        <v>589.02735562310033</v>
      </c>
    </row>
    <row r="43" spans="1:9">
      <c r="A43" s="454" t="s">
        <v>219</v>
      </c>
      <c r="B43" s="27">
        <f>VLOOKUP(A43,[1]進出口值表查詢結果!$A$10:$C$58,3,0)</f>
        <v>330</v>
      </c>
      <c r="C43" s="28">
        <f>VLOOKUP(A43,[1]進出口值表查詢結果!$A$10:$C$58,2,0)</f>
        <v>346154</v>
      </c>
      <c r="D43" s="23">
        <f t="shared" si="0"/>
        <v>1048.9515151515152</v>
      </c>
      <c r="E43" s="27">
        <v>330</v>
      </c>
      <c r="F43" s="29">
        <f>E43/$E$67</f>
        <v>6.2953071346814196E-3</v>
      </c>
      <c r="G43" s="27">
        <v>346154</v>
      </c>
      <c r="H43" s="29">
        <f>G43/$G$67</f>
        <v>7.1472738271178369E-3</v>
      </c>
      <c r="I43" s="25">
        <f t="shared" si="1"/>
        <v>1048.9515151515152</v>
      </c>
    </row>
    <row r="44" spans="1:9">
      <c r="A44" s="454" t="s">
        <v>220</v>
      </c>
      <c r="B44" s="27">
        <f>VLOOKUP(A44,[1]進出口值表查詢結果!$A$10:$C$58,3,0)</f>
        <v>640</v>
      </c>
      <c r="C44" s="28">
        <f>VLOOKUP(A44,[1]進出口值表查詢結果!$A$10:$C$58,2,0)</f>
        <v>95318</v>
      </c>
      <c r="D44" s="23">
        <f t="shared" si="0"/>
        <v>148.93437499999999</v>
      </c>
      <c r="E44" s="27">
        <v>640</v>
      </c>
      <c r="F44" s="29">
        <f>E44/$E$67</f>
        <v>1.2209080503624571E-2</v>
      </c>
      <c r="G44" s="27">
        <v>95318</v>
      </c>
      <c r="H44" s="29">
        <f>G44/$G$67</f>
        <v>1.9680946822894377E-3</v>
      </c>
      <c r="I44" s="25">
        <f t="shared" si="1"/>
        <v>148.93437499999999</v>
      </c>
    </row>
    <row r="45" spans="1:9">
      <c r="A45" s="455" t="s">
        <v>20</v>
      </c>
      <c r="B45" s="27">
        <v>0</v>
      </c>
      <c r="C45" s="28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12487</v>
      </c>
      <c r="C47" s="33">
        <f>SUM(C48:C65)</f>
        <v>14023015</v>
      </c>
      <c r="D47" s="23">
        <f t="shared" si="0"/>
        <v>1123.0091294946744</v>
      </c>
      <c r="E47" s="33">
        <v>12487</v>
      </c>
      <c r="F47" s="24">
        <f t="shared" ref="F47:F65" si="5">E47/$E$67</f>
        <v>0.23821060663868751</v>
      </c>
      <c r="G47" s="33">
        <v>14023015</v>
      </c>
      <c r="H47" s="24">
        <f t="shared" ref="H47:H66" si="6">G47/$G$67</f>
        <v>0.28954259689843492</v>
      </c>
      <c r="I47" s="25">
        <f t="shared" si="1"/>
        <v>1123.0091294946744</v>
      </c>
    </row>
    <row r="48" spans="1:9">
      <c r="A48" s="486" t="s">
        <v>161</v>
      </c>
      <c r="B48" s="27">
        <f>VLOOKUP(A48,[1]進出口值表查詢結果!$A$10:$C$58,3,0)</f>
        <v>3877</v>
      </c>
      <c r="C48" s="28">
        <f>VLOOKUP(A48,[1]進出口值表查詢結果!$A$10:$C$58,2,0)</f>
        <v>3605262</v>
      </c>
      <c r="D48" s="23">
        <f t="shared" si="0"/>
        <v>929.91023987619292</v>
      </c>
      <c r="E48" s="27">
        <v>3877</v>
      </c>
      <c r="F48" s="29">
        <f t="shared" ref="F48" si="7">E48/$E$67</f>
        <v>7.3960320488363221E-2</v>
      </c>
      <c r="G48" s="27">
        <v>3605262</v>
      </c>
      <c r="H48" s="29">
        <f t="shared" ref="H48" si="8">G48/$G$67</f>
        <v>7.4440262809334884E-2</v>
      </c>
      <c r="I48" s="25">
        <f t="shared" si="1"/>
        <v>929.91023987619292</v>
      </c>
    </row>
    <row r="49" spans="1:9">
      <c r="A49" s="454" t="s">
        <v>221</v>
      </c>
      <c r="B49" s="27">
        <f>VLOOKUP(A49,[1]進出口值表查詢結果!$A$10:$C$58,3,0)</f>
        <v>1374</v>
      </c>
      <c r="C49" s="28">
        <f>VLOOKUP(A49,[1]進出口值表查詢結果!$A$10:$C$58,2,0)</f>
        <v>883489</v>
      </c>
      <c r="D49" s="23">
        <f t="shared" si="0"/>
        <v>643.00509461426498</v>
      </c>
      <c r="E49" s="27">
        <v>1374</v>
      </c>
      <c r="F49" s="29">
        <f t="shared" si="5"/>
        <v>2.6211369706219002E-2</v>
      </c>
      <c r="G49" s="27">
        <v>883489</v>
      </c>
      <c r="H49" s="29">
        <f t="shared" si="6"/>
        <v>1.8241989999383253E-2</v>
      </c>
      <c r="I49" s="25">
        <f t="shared" si="1"/>
        <v>643.00509461426498</v>
      </c>
    </row>
    <row r="50" spans="1:9">
      <c r="A50" s="291" t="s">
        <v>222</v>
      </c>
      <c r="B50" s="27">
        <f>VLOOKUP(A50,[1]進出口值表查詢結果!$A$10:$C$58,3,0)</f>
        <v>315</v>
      </c>
      <c r="C50" s="28">
        <f>VLOOKUP(A50,[1]進出口值表查詢結果!$A$10:$C$58,2,0)</f>
        <v>172271</v>
      </c>
      <c r="D50" s="23">
        <f t="shared" si="0"/>
        <v>546.89206349206347</v>
      </c>
      <c r="E50" s="27">
        <v>315</v>
      </c>
      <c r="F50" s="29">
        <f t="shared" si="5"/>
        <v>6.0091568103777188E-3</v>
      </c>
      <c r="G50" s="27">
        <v>172271</v>
      </c>
      <c r="H50" s="29">
        <f t="shared" si="6"/>
        <v>3.5569948909196973E-3</v>
      </c>
      <c r="I50" s="25">
        <f t="shared" si="1"/>
        <v>546.89206349206347</v>
      </c>
    </row>
    <row r="51" spans="1:9">
      <c r="A51" s="454" t="s">
        <v>223</v>
      </c>
      <c r="B51" s="27">
        <f>VLOOKUP(A51,[1]進出口值表查詢結果!$A$10:$C$58,3,0)</f>
        <v>124</v>
      </c>
      <c r="C51" s="28">
        <f>VLOOKUP(A51,[1]進出口值表查詢結果!$A$10:$C$58,2,0)</f>
        <v>214685</v>
      </c>
      <c r="D51" s="23">
        <f t="shared" si="0"/>
        <v>1731.3306451612902</v>
      </c>
      <c r="E51" s="27">
        <v>124</v>
      </c>
      <c r="F51" s="29">
        <f t="shared" si="5"/>
        <v>2.3655093475772604E-3</v>
      </c>
      <c r="G51" s="27">
        <v>214685</v>
      </c>
      <c r="H51" s="29">
        <f t="shared" si="6"/>
        <v>4.4327451988848687E-3</v>
      </c>
      <c r="I51" s="25">
        <f t="shared" si="1"/>
        <v>1731.3306451612902</v>
      </c>
    </row>
    <row r="52" spans="1:9">
      <c r="A52" s="455" t="s">
        <v>22</v>
      </c>
      <c r="B52" s="27">
        <f>VLOOKUP(A52,[1]進出口值表查詢結果!$A$10:$C$58,3,0)</f>
        <v>40</v>
      </c>
      <c r="C52" s="28">
        <f>VLOOKUP(A52,[1]進出口值表查詢結果!$A$10:$C$58,2,0)</f>
        <v>8240</v>
      </c>
      <c r="D52" s="23">
        <f t="shared" si="0"/>
        <v>206</v>
      </c>
      <c r="E52" s="27">
        <v>40</v>
      </c>
      <c r="F52" s="29">
        <f t="shared" si="5"/>
        <v>7.6306753147653572E-4</v>
      </c>
      <c r="G52" s="27">
        <v>8240</v>
      </c>
      <c r="H52" s="29">
        <f t="shared" si="6"/>
        <v>1.7013680713049966E-4</v>
      </c>
      <c r="I52" s="25">
        <f t="shared" si="1"/>
        <v>206</v>
      </c>
    </row>
    <row r="53" spans="1:9">
      <c r="A53" s="454" t="s">
        <v>224</v>
      </c>
      <c r="B53" s="27">
        <f>VLOOKUP(A53,[1]進出口值表查詢結果!$A$10:$C$58,3,0)</f>
        <v>109</v>
      </c>
      <c r="C53" s="28">
        <f>VLOOKUP(A53,[1]進出口值表查詢結果!$A$10:$C$58,2,0)</f>
        <v>147066</v>
      </c>
      <c r="D53" s="23">
        <f t="shared" si="0"/>
        <v>1349.2293577981652</v>
      </c>
      <c r="E53" s="27">
        <v>109</v>
      </c>
      <c r="F53" s="29">
        <f t="shared" si="5"/>
        <v>2.0793590232735595E-3</v>
      </c>
      <c r="G53" s="27">
        <v>147066</v>
      </c>
      <c r="H53" s="29">
        <f t="shared" si="6"/>
        <v>3.0365703492055899E-3</v>
      </c>
      <c r="I53" s="25">
        <f t="shared" si="1"/>
        <v>1349.2293577981652</v>
      </c>
    </row>
    <row r="54" spans="1:9">
      <c r="A54" s="455" t="s">
        <v>225</v>
      </c>
      <c r="B54" s="27">
        <f>VLOOKUP(A54,[1]進出口值表查詢結果!$A$10:$C$58,3,0)</f>
        <v>2689</v>
      </c>
      <c r="C54" s="28">
        <f>VLOOKUP(A54,[1]進出口值表查詢結果!$A$10:$C$58,2,0)</f>
        <v>2445817</v>
      </c>
      <c r="D54" s="23">
        <f t="shared" si="0"/>
        <v>909.56377835626631</v>
      </c>
      <c r="E54" s="27">
        <v>2689</v>
      </c>
      <c r="F54" s="29">
        <f t="shared" si="5"/>
        <v>5.1297214803510113E-2</v>
      </c>
      <c r="G54" s="27">
        <v>2445817</v>
      </c>
      <c r="H54" s="29">
        <f t="shared" si="6"/>
        <v>5.0500424175424427E-2</v>
      </c>
      <c r="I54" s="25">
        <f t="shared" si="1"/>
        <v>909.56377835626631</v>
      </c>
    </row>
    <row r="55" spans="1:9">
      <c r="A55" s="455" t="s">
        <v>23</v>
      </c>
      <c r="B55" s="27">
        <f>VLOOKUP(A55,[1]進出口值表查詢結果!$A$10:$C$58,3,0)</f>
        <v>222</v>
      </c>
      <c r="C55" s="28">
        <f>VLOOKUP(A55,[1]進出口值表查詢結果!$A$10:$C$58,2,0)</f>
        <v>212101</v>
      </c>
      <c r="D55" s="23">
        <f t="shared" si="0"/>
        <v>955.40990990990986</v>
      </c>
      <c r="E55" s="27">
        <v>222</v>
      </c>
      <c r="F55" s="29">
        <f t="shared" si="5"/>
        <v>4.2350247996947726E-3</v>
      </c>
      <c r="G55" s="27">
        <v>212101</v>
      </c>
      <c r="H55" s="29">
        <f t="shared" si="6"/>
        <v>4.3793916176196731E-3</v>
      </c>
      <c r="I55" s="25">
        <f t="shared" si="1"/>
        <v>955.40990990990986</v>
      </c>
    </row>
    <row r="56" spans="1:9">
      <c r="A56" s="455" t="s">
        <v>226</v>
      </c>
      <c r="B56" s="27">
        <f>VLOOKUP(A56,[1]進出口值表查詢結果!$A$10:$C$58,3,0)</f>
        <v>2160</v>
      </c>
      <c r="C56" s="28">
        <f>VLOOKUP(A56,[1]進出口值表查詢結果!$A$10:$C$58,2,0)</f>
        <v>3722377</v>
      </c>
      <c r="D56" s="23">
        <f t="shared" si="0"/>
        <v>1723.3226851851853</v>
      </c>
      <c r="E56" s="27">
        <v>2160</v>
      </c>
      <c r="F56" s="29">
        <f t="shared" si="5"/>
        <v>4.1205646699732923E-2</v>
      </c>
      <c r="G56" s="27">
        <v>3722377</v>
      </c>
      <c r="H56" s="29">
        <f t="shared" si="6"/>
        <v>7.6858414771360184E-2</v>
      </c>
      <c r="I56" s="25">
        <f t="shared" si="1"/>
        <v>1723.3226851851853</v>
      </c>
    </row>
    <row r="57" spans="1:9">
      <c r="A57" s="457" t="s">
        <v>227</v>
      </c>
      <c r="B57" s="27">
        <f>VLOOKUP(A57,[1]進出口值表查詢結果!$A$10:$C$58,3,0)</f>
        <v>1113</v>
      </c>
      <c r="C57" s="28">
        <f>VLOOKUP(A57,[1]進出口值表查詢結果!$A$10:$C$58,2,0)</f>
        <v>1956341</v>
      </c>
      <c r="D57" s="23">
        <f t="shared" si="0"/>
        <v>1757.7187780772686</v>
      </c>
      <c r="E57" s="27">
        <v>1113</v>
      </c>
      <c r="F57" s="29">
        <f t="shared" si="5"/>
        <v>2.1232354063334607E-2</v>
      </c>
      <c r="G57" s="27">
        <v>1956341</v>
      </c>
      <c r="H57" s="29">
        <f t="shared" si="6"/>
        <v>4.0393884878457381E-2</v>
      </c>
      <c r="I57" s="25">
        <f t="shared" si="1"/>
        <v>1757.7187780772686</v>
      </c>
    </row>
    <row r="58" spans="1:9">
      <c r="A58" s="455" t="s">
        <v>24</v>
      </c>
      <c r="B58" s="27">
        <v>0</v>
      </c>
      <c r="C58" s="28">
        <v>0</v>
      </c>
      <c r="D58" s="23">
        <f t="shared" si="0"/>
        <v>0</v>
      </c>
      <c r="E58" s="27">
        <v>0</v>
      </c>
      <c r="F58" s="29">
        <f t="shared" si="5"/>
        <v>0</v>
      </c>
      <c r="G58" s="27">
        <v>0</v>
      </c>
      <c r="H58" s="29">
        <f t="shared" si="6"/>
        <v>0</v>
      </c>
      <c r="I58" s="25">
        <f t="shared" si="1"/>
        <v>0</v>
      </c>
    </row>
    <row r="59" spans="1:9">
      <c r="A59" s="455" t="s">
        <v>25</v>
      </c>
      <c r="B59" s="27">
        <v>0</v>
      </c>
      <c r="C59" s="28">
        <v>0</v>
      </c>
      <c r="D59" s="23">
        <f t="shared" si="0"/>
        <v>0</v>
      </c>
      <c r="E59" s="27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55" t="s">
        <v>26</v>
      </c>
      <c r="B60" s="27">
        <f>VLOOKUP(A60,[1]進出口值表查詢結果!$A$10:$C$58,3,0)</f>
        <v>131</v>
      </c>
      <c r="C60" s="28">
        <f>VLOOKUP(A60,[1]進出口值表查詢結果!$A$10:$C$58,2,0)</f>
        <v>179750</v>
      </c>
      <c r="D60" s="23">
        <f t="shared" si="0"/>
        <v>1372.1374045801526</v>
      </c>
      <c r="E60" s="27">
        <v>131</v>
      </c>
      <c r="F60" s="29">
        <f t="shared" si="5"/>
        <v>2.4990461655856541E-3</v>
      </c>
      <c r="G60" s="27">
        <v>179750</v>
      </c>
      <c r="H60" s="29">
        <f t="shared" si="6"/>
        <v>3.7114188205955479E-3</v>
      </c>
      <c r="I60" s="25">
        <f t="shared" si="1"/>
        <v>1372.1374045801526</v>
      </c>
    </row>
    <row r="61" spans="1:9">
      <c r="A61" s="456" t="s">
        <v>228</v>
      </c>
      <c r="B61" s="27">
        <f>VLOOKUP(A61,[1]進出口值表查詢結果!$A$10:$C$58,3,0)</f>
        <v>172</v>
      </c>
      <c r="C61" s="28">
        <f>VLOOKUP(A61,[1]進出口值表查詢結果!$A$10:$C$58,2,0)</f>
        <v>237549</v>
      </c>
      <c r="D61" s="23">
        <f t="shared" si="0"/>
        <v>1381.0988372093022</v>
      </c>
      <c r="E61" s="27">
        <v>172</v>
      </c>
      <c r="F61" s="29">
        <f t="shared" si="5"/>
        <v>3.2811903853491036E-3</v>
      </c>
      <c r="G61" s="27">
        <v>237549</v>
      </c>
      <c r="H61" s="29">
        <f t="shared" si="6"/>
        <v>4.9048335433304691E-3</v>
      </c>
      <c r="I61" s="25">
        <f t="shared" si="1"/>
        <v>1381.0988372093022</v>
      </c>
    </row>
    <row r="62" spans="1:9">
      <c r="A62" s="455" t="s">
        <v>27</v>
      </c>
      <c r="B62" s="27">
        <f>VLOOKUP(A62,[1]進出口值表查詢結果!$A$10:$C$58,3,0)</f>
        <v>103</v>
      </c>
      <c r="C62" s="28">
        <f>VLOOKUP(A62,[1]進出口值表查詢結果!$A$10:$C$58,2,0)</f>
        <v>150471</v>
      </c>
      <c r="D62" s="23">
        <f t="shared" si="0"/>
        <v>1460.8834951456311</v>
      </c>
      <c r="E62" s="27">
        <v>103</v>
      </c>
      <c r="F62" s="29">
        <f t="shared" si="5"/>
        <v>1.9648988935520792E-3</v>
      </c>
      <c r="G62" s="27">
        <v>150471</v>
      </c>
      <c r="H62" s="29">
        <f t="shared" si="6"/>
        <v>3.106875668171531E-3</v>
      </c>
      <c r="I62" s="25">
        <f t="shared" si="1"/>
        <v>1460.8834951456311</v>
      </c>
    </row>
    <row r="63" spans="1:9">
      <c r="A63" s="294" t="s">
        <v>229</v>
      </c>
      <c r="B63" s="27">
        <v>0</v>
      </c>
      <c r="C63" s="28">
        <v>0</v>
      </c>
      <c r="D63" s="23">
        <f t="shared" si="0"/>
        <v>0</v>
      </c>
      <c r="E63" s="27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55" t="s">
        <v>28</v>
      </c>
      <c r="B64" s="27">
        <f>VLOOKUP(A64,[1]進出口值表查詢結果!$A$10:$C$58,3,0)</f>
        <v>1</v>
      </c>
      <c r="C64" s="28">
        <f>VLOOKUP(A64,[1]進出口值表查詢結果!$A$10:$C$58,2,0)</f>
        <v>15689</v>
      </c>
      <c r="D64" s="23">
        <f t="shared" si="0"/>
        <v>15689</v>
      </c>
      <c r="E64" s="27">
        <v>1</v>
      </c>
      <c r="F64" s="29">
        <f t="shared" si="5"/>
        <v>1.907668828691339E-5</v>
      </c>
      <c r="G64" s="27">
        <v>15689</v>
      </c>
      <c r="H64" s="29">
        <f t="shared" si="6"/>
        <v>3.2394130668330208E-4</v>
      </c>
      <c r="I64" s="25">
        <f t="shared" si="1"/>
        <v>15689</v>
      </c>
    </row>
    <row r="65" spans="1:256">
      <c r="A65" s="294" t="s">
        <v>230</v>
      </c>
      <c r="B65" s="27">
        <f>VLOOKUP(A65,[1]進出口值表查詢結果!$A$10:$C$58,3,0)</f>
        <v>57</v>
      </c>
      <c r="C65" s="28">
        <f>VLOOKUP(A65,[1]進出口值表查詢結果!$A$10:$C$58,2,0)</f>
        <v>71907</v>
      </c>
      <c r="D65" s="23">
        <f t="shared" si="0"/>
        <v>1261.5263157894738</v>
      </c>
      <c r="E65" s="27">
        <v>57</v>
      </c>
      <c r="F65" s="29">
        <f t="shared" si="5"/>
        <v>1.0873712323540632E-3</v>
      </c>
      <c r="G65" s="27">
        <v>71907</v>
      </c>
      <c r="H65" s="29">
        <f t="shared" si="6"/>
        <v>1.4847120619335969E-3</v>
      </c>
      <c r="I65" s="25">
        <f t="shared" si="1"/>
        <v>1261.5263157894738</v>
      </c>
    </row>
    <row r="66" spans="1:256">
      <c r="A66" s="30" t="s">
        <v>29</v>
      </c>
      <c r="B66" s="27">
        <f>B67-B7-B12-B41-B47</f>
        <v>1810</v>
      </c>
      <c r="C66" s="27">
        <f>C67-C7-C12-C41-C47</f>
        <v>2348736</v>
      </c>
      <c r="D66" s="23">
        <f t="shared" si="0"/>
        <v>1297.6441988950276</v>
      </c>
      <c r="E66" s="27">
        <v>1810</v>
      </c>
      <c r="F66" s="29">
        <f>E66/$E$67</f>
        <v>3.4528805799313236E-2</v>
      </c>
      <c r="G66" s="27">
        <v>2348736</v>
      </c>
      <c r="H66" s="29">
        <f t="shared" si="6"/>
        <v>4.8495927649570537E-2</v>
      </c>
      <c r="I66" s="25">
        <f t="shared" si="1"/>
        <v>1297.6441988950276</v>
      </c>
    </row>
    <row r="67" spans="1:256">
      <c r="A67" s="295" t="s">
        <v>403</v>
      </c>
      <c r="B67" s="27">
        <f>VLOOKUP(A67,[1]進出口值表查詢結果!$A$10:$C$58,3,0)</f>
        <v>52420</v>
      </c>
      <c r="C67" s="28">
        <f>VLOOKUP(A67,[1]進出口值表查詢結果!$A$10:$C$58,2,0)</f>
        <v>48431613</v>
      </c>
      <c r="D67" s="23">
        <f t="shared" ref="D67" si="9">C67/B67</f>
        <v>923.91478443342237</v>
      </c>
      <c r="E67" s="33">
        <v>52420</v>
      </c>
      <c r="F67" s="24">
        <f>E67/$E$67</f>
        <v>1</v>
      </c>
      <c r="G67" s="33">
        <v>48431613</v>
      </c>
      <c r="H67" s="24">
        <f>G67/$G$67</f>
        <v>1</v>
      </c>
      <c r="I67" s="25">
        <f>G67/E67</f>
        <v>923.91478443342237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4" t="s">
        <v>152</v>
      </c>
      <c r="B69" s="565"/>
      <c r="C69" s="565"/>
      <c r="D69" s="565"/>
      <c r="E69" s="565"/>
      <c r="F69" s="565"/>
      <c r="G69" s="565"/>
      <c r="H69" s="565"/>
      <c r="I69" s="566"/>
    </row>
    <row r="70" spans="1:256">
      <c r="A70" s="557" t="s">
        <v>477</v>
      </c>
      <c r="B70" s="8" t="s">
        <v>421</v>
      </c>
      <c r="C70" s="8" t="s">
        <v>422</v>
      </c>
      <c r="D70" s="9" t="s">
        <v>0</v>
      </c>
      <c r="E70" s="10" t="s">
        <v>423</v>
      </c>
      <c r="F70" s="11" t="s">
        <v>1</v>
      </c>
      <c r="G70" s="73" t="s">
        <v>424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1271</v>
      </c>
      <c r="C72" s="27">
        <v>706443</v>
      </c>
      <c r="D72" s="522">
        <f>C72/B72</f>
        <v>555.81667977970108</v>
      </c>
      <c r="E72" s="27">
        <v>1271</v>
      </c>
      <c r="F72" s="523">
        <v>1</v>
      </c>
      <c r="G72" s="27">
        <v>706443</v>
      </c>
      <c r="H72" s="53">
        <v>1</v>
      </c>
      <c r="I72" s="52">
        <f>G72/E72</f>
        <v>555.81667977970108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60" t="s">
        <v>492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topLeftCell="A55" workbookViewId="0">
      <selection activeCell="F70" sqref="F70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32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493</v>
      </c>
      <c r="B1" s="1"/>
      <c r="C1" s="57"/>
      <c r="D1" s="58"/>
      <c r="E1" s="543"/>
      <c r="F1" s="57"/>
      <c r="G1" s="58"/>
    </row>
    <row r="2" spans="1:10" ht="9.75" customHeight="1"/>
    <row r="3" spans="1:10">
      <c r="A3" s="112" t="s">
        <v>153</v>
      </c>
      <c r="B3" s="63"/>
      <c r="C3" s="66"/>
      <c r="D3" s="65"/>
      <c r="E3" s="533"/>
      <c r="F3" s="66"/>
      <c r="G3" s="201"/>
      <c r="H3" s="202"/>
      <c r="I3" s="68"/>
      <c r="J3" s="69"/>
    </row>
    <row r="4" spans="1:10">
      <c r="A4" s="70" t="s">
        <v>483</v>
      </c>
      <c r="B4" s="8" t="s">
        <v>484</v>
      </c>
      <c r="C4" s="71" t="s">
        <v>485</v>
      </c>
      <c r="D4" s="72" t="s">
        <v>157</v>
      </c>
      <c r="E4" s="534" t="s">
        <v>494</v>
      </c>
      <c r="F4" s="71" t="s">
        <v>485</v>
      </c>
      <c r="G4" s="74" t="s">
        <v>158</v>
      </c>
      <c r="H4" s="8" t="s">
        <v>484</v>
      </c>
      <c r="I4" s="71" t="s">
        <v>485</v>
      </c>
      <c r="J4" s="203" t="s">
        <v>117</v>
      </c>
    </row>
    <row r="5" spans="1:10">
      <c r="A5" s="46"/>
      <c r="B5" s="77" t="s">
        <v>32</v>
      </c>
      <c r="C5" s="76" t="s">
        <v>32</v>
      </c>
      <c r="D5" s="204" t="s">
        <v>1</v>
      </c>
      <c r="E5" s="535" t="s">
        <v>33</v>
      </c>
      <c r="F5" s="76" t="s">
        <v>33</v>
      </c>
      <c r="G5" s="204" t="s">
        <v>1</v>
      </c>
      <c r="H5" s="78" t="s">
        <v>34</v>
      </c>
      <c r="I5" s="79" t="s">
        <v>118</v>
      </c>
      <c r="J5" s="204" t="s">
        <v>1</v>
      </c>
    </row>
    <row r="6" spans="1:10">
      <c r="A6" s="20" t="s">
        <v>4</v>
      </c>
      <c r="B6" s="205"/>
      <c r="C6" s="81"/>
      <c r="D6" s="206"/>
      <c r="E6" s="536"/>
      <c r="F6" s="81"/>
      <c r="G6" s="207"/>
      <c r="H6" s="208"/>
      <c r="I6" s="84"/>
      <c r="J6" s="207"/>
    </row>
    <row r="7" spans="1:10">
      <c r="A7" s="123" t="s">
        <v>5</v>
      </c>
      <c r="B7" s="209">
        <f>SUM(B8:B10)</f>
        <v>0</v>
      </c>
      <c r="C7" s="210">
        <f>SUM(C8:C10)</f>
        <v>0</v>
      </c>
      <c r="D7" s="518">
        <f>IF(C7,(B7-C7)/C7,0)</f>
        <v>0</v>
      </c>
      <c r="E7" s="537">
        <f>SUM(E8:E10)</f>
        <v>0</v>
      </c>
      <c r="F7" s="210">
        <f>SUM(F8:F10)</f>
        <v>0</v>
      </c>
      <c r="G7" s="518">
        <f>IF(F7,(E7-F7)/F7,0)</f>
        <v>0</v>
      </c>
      <c r="H7" s="87">
        <f>IF(B7,E7/B7,0)</f>
        <v>0</v>
      </c>
      <c r="I7" s="88">
        <f>IF(C7,F7/C7,0)</f>
        <v>0</v>
      </c>
      <c r="J7" s="515">
        <f>IF(I7,(H7-I7)/I7,0)</f>
        <v>0</v>
      </c>
    </row>
    <row r="8" spans="1:10">
      <c r="A8" s="77" t="s">
        <v>381</v>
      </c>
      <c r="B8" s="211">
        <f>折疊車!E8</f>
        <v>0</v>
      </c>
      <c r="C8" s="212">
        <v>0</v>
      </c>
      <c r="D8" s="518">
        <f t="shared" ref="D8:D68" si="0">IF(C8,(B8-C8)/C8,0)</f>
        <v>0</v>
      </c>
      <c r="E8" s="538">
        <f>折疊車!G8</f>
        <v>0</v>
      </c>
      <c r="F8" s="212">
        <v>0</v>
      </c>
      <c r="G8" s="518">
        <f t="shared" ref="G8:G68" si="1">IF(F8,(E8-F8)/F8,0)</f>
        <v>0</v>
      </c>
      <c r="H8" s="87">
        <f t="shared" ref="H8:H10" si="2">IF(B8,E8/B8,0)</f>
        <v>0</v>
      </c>
      <c r="I8" s="88">
        <f t="shared" ref="I8:I10" si="3">IF(C8,F8/C8,0)</f>
        <v>0</v>
      </c>
      <c r="J8" s="515">
        <f t="shared" ref="J8:J68" si="4">IF(I8,(H8-I8)/I8,0)</f>
        <v>0</v>
      </c>
    </row>
    <row r="9" spans="1:10">
      <c r="A9" s="30" t="s">
        <v>6</v>
      </c>
      <c r="B9" s="211">
        <f>折疊車!E9</f>
        <v>0</v>
      </c>
      <c r="C9" s="212">
        <f>_xlfn.IFNA(VLOOKUP(A9,[3]折同!$C$3:$H$632,5,0),-[4]整車!$B$22)</f>
        <v>0</v>
      </c>
      <c r="D9" s="518">
        <f t="shared" si="0"/>
        <v>0</v>
      </c>
      <c r="E9" s="538">
        <f>折疊車!G9</f>
        <v>0</v>
      </c>
      <c r="F9" s="212">
        <f>_xlfn.IFNA(VLOOKUP(A9,[3]折同!$C$3:$H$352,3,0),-[4]整車!$B$22)</f>
        <v>0</v>
      </c>
      <c r="G9" s="518">
        <f t="shared" si="1"/>
        <v>0</v>
      </c>
      <c r="H9" s="87">
        <f t="shared" si="2"/>
        <v>0</v>
      </c>
      <c r="I9" s="88">
        <f t="shared" si="3"/>
        <v>0</v>
      </c>
      <c r="J9" s="515">
        <f t="shared" si="4"/>
        <v>0</v>
      </c>
    </row>
    <row r="10" spans="1:10">
      <c r="A10" s="30" t="s">
        <v>7</v>
      </c>
      <c r="B10" s="211">
        <f>折疊車!E10</f>
        <v>0</v>
      </c>
      <c r="C10" s="212">
        <f>_xlfn.IFNA(VLOOKUP(A10,[3]折同!$C$3:$H$632,5,0),-[4]整車!$B$22)</f>
        <v>0</v>
      </c>
      <c r="D10" s="518">
        <f t="shared" si="0"/>
        <v>0</v>
      </c>
      <c r="E10" s="538">
        <f>折疊車!G10</f>
        <v>0</v>
      </c>
      <c r="F10" s="212">
        <f>_xlfn.IFNA(VLOOKUP(A10,[3]折同!$C$3:$H$352,3,0),-[4]整車!$B$22)</f>
        <v>0</v>
      </c>
      <c r="G10" s="518">
        <f t="shared" si="1"/>
        <v>0</v>
      </c>
      <c r="H10" s="87">
        <f t="shared" si="2"/>
        <v>0</v>
      </c>
      <c r="I10" s="88">
        <f t="shared" si="3"/>
        <v>0</v>
      </c>
      <c r="J10" s="515">
        <f t="shared" si="4"/>
        <v>0</v>
      </c>
    </row>
    <row r="11" spans="1:10">
      <c r="A11" s="30"/>
      <c r="B11" s="27"/>
      <c r="C11" s="90"/>
      <c r="D11" s="518"/>
      <c r="E11" s="539"/>
      <c r="F11" s="90"/>
      <c r="G11" s="518"/>
      <c r="H11" s="87"/>
      <c r="I11" s="88"/>
      <c r="J11" s="515"/>
    </row>
    <row r="12" spans="1:10">
      <c r="A12" s="32" t="s">
        <v>8</v>
      </c>
      <c r="B12" s="33">
        <f>SUM(B13:B39)</f>
        <v>0</v>
      </c>
      <c r="C12" s="91">
        <f>SUM(C13:C39)</f>
        <v>0</v>
      </c>
      <c r="D12" s="518">
        <f t="shared" si="0"/>
        <v>0</v>
      </c>
      <c r="E12" s="540">
        <f>SUM(E13:E39)</f>
        <v>0</v>
      </c>
      <c r="F12" s="91">
        <f>SUM(F13:F39)</f>
        <v>0</v>
      </c>
      <c r="G12" s="518">
        <f t="shared" si="1"/>
        <v>0</v>
      </c>
      <c r="H12" s="87">
        <f t="shared" ref="H12:H67" si="5">IF(B12,E12/B12,0)</f>
        <v>0</v>
      </c>
      <c r="I12" s="88">
        <f t="shared" ref="I12:I67" si="6">IF(C12,F12/C12,0)</f>
        <v>0</v>
      </c>
      <c r="J12" s="515">
        <f t="shared" si="4"/>
        <v>0</v>
      </c>
    </row>
    <row r="13" spans="1:10">
      <c r="A13" s="454" t="s">
        <v>200</v>
      </c>
      <c r="B13" s="211">
        <f>折疊車!E13</f>
        <v>0</v>
      </c>
      <c r="C13" s="90">
        <v>0</v>
      </c>
      <c r="D13" s="518">
        <f t="shared" si="0"/>
        <v>0</v>
      </c>
      <c r="E13" s="539">
        <f>折疊車!G13</f>
        <v>0</v>
      </c>
      <c r="F13" s="212"/>
      <c r="G13" s="518">
        <f t="shared" si="1"/>
        <v>0</v>
      </c>
      <c r="H13" s="87">
        <f t="shared" si="5"/>
        <v>0</v>
      </c>
      <c r="I13" s="88">
        <f t="shared" si="6"/>
        <v>0</v>
      </c>
      <c r="J13" s="515">
        <f t="shared" si="4"/>
        <v>0</v>
      </c>
    </row>
    <row r="14" spans="1:10">
      <c r="A14" s="454" t="s">
        <v>201</v>
      </c>
      <c r="B14" s="211">
        <f>折疊車!E14</f>
        <v>0</v>
      </c>
      <c r="C14" s="90">
        <f>_xlfn.IFNA(VLOOKUP(A14,[3]折同!$C$3:$H$326,5,0),-[4]整車!$B$22)</f>
        <v>0</v>
      </c>
      <c r="D14" s="518">
        <f t="shared" si="0"/>
        <v>0</v>
      </c>
      <c r="E14" s="539">
        <f>折疊車!G14</f>
        <v>0</v>
      </c>
      <c r="F14" s="212">
        <f>_xlfn.IFNA(VLOOKUP(A14,[3]折同!$C$3:$H$355,3,0),-[4]整車!$B$22)</f>
        <v>0</v>
      </c>
      <c r="G14" s="518">
        <f t="shared" si="1"/>
        <v>0</v>
      </c>
      <c r="H14" s="87">
        <f t="shared" si="5"/>
        <v>0</v>
      </c>
      <c r="I14" s="88">
        <f t="shared" si="6"/>
        <v>0</v>
      </c>
      <c r="J14" s="515">
        <f t="shared" si="4"/>
        <v>0</v>
      </c>
    </row>
    <row r="15" spans="1:10">
      <c r="A15" s="455" t="s">
        <v>9</v>
      </c>
      <c r="B15" s="211">
        <f>折疊車!E15</f>
        <v>0</v>
      </c>
      <c r="C15" s="90">
        <v>0</v>
      </c>
      <c r="D15" s="518">
        <f t="shared" si="0"/>
        <v>0</v>
      </c>
      <c r="E15" s="539">
        <f>折疊車!G15</f>
        <v>0</v>
      </c>
      <c r="F15" s="212">
        <v>0</v>
      </c>
      <c r="G15" s="518">
        <f t="shared" si="1"/>
        <v>0</v>
      </c>
      <c r="H15" s="87">
        <f t="shared" si="5"/>
        <v>0</v>
      </c>
      <c r="I15" s="88">
        <f t="shared" si="6"/>
        <v>0</v>
      </c>
      <c r="J15" s="515">
        <f t="shared" si="4"/>
        <v>0</v>
      </c>
    </row>
    <row r="16" spans="1:10">
      <c r="A16" s="454" t="s">
        <v>202</v>
      </c>
      <c r="B16" s="211">
        <f>折疊車!E16</f>
        <v>0</v>
      </c>
      <c r="C16" s="90">
        <f>_xlfn.IFNA(VLOOKUP(A16,[3]折同!$C$3:$H$326,5,0),-[4]整車!$B$22)</f>
        <v>0</v>
      </c>
      <c r="D16" s="518">
        <f t="shared" si="0"/>
        <v>0</v>
      </c>
      <c r="E16" s="539">
        <f>折疊車!G16</f>
        <v>0</v>
      </c>
      <c r="F16" s="212">
        <f>_xlfn.IFNA(VLOOKUP(A16,[3]折同!$C$3:$H$355,3,0),-[4]整車!$B$22)</f>
        <v>0</v>
      </c>
      <c r="G16" s="518">
        <f t="shared" si="1"/>
        <v>0</v>
      </c>
      <c r="H16" s="87">
        <f t="shared" si="5"/>
        <v>0</v>
      </c>
      <c r="I16" s="88">
        <f t="shared" si="6"/>
        <v>0</v>
      </c>
      <c r="J16" s="515">
        <f t="shared" si="4"/>
        <v>0</v>
      </c>
    </row>
    <row r="17" spans="1:10">
      <c r="A17" s="455" t="s">
        <v>10</v>
      </c>
      <c r="B17" s="211">
        <f>折疊車!E17</f>
        <v>0</v>
      </c>
      <c r="C17" s="90">
        <f>_xlfn.IFNA(VLOOKUP(A17,[3]折同!$C$3:$H$326,5,0),-[4]整車!$B$22)</f>
        <v>0</v>
      </c>
      <c r="D17" s="518">
        <f t="shared" si="0"/>
        <v>0</v>
      </c>
      <c r="E17" s="539">
        <f>折疊車!G17</f>
        <v>0</v>
      </c>
      <c r="F17" s="212">
        <f>_xlfn.IFNA(VLOOKUP(A17,[3]折同!$C$3:$H$355,3,0),-[4]整車!$B$22)</f>
        <v>0</v>
      </c>
      <c r="G17" s="518">
        <f t="shared" si="1"/>
        <v>0</v>
      </c>
      <c r="H17" s="87">
        <f t="shared" si="5"/>
        <v>0</v>
      </c>
      <c r="I17" s="88">
        <f t="shared" si="6"/>
        <v>0</v>
      </c>
      <c r="J17" s="515">
        <f t="shared" si="4"/>
        <v>0</v>
      </c>
    </row>
    <row r="18" spans="1:10">
      <c r="A18" s="455" t="s">
        <v>11</v>
      </c>
      <c r="B18" s="211">
        <f>折疊車!E18</f>
        <v>0</v>
      </c>
      <c r="C18" s="90">
        <f>_xlfn.IFNA(VLOOKUP(A18,[3]折同!$C$3:$H$326,5,0),-[4]整車!$B$22)</f>
        <v>0</v>
      </c>
      <c r="D18" s="518">
        <f t="shared" si="0"/>
        <v>0</v>
      </c>
      <c r="E18" s="539">
        <f>折疊車!G18</f>
        <v>0</v>
      </c>
      <c r="F18" s="212">
        <f>_xlfn.IFNA(VLOOKUP(A18,[3]折同!$C$3:$H$355,3,0),-[4]整車!$B$22)</f>
        <v>0</v>
      </c>
      <c r="G18" s="518">
        <f t="shared" si="1"/>
        <v>0</v>
      </c>
      <c r="H18" s="87">
        <f t="shared" si="5"/>
        <v>0</v>
      </c>
      <c r="I18" s="88">
        <f t="shared" si="6"/>
        <v>0</v>
      </c>
      <c r="J18" s="515">
        <f t="shared" si="4"/>
        <v>0</v>
      </c>
    </row>
    <row r="19" spans="1:10">
      <c r="A19" s="454" t="s">
        <v>203</v>
      </c>
      <c r="B19" s="211">
        <f>折疊車!E19</f>
        <v>0</v>
      </c>
      <c r="C19" s="90">
        <f>_xlfn.IFNA(VLOOKUP(A19,[3]折同!$C$3:$H$326,5,0),-[4]整車!$B$22)</f>
        <v>0</v>
      </c>
      <c r="D19" s="518">
        <f t="shared" si="0"/>
        <v>0</v>
      </c>
      <c r="E19" s="539">
        <f>折疊車!G19</f>
        <v>0</v>
      </c>
      <c r="F19" s="212">
        <f>_xlfn.IFNA(VLOOKUP(A19,[3]折同!$C$3:$H$355,3,0),-[4]整車!$B$22)</f>
        <v>0</v>
      </c>
      <c r="G19" s="518">
        <f t="shared" si="1"/>
        <v>0</v>
      </c>
      <c r="H19" s="87">
        <f t="shared" si="5"/>
        <v>0</v>
      </c>
      <c r="I19" s="88">
        <f t="shared" si="6"/>
        <v>0</v>
      </c>
      <c r="J19" s="515">
        <f t="shared" si="4"/>
        <v>0</v>
      </c>
    </row>
    <row r="20" spans="1:10">
      <c r="A20" s="455" t="s">
        <v>12</v>
      </c>
      <c r="B20" s="211">
        <f>折疊車!E20</f>
        <v>0</v>
      </c>
      <c r="C20" s="90">
        <f>_xlfn.IFNA(VLOOKUP(A20,[3]折同!$C$3:$H$326,5,0),-[4]整車!$B$22)</f>
        <v>0</v>
      </c>
      <c r="D20" s="518">
        <f t="shared" si="0"/>
        <v>0</v>
      </c>
      <c r="E20" s="539">
        <f>折疊車!G20</f>
        <v>0</v>
      </c>
      <c r="F20" s="212">
        <f>_xlfn.IFNA(VLOOKUP(A20,[3]折同!$C$3:$H$355,3,0),-[4]整車!$B$22)</f>
        <v>0</v>
      </c>
      <c r="G20" s="518">
        <f t="shared" si="1"/>
        <v>0</v>
      </c>
      <c r="H20" s="87">
        <f t="shared" si="5"/>
        <v>0</v>
      </c>
      <c r="I20" s="88">
        <f t="shared" si="6"/>
        <v>0</v>
      </c>
      <c r="J20" s="515">
        <f t="shared" si="4"/>
        <v>0</v>
      </c>
    </row>
    <row r="21" spans="1:10">
      <c r="A21" s="454" t="s">
        <v>205</v>
      </c>
      <c r="B21" s="211">
        <f>折疊車!E21</f>
        <v>0</v>
      </c>
      <c r="C21" s="90">
        <f>_xlfn.IFNA(VLOOKUP(A21,[3]折同!$C$3:$H$326,5,0),-[4]整車!$B$22)</f>
        <v>0</v>
      </c>
      <c r="D21" s="518">
        <f t="shared" si="0"/>
        <v>0</v>
      </c>
      <c r="E21" s="539">
        <f>折疊車!G21</f>
        <v>0</v>
      </c>
      <c r="F21" s="212">
        <f>_xlfn.IFNA(VLOOKUP(A21,[3]折同!$C$3:$H$355,3,0),-[4]整車!$B$22)</f>
        <v>0</v>
      </c>
      <c r="G21" s="518">
        <f t="shared" si="1"/>
        <v>0</v>
      </c>
      <c r="H21" s="87">
        <f t="shared" si="5"/>
        <v>0</v>
      </c>
      <c r="I21" s="88">
        <f t="shared" si="6"/>
        <v>0</v>
      </c>
      <c r="J21" s="515">
        <f t="shared" si="4"/>
        <v>0</v>
      </c>
    </row>
    <row r="22" spans="1:10">
      <c r="A22" s="455" t="s">
        <v>13</v>
      </c>
      <c r="B22" s="211">
        <f>折疊車!E22</f>
        <v>0</v>
      </c>
      <c r="C22" s="90">
        <f>_xlfn.IFNA(VLOOKUP(A22,[3]折同!$C$3:$H$326,5,0),-[4]整車!$B$22)</f>
        <v>0</v>
      </c>
      <c r="D22" s="518">
        <f t="shared" si="0"/>
        <v>0</v>
      </c>
      <c r="E22" s="539">
        <f>折疊車!G22</f>
        <v>0</v>
      </c>
      <c r="F22" s="212">
        <f>_xlfn.IFNA(VLOOKUP(A22,[3]折同!$C$3:$H$355,3,0),-[4]整車!$B$22)</f>
        <v>0</v>
      </c>
      <c r="G22" s="518">
        <f t="shared" si="1"/>
        <v>0</v>
      </c>
      <c r="H22" s="87">
        <f t="shared" si="5"/>
        <v>0</v>
      </c>
      <c r="I22" s="88">
        <f t="shared" si="6"/>
        <v>0</v>
      </c>
      <c r="J22" s="515">
        <f t="shared" si="4"/>
        <v>0</v>
      </c>
    </row>
    <row r="23" spans="1:10">
      <c r="A23" s="455" t="s">
        <v>14</v>
      </c>
      <c r="B23" s="211">
        <f>折疊車!E23</f>
        <v>0</v>
      </c>
      <c r="C23" s="90">
        <f>_xlfn.IFNA(VLOOKUP(A23,[3]折同!$C$3:$H$326,5,0),-[4]整車!$B$22)</f>
        <v>0</v>
      </c>
      <c r="D23" s="518">
        <f t="shared" si="0"/>
        <v>0</v>
      </c>
      <c r="E23" s="539">
        <f>折疊車!G23</f>
        <v>0</v>
      </c>
      <c r="F23" s="212">
        <f>_xlfn.IFNA(VLOOKUP(A23,[3]折同!$C$3:$H$355,3,0),-[4]整車!$B$22)</f>
        <v>0</v>
      </c>
      <c r="G23" s="518">
        <f t="shared" si="1"/>
        <v>0</v>
      </c>
      <c r="H23" s="87">
        <f t="shared" si="5"/>
        <v>0</v>
      </c>
      <c r="I23" s="88">
        <f t="shared" si="6"/>
        <v>0</v>
      </c>
      <c r="J23" s="515">
        <f t="shared" si="4"/>
        <v>0</v>
      </c>
    </row>
    <row r="24" spans="1:10">
      <c r="A24" s="455" t="s">
        <v>15</v>
      </c>
      <c r="B24" s="211">
        <f>折疊車!E24</f>
        <v>0</v>
      </c>
      <c r="C24" s="90"/>
      <c r="D24" s="518">
        <f t="shared" si="0"/>
        <v>0</v>
      </c>
      <c r="E24" s="539">
        <f>折疊車!G24</f>
        <v>0</v>
      </c>
      <c r="F24" s="212"/>
      <c r="G24" s="518">
        <f t="shared" si="1"/>
        <v>0</v>
      </c>
      <c r="H24" s="87">
        <f t="shared" si="5"/>
        <v>0</v>
      </c>
      <c r="I24" s="88">
        <f t="shared" si="6"/>
        <v>0</v>
      </c>
      <c r="J24" s="515">
        <f t="shared" si="4"/>
        <v>0</v>
      </c>
    </row>
    <row r="25" spans="1:10">
      <c r="A25" s="454" t="s">
        <v>206</v>
      </c>
      <c r="B25" s="211">
        <f>折疊車!E25</f>
        <v>0</v>
      </c>
      <c r="C25" s="90">
        <f>_xlfn.IFNA(VLOOKUP(A25,[3]折同!$C$3:$H$326,5,0),-[4]整車!$B$22)</f>
        <v>0</v>
      </c>
      <c r="D25" s="518">
        <f t="shared" si="0"/>
        <v>0</v>
      </c>
      <c r="E25" s="539">
        <f>折疊車!G25</f>
        <v>0</v>
      </c>
      <c r="F25" s="212">
        <f>_xlfn.IFNA(VLOOKUP(A25,[3]折同!$C$3:$H$355,3,0),-[4]整車!$B$22)</f>
        <v>0</v>
      </c>
      <c r="G25" s="518">
        <f t="shared" si="1"/>
        <v>0</v>
      </c>
      <c r="H25" s="87">
        <f t="shared" si="5"/>
        <v>0</v>
      </c>
      <c r="I25" s="88">
        <f t="shared" si="6"/>
        <v>0</v>
      </c>
      <c r="J25" s="515">
        <f t="shared" si="4"/>
        <v>0</v>
      </c>
    </row>
    <row r="26" spans="1:10">
      <c r="A26" s="454" t="s">
        <v>207</v>
      </c>
      <c r="B26" s="211">
        <f>折疊車!E26</f>
        <v>0</v>
      </c>
      <c r="C26" s="90">
        <f>_xlfn.IFNA(VLOOKUP(A26,[3]折同!$C$3:$H$326,5,0),-[4]整車!$B$22)</f>
        <v>0</v>
      </c>
      <c r="D26" s="518">
        <f t="shared" si="0"/>
        <v>0</v>
      </c>
      <c r="E26" s="539">
        <f>折疊車!G26</f>
        <v>0</v>
      </c>
      <c r="F26" s="212">
        <f>_xlfn.IFNA(VLOOKUP(A26,[3]折同!$C$3:$H$355,3,0),-[4]整車!$B$22)</f>
        <v>0</v>
      </c>
      <c r="G26" s="518">
        <f t="shared" si="1"/>
        <v>0</v>
      </c>
      <c r="H26" s="87">
        <f t="shared" si="5"/>
        <v>0</v>
      </c>
      <c r="I26" s="88">
        <f t="shared" si="6"/>
        <v>0</v>
      </c>
      <c r="J26" s="515">
        <f t="shared" si="4"/>
        <v>0</v>
      </c>
    </row>
    <row r="27" spans="1:10">
      <c r="A27" s="294" t="s">
        <v>208</v>
      </c>
      <c r="B27" s="211">
        <f>折疊車!E27</f>
        <v>0</v>
      </c>
      <c r="C27" s="90">
        <f>_xlfn.IFNA(VLOOKUP(A27,[3]折同!$C$3:$H$326,5,0),-[4]整車!$B$22)</f>
        <v>0</v>
      </c>
      <c r="D27" s="518">
        <f t="shared" si="0"/>
        <v>0</v>
      </c>
      <c r="E27" s="539">
        <f>折疊車!G27</f>
        <v>0</v>
      </c>
      <c r="F27" s="212">
        <f>_xlfn.IFNA(VLOOKUP(A27,[3]折同!$C$3:$H$355,3,0),-[4]整車!$B$22)</f>
        <v>0</v>
      </c>
      <c r="G27" s="518">
        <f t="shared" si="1"/>
        <v>0</v>
      </c>
      <c r="H27" s="87">
        <f t="shared" si="5"/>
        <v>0</v>
      </c>
      <c r="I27" s="88">
        <f t="shared" si="6"/>
        <v>0</v>
      </c>
      <c r="J27" s="515">
        <f t="shared" si="4"/>
        <v>0</v>
      </c>
    </row>
    <row r="28" spans="1:10">
      <c r="A28" s="294" t="s">
        <v>209</v>
      </c>
      <c r="B28" s="211">
        <f>折疊車!E28</f>
        <v>0</v>
      </c>
      <c r="C28" s="90">
        <f>_xlfn.IFNA(VLOOKUP(A28,[3]折同!$C$3:$H$326,5,0),-[4]整車!$B$22)</f>
        <v>0</v>
      </c>
      <c r="D28" s="518">
        <f t="shared" si="0"/>
        <v>0</v>
      </c>
      <c r="E28" s="539">
        <f>折疊車!G28</f>
        <v>0</v>
      </c>
      <c r="F28" s="212">
        <f>_xlfn.IFNA(VLOOKUP(A28,[3]折同!$C$3:$H$355,3,0),-[4]整車!$B$22)</f>
        <v>0</v>
      </c>
      <c r="G28" s="518">
        <f t="shared" si="1"/>
        <v>0</v>
      </c>
      <c r="H28" s="87">
        <f t="shared" si="5"/>
        <v>0</v>
      </c>
      <c r="I28" s="88">
        <f t="shared" si="6"/>
        <v>0</v>
      </c>
      <c r="J28" s="515">
        <f t="shared" si="4"/>
        <v>0</v>
      </c>
    </row>
    <row r="29" spans="1:10">
      <c r="A29" s="455" t="s">
        <v>210</v>
      </c>
      <c r="B29" s="211">
        <f>折疊車!E29</f>
        <v>0</v>
      </c>
      <c r="C29" s="90">
        <f>_xlfn.IFNA(VLOOKUP(A29,[3]折同!$C$3:$H$326,5,0),-[4]整車!$B$22)</f>
        <v>0</v>
      </c>
      <c r="D29" s="518">
        <f t="shared" si="0"/>
        <v>0</v>
      </c>
      <c r="E29" s="539">
        <f>折疊車!G29</f>
        <v>0</v>
      </c>
      <c r="F29" s="212">
        <f>_xlfn.IFNA(VLOOKUP(A29,[3]折同!$C$3:$H$355,3,0),-[4]整車!$B$22)</f>
        <v>0</v>
      </c>
      <c r="G29" s="518">
        <f t="shared" si="1"/>
        <v>0</v>
      </c>
      <c r="H29" s="87">
        <f t="shared" si="5"/>
        <v>0</v>
      </c>
      <c r="I29" s="88">
        <f t="shared" si="6"/>
        <v>0</v>
      </c>
      <c r="J29" s="515">
        <f t="shared" si="4"/>
        <v>0</v>
      </c>
    </row>
    <row r="30" spans="1:10">
      <c r="A30" s="455" t="s">
        <v>211</v>
      </c>
      <c r="B30" s="211">
        <f>折疊車!E30</f>
        <v>0</v>
      </c>
      <c r="C30" s="90">
        <f>_xlfn.IFNA(VLOOKUP(A30,[3]折同!$C$3:$H$326,5,0),-[4]整車!$B$22)</f>
        <v>0</v>
      </c>
      <c r="D30" s="518">
        <f t="shared" si="0"/>
        <v>0</v>
      </c>
      <c r="E30" s="539">
        <f>折疊車!G30</f>
        <v>0</v>
      </c>
      <c r="F30" s="212">
        <f>_xlfn.IFNA(VLOOKUP(A30,[3]折同!$C$3:$H$355,3,0),-[4]整車!$B$22)</f>
        <v>0</v>
      </c>
      <c r="G30" s="518">
        <f t="shared" si="1"/>
        <v>0</v>
      </c>
      <c r="H30" s="87">
        <f t="shared" si="5"/>
        <v>0</v>
      </c>
      <c r="I30" s="88">
        <f t="shared" si="6"/>
        <v>0</v>
      </c>
      <c r="J30" s="515">
        <f t="shared" si="4"/>
        <v>0</v>
      </c>
    </row>
    <row r="31" spans="1:10">
      <c r="A31" s="455" t="s">
        <v>16</v>
      </c>
      <c r="B31" s="211">
        <f>折疊車!E31</f>
        <v>0</v>
      </c>
      <c r="C31" s="90">
        <f>_xlfn.IFNA(VLOOKUP(A31,[3]折同!$C$3:$H$326,5,0),-[4]整車!$B$22)</f>
        <v>0</v>
      </c>
      <c r="D31" s="518">
        <f t="shared" si="0"/>
        <v>0</v>
      </c>
      <c r="E31" s="539">
        <f>折疊車!G31</f>
        <v>0</v>
      </c>
      <c r="F31" s="212">
        <f>_xlfn.IFNA(VLOOKUP(A31,[3]折同!$C$3:$H$355,3,0),-[4]整車!$B$22)</f>
        <v>0</v>
      </c>
      <c r="G31" s="518">
        <f t="shared" si="1"/>
        <v>0</v>
      </c>
      <c r="H31" s="87">
        <f t="shared" si="5"/>
        <v>0</v>
      </c>
      <c r="I31" s="88">
        <f t="shared" si="6"/>
        <v>0</v>
      </c>
      <c r="J31" s="515">
        <f t="shared" si="4"/>
        <v>0</v>
      </c>
    </row>
    <row r="32" spans="1:10">
      <c r="A32" s="455" t="s">
        <v>17</v>
      </c>
      <c r="B32" s="211">
        <f>折疊車!E32</f>
        <v>0</v>
      </c>
      <c r="C32" s="90">
        <f>_xlfn.IFNA(VLOOKUP(A32,[3]折同!$C$3:$H$326,5,0),-[4]整車!$B$22)</f>
        <v>0</v>
      </c>
      <c r="D32" s="518">
        <f t="shared" si="0"/>
        <v>0</v>
      </c>
      <c r="E32" s="539">
        <f>折疊車!G32</f>
        <v>0</v>
      </c>
      <c r="F32" s="212">
        <f>_xlfn.IFNA(VLOOKUP(A32,[3]折同!$C$3:$H$355,3,0),-[4]整車!$B$22)</f>
        <v>0</v>
      </c>
      <c r="G32" s="518">
        <f t="shared" si="1"/>
        <v>0</v>
      </c>
      <c r="H32" s="87">
        <f t="shared" si="5"/>
        <v>0</v>
      </c>
      <c r="I32" s="88">
        <f t="shared" si="6"/>
        <v>0</v>
      </c>
      <c r="J32" s="515">
        <f t="shared" si="4"/>
        <v>0</v>
      </c>
    </row>
    <row r="33" spans="1:10">
      <c r="A33" s="455" t="s">
        <v>212</v>
      </c>
      <c r="B33" s="211">
        <f>折疊車!E33</f>
        <v>0</v>
      </c>
      <c r="C33" s="90">
        <f>_xlfn.IFNA(VLOOKUP(A33,[3]折同!$C$3:$H$326,5,0),-[4]整車!$B$22)</f>
        <v>0</v>
      </c>
      <c r="D33" s="518">
        <f t="shared" si="0"/>
        <v>0</v>
      </c>
      <c r="E33" s="539">
        <f>折疊車!G33</f>
        <v>0</v>
      </c>
      <c r="F33" s="212">
        <f>_xlfn.IFNA(VLOOKUP(A33,[3]折同!$C$3:$H$355,3,0),-[4]整車!$B$22)</f>
        <v>0</v>
      </c>
      <c r="G33" s="518">
        <f t="shared" si="1"/>
        <v>0</v>
      </c>
      <c r="H33" s="87">
        <f t="shared" si="5"/>
        <v>0</v>
      </c>
      <c r="I33" s="88">
        <f t="shared" si="6"/>
        <v>0</v>
      </c>
      <c r="J33" s="515">
        <f t="shared" si="4"/>
        <v>0</v>
      </c>
    </row>
    <row r="34" spans="1:10">
      <c r="A34" s="455" t="s">
        <v>213</v>
      </c>
      <c r="B34" s="211">
        <f>折疊車!E34</f>
        <v>0</v>
      </c>
      <c r="C34" s="90">
        <f>_xlfn.IFNA(VLOOKUP(A34,[3]折同!$C$3:$H$326,5,0),-[4]整車!$B$22)</f>
        <v>0</v>
      </c>
      <c r="D34" s="518">
        <f t="shared" si="0"/>
        <v>0</v>
      </c>
      <c r="E34" s="539">
        <f>折疊車!G34</f>
        <v>0</v>
      </c>
      <c r="F34" s="212">
        <f>_xlfn.IFNA(VLOOKUP(A34,[3]折同!$C$3:$H$355,3,0),-[4]整車!$B$22)</f>
        <v>0</v>
      </c>
      <c r="G34" s="518">
        <f t="shared" si="1"/>
        <v>0</v>
      </c>
      <c r="H34" s="87">
        <f t="shared" si="5"/>
        <v>0</v>
      </c>
      <c r="I34" s="88">
        <f t="shared" si="6"/>
        <v>0</v>
      </c>
      <c r="J34" s="515">
        <f t="shared" si="4"/>
        <v>0</v>
      </c>
    </row>
    <row r="35" spans="1:10">
      <c r="A35" s="455" t="s">
        <v>214</v>
      </c>
      <c r="B35" s="211">
        <f>折疊車!E35</f>
        <v>0</v>
      </c>
      <c r="C35" s="90">
        <f>_xlfn.IFNA(VLOOKUP(A35,[3]折同!$C$3:$H$326,5,0),-[4]整車!$B$22)</f>
        <v>0</v>
      </c>
      <c r="D35" s="518">
        <f t="shared" si="0"/>
        <v>0</v>
      </c>
      <c r="E35" s="539">
        <f>折疊車!G35</f>
        <v>0</v>
      </c>
      <c r="F35" s="212">
        <f>_xlfn.IFNA(VLOOKUP(A35,[3]折同!$C$3:$H$355,3,0),-[4]整車!$B$22)</f>
        <v>0</v>
      </c>
      <c r="G35" s="518">
        <f t="shared" si="1"/>
        <v>0</v>
      </c>
      <c r="H35" s="87">
        <f t="shared" si="5"/>
        <v>0</v>
      </c>
      <c r="I35" s="88">
        <f t="shared" si="6"/>
        <v>0</v>
      </c>
      <c r="J35" s="515">
        <f t="shared" si="4"/>
        <v>0</v>
      </c>
    </row>
    <row r="36" spans="1:10">
      <c r="A36" s="455" t="s">
        <v>382</v>
      </c>
      <c r="B36" s="211">
        <f>折疊車!E36</f>
        <v>0</v>
      </c>
      <c r="C36" s="90">
        <f>_xlfn.IFNA(VLOOKUP(A36,[3]折同!$C$3:$H$326,5,0),-[4]整車!$B$22)</f>
        <v>0</v>
      </c>
      <c r="D36" s="518">
        <f t="shared" si="0"/>
        <v>0</v>
      </c>
      <c r="E36" s="539">
        <f>折疊車!G36</f>
        <v>0</v>
      </c>
      <c r="F36" s="212">
        <f>_xlfn.IFNA(VLOOKUP(A36,[3]折同!$C$3:$H$355,3,0),-[4]整車!$B$22)</f>
        <v>0</v>
      </c>
      <c r="G36" s="518">
        <f t="shared" si="1"/>
        <v>0</v>
      </c>
      <c r="H36" s="87">
        <f t="shared" si="5"/>
        <v>0</v>
      </c>
      <c r="I36" s="88">
        <f t="shared" si="6"/>
        <v>0</v>
      </c>
      <c r="J36" s="515">
        <f t="shared" si="4"/>
        <v>0</v>
      </c>
    </row>
    <row r="37" spans="1:10">
      <c r="A37" s="455" t="s">
        <v>216</v>
      </c>
      <c r="B37" s="211">
        <f>折疊車!E37</f>
        <v>0</v>
      </c>
      <c r="C37" s="90">
        <f>_xlfn.IFNA(VLOOKUP(A37,[3]折同!$C$3:$H$326,5,0),-[4]整車!$B$22)</f>
        <v>0</v>
      </c>
      <c r="D37" s="518">
        <f t="shared" si="0"/>
        <v>0</v>
      </c>
      <c r="E37" s="539">
        <f>折疊車!G37</f>
        <v>0</v>
      </c>
      <c r="F37" s="212">
        <f>_xlfn.IFNA(VLOOKUP(A37,[3]折同!$C$3:$H$355,3,0),-[4]整車!$B$22)</f>
        <v>0</v>
      </c>
      <c r="G37" s="518">
        <f t="shared" si="1"/>
        <v>0</v>
      </c>
      <c r="H37" s="87">
        <f t="shared" si="5"/>
        <v>0</v>
      </c>
      <c r="I37" s="88">
        <f t="shared" si="6"/>
        <v>0</v>
      </c>
      <c r="J37" s="515">
        <f t="shared" si="4"/>
        <v>0</v>
      </c>
    </row>
    <row r="38" spans="1:10">
      <c r="A38" s="455" t="s">
        <v>217</v>
      </c>
      <c r="B38" s="211">
        <f>折疊車!E38</f>
        <v>0</v>
      </c>
      <c r="C38" s="90">
        <f>_xlfn.IFNA(VLOOKUP(A38,[3]折同!$C$3:$H$326,5,0),-[4]整車!$B$22)</f>
        <v>0</v>
      </c>
      <c r="D38" s="518">
        <f t="shared" si="0"/>
        <v>0</v>
      </c>
      <c r="E38" s="539">
        <f>折疊車!G38</f>
        <v>0</v>
      </c>
      <c r="F38" s="212">
        <f>_xlfn.IFNA(VLOOKUP(A38,[3]折同!$C$3:$H$355,3,0),-[4]整車!$B$22)</f>
        <v>0</v>
      </c>
      <c r="G38" s="518">
        <f t="shared" si="1"/>
        <v>0</v>
      </c>
      <c r="H38" s="87">
        <f t="shared" si="5"/>
        <v>0</v>
      </c>
      <c r="I38" s="88">
        <f t="shared" si="6"/>
        <v>0</v>
      </c>
      <c r="J38" s="515">
        <f t="shared" si="4"/>
        <v>0</v>
      </c>
    </row>
    <row r="39" spans="1:10">
      <c r="A39" s="455" t="s">
        <v>18</v>
      </c>
      <c r="B39" s="211">
        <f>折疊車!E39</f>
        <v>0</v>
      </c>
      <c r="C39" s="90">
        <f>_xlfn.IFNA(VLOOKUP(A39,[3]折同!$C$3:$H$326,5,0),-[4]整車!$B$22)</f>
        <v>0</v>
      </c>
      <c r="D39" s="518">
        <f t="shared" si="0"/>
        <v>0</v>
      </c>
      <c r="E39" s="539">
        <f>折疊車!G39</f>
        <v>0</v>
      </c>
      <c r="F39" s="212">
        <f>_xlfn.IFNA(VLOOKUP(A39,[3]折同!$C$3:$H$355,3,0),-[4]整車!$B$22)</f>
        <v>0</v>
      </c>
      <c r="G39" s="518">
        <f t="shared" si="1"/>
        <v>0</v>
      </c>
      <c r="H39" s="87">
        <f t="shared" si="5"/>
        <v>0</v>
      </c>
      <c r="I39" s="88">
        <f t="shared" si="6"/>
        <v>0</v>
      </c>
      <c r="J39" s="515">
        <f t="shared" si="4"/>
        <v>0</v>
      </c>
    </row>
    <row r="40" spans="1:10">
      <c r="A40" s="30"/>
      <c r="B40" s="27"/>
      <c r="C40" s="90"/>
      <c r="D40" s="518"/>
      <c r="E40" s="539"/>
      <c r="F40" s="90"/>
      <c r="G40" s="518"/>
      <c r="H40" s="87"/>
      <c r="I40" s="88"/>
      <c r="J40" s="515"/>
    </row>
    <row r="41" spans="1:10" ht="16.149999999999999" customHeight="1">
      <c r="A41" s="36" t="s">
        <v>19</v>
      </c>
      <c r="B41" s="33">
        <f>SUM(B42:B45)</f>
        <v>0</v>
      </c>
      <c r="C41" s="91">
        <f>SUM(C42:C45)</f>
        <v>0</v>
      </c>
      <c r="D41" s="518">
        <f t="shared" si="0"/>
        <v>0</v>
      </c>
      <c r="E41" s="540">
        <f>SUM(E42:E45)</f>
        <v>0</v>
      </c>
      <c r="F41" s="91">
        <f>SUM(F42:F45)</f>
        <v>0</v>
      </c>
      <c r="G41" s="518">
        <f t="shared" si="1"/>
        <v>0</v>
      </c>
      <c r="H41" s="87">
        <f t="shared" si="5"/>
        <v>0</v>
      </c>
      <c r="I41" s="88">
        <f t="shared" si="6"/>
        <v>0</v>
      </c>
      <c r="J41" s="515">
        <f t="shared" si="4"/>
        <v>0</v>
      </c>
    </row>
    <row r="42" spans="1:10">
      <c r="A42" s="26" t="s">
        <v>218</v>
      </c>
      <c r="B42" s="27">
        <f>折疊車!E42</f>
        <v>0</v>
      </c>
      <c r="C42" s="90">
        <f>_xlfn.IFNA(VLOOKUP(A42,[3]折同!$C$3:$H$326,5,0),-[4]整車!$B$22)</f>
        <v>0</v>
      </c>
      <c r="D42" s="518">
        <f t="shared" si="0"/>
        <v>0</v>
      </c>
      <c r="E42" s="539">
        <f>折疊車!G42</f>
        <v>0</v>
      </c>
      <c r="F42" s="212">
        <f>_xlfn.IFNA(VLOOKUP(A42,[3]折同!$C$3:$H$325,3,0),-[4]整車!$B$22)</f>
        <v>0</v>
      </c>
      <c r="G42" s="518">
        <f t="shared" si="1"/>
        <v>0</v>
      </c>
      <c r="H42" s="87">
        <f t="shared" si="5"/>
        <v>0</v>
      </c>
      <c r="I42" s="88">
        <f t="shared" si="6"/>
        <v>0</v>
      </c>
      <c r="J42" s="515">
        <f t="shared" si="4"/>
        <v>0</v>
      </c>
    </row>
    <row r="43" spans="1:10">
      <c r="A43" s="26" t="s">
        <v>219</v>
      </c>
      <c r="B43" s="27">
        <f>折疊車!E43</f>
        <v>0</v>
      </c>
      <c r="C43" s="90">
        <f>_xlfn.IFNA(VLOOKUP(A43,[3]折同!$C$3:$H$326,5,0),-[4]整車!$B$22)</f>
        <v>0</v>
      </c>
      <c r="D43" s="518">
        <f t="shared" si="0"/>
        <v>0</v>
      </c>
      <c r="E43" s="539">
        <f>折疊車!G43</f>
        <v>0</v>
      </c>
      <c r="F43" s="212">
        <f>_xlfn.IFNA(VLOOKUP(A43,[3]折同!$C$3:$H$325,3,0),-[4]整車!$B$22)</f>
        <v>0</v>
      </c>
      <c r="G43" s="518">
        <f t="shared" si="1"/>
        <v>0</v>
      </c>
      <c r="H43" s="87">
        <f t="shared" si="5"/>
        <v>0</v>
      </c>
      <c r="I43" s="88">
        <f t="shared" si="6"/>
        <v>0</v>
      </c>
      <c r="J43" s="515">
        <f t="shared" si="4"/>
        <v>0</v>
      </c>
    </row>
    <row r="44" spans="1:10">
      <c r="A44" s="26" t="s">
        <v>220</v>
      </c>
      <c r="B44" s="27">
        <f>折疊車!E44</f>
        <v>0</v>
      </c>
      <c r="C44" s="90">
        <f>_xlfn.IFNA(VLOOKUP(A44,[3]折同!$C$3:$H$326,5,0),-[4]整車!$B$22)</f>
        <v>0</v>
      </c>
      <c r="D44" s="518">
        <f t="shared" si="0"/>
        <v>0</v>
      </c>
      <c r="E44" s="539">
        <f>折疊車!G44</f>
        <v>0</v>
      </c>
      <c r="F44" s="212">
        <f>_xlfn.IFNA(VLOOKUP(A44,[3]折同!$C$3:$H$325,3,0),-[4]整車!$B$22)</f>
        <v>0</v>
      </c>
      <c r="G44" s="518">
        <f t="shared" si="1"/>
        <v>0</v>
      </c>
      <c r="H44" s="87">
        <f t="shared" si="5"/>
        <v>0</v>
      </c>
      <c r="I44" s="88">
        <f t="shared" si="6"/>
        <v>0</v>
      </c>
      <c r="J44" s="515">
        <f t="shared" si="4"/>
        <v>0</v>
      </c>
    </row>
    <row r="45" spans="1:10">
      <c r="A45" s="30" t="s">
        <v>20</v>
      </c>
      <c r="B45" s="27">
        <f>折疊車!E45</f>
        <v>0</v>
      </c>
      <c r="C45" s="90">
        <f>_xlfn.IFNA(VLOOKUP(A45,[3]折同!$C$3:$H$326,5,0),-[4]整車!$B$22)</f>
        <v>0</v>
      </c>
      <c r="D45" s="518">
        <f t="shared" si="0"/>
        <v>0</v>
      </c>
      <c r="E45" s="539">
        <f>折疊車!G45</f>
        <v>0</v>
      </c>
      <c r="F45" s="212">
        <f>_xlfn.IFNA(VLOOKUP(A45,[3]折同!$C$3:$H$325,3,0),-[4]整車!$B$22)</f>
        <v>0</v>
      </c>
      <c r="G45" s="518">
        <f t="shared" si="1"/>
        <v>0</v>
      </c>
      <c r="H45" s="87">
        <f t="shared" si="5"/>
        <v>0</v>
      </c>
      <c r="I45" s="88">
        <f t="shared" si="6"/>
        <v>0</v>
      </c>
      <c r="J45" s="515">
        <f t="shared" si="4"/>
        <v>0</v>
      </c>
    </row>
    <row r="46" spans="1:10">
      <c r="A46" s="30"/>
      <c r="B46" s="27"/>
      <c r="C46" s="90"/>
      <c r="D46" s="518"/>
      <c r="E46" s="539"/>
      <c r="F46" s="90"/>
      <c r="G46" s="518"/>
      <c r="H46" s="87"/>
      <c r="I46" s="88"/>
      <c r="J46" s="515"/>
    </row>
    <row r="47" spans="1:10">
      <c r="A47" s="36" t="s">
        <v>21</v>
      </c>
      <c r="B47" s="33">
        <f>SUM(B48:B66)</f>
        <v>0</v>
      </c>
      <c r="C47" s="91">
        <f>SUM(C48:C66)</f>
        <v>10</v>
      </c>
      <c r="D47" s="518">
        <f t="shared" si="0"/>
        <v>-1</v>
      </c>
      <c r="E47" s="540">
        <f>SUM(E48:E66)</f>
        <v>0</v>
      </c>
      <c r="F47" s="91">
        <f>SUM(F48:F66)</f>
        <v>15488</v>
      </c>
      <c r="G47" s="518">
        <f t="shared" si="1"/>
        <v>-1</v>
      </c>
      <c r="H47" s="87">
        <f t="shared" si="5"/>
        <v>0</v>
      </c>
      <c r="I47" s="88">
        <f t="shared" si="6"/>
        <v>1548.8</v>
      </c>
      <c r="J47" s="515">
        <f t="shared" si="4"/>
        <v>-1</v>
      </c>
    </row>
    <row r="48" spans="1:10">
      <c r="A48" s="486" t="s">
        <v>161</v>
      </c>
      <c r="B48" s="27">
        <f>折疊車!E48</f>
        <v>0</v>
      </c>
      <c r="C48" s="90">
        <v>0</v>
      </c>
      <c r="D48" s="518">
        <f t="shared" si="0"/>
        <v>0</v>
      </c>
      <c r="E48" s="539">
        <f>折疊車!G48</f>
        <v>0</v>
      </c>
      <c r="F48" s="212">
        <v>0</v>
      </c>
      <c r="G48" s="518">
        <f t="shared" si="1"/>
        <v>0</v>
      </c>
      <c r="H48" s="87">
        <f t="shared" si="5"/>
        <v>0</v>
      </c>
      <c r="I48" s="88">
        <f t="shared" si="6"/>
        <v>0</v>
      </c>
      <c r="J48" s="515">
        <f t="shared" si="4"/>
        <v>0</v>
      </c>
    </row>
    <row r="49" spans="1:10">
      <c r="A49" s="454" t="s">
        <v>221</v>
      </c>
      <c r="B49" s="27">
        <f>折疊車!E49</f>
        <v>0</v>
      </c>
      <c r="C49" s="90">
        <v>0</v>
      </c>
      <c r="D49" s="518">
        <f t="shared" si="0"/>
        <v>0</v>
      </c>
      <c r="E49" s="539">
        <f>折疊車!G49</f>
        <v>0</v>
      </c>
      <c r="F49" s="212">
        <v>0</v>
      </c>
      <c r="G49" s="518">
        <f t="shared" si="1"/>
        <v>0</v>
      </c>
      <c r="H49" s="87">
        <f t="shared" si="5"/>
        <v>0</v>
      </c>
      <c r="I49" s="88">
        <f t="shared" si="6"/>
        <v>0</v>
      </c>
      <c r="J49" s="515">
        <f t="shared" si="4"/>
        <v>0</v>
      </c>
    </row>
    <row r="50" spans="1:10">
      <c r="A50" s="291" t="s">
        <v>222</v>
      </c>
      <c r="B50" s="27">
        <f>折疊車!E50</f>
        <v>0</v>
      </c>
      <c r="C50" s="90">
        <f>_xlfn.IFNA(VLOOKUP(A50,[3]折同!$C$3:$H$352,5,0),-[4]整車!$B$22)</f>
        <v>0</v>
      </c>
      <c r="D50" s="518">
        <f t="shared" si="0"/>
        <v>0</v>
      </c>
      <c r="E50" s="539">
        <f>折疊車!G50</f>
        <v>0</v>
      </c>
      <c r="F50" s="212">
        <f>_xlfn.IFNA(VLOOKUP(A50,[3]折同!$C$3:$H$532,3,0),-[4]整車!$B$22)</f>
        <v>0</v>
      </c>
      <c r="G50" s="518">
        <f t="shared" si="1"/>
        <v>0</v>
      </c>
      <c r="H50" s="87">
        <f t="shared" si="5"/>
        <v>0</v>
      </c>
      <c r="I50" s="88">
        <f t="shared" si="6"/>
        <v>0</v>
      </c>
      <c r="J50" s="515">
        <f t="shared" si="4"/>
        <v>0</v>
      </c>
    </row>
    <row r="51" spans="1:10">
      <c r="A51" s="454" t="s">
        <v>223</v>
      </c>
      <c r="B51" s="27">
        <f>折疊車!E51</f>
        <v>0</v>
      </c>
      <c r="C51" s="90">
        <f>_xlfn.IFNA(VLOOKUP(A51,[3]折同!$C$3:$H$352,5,0),-[4]整車!$B$22)</f>
        <v>0</v>
      </c>
      <c r="D51" s="518">
        <f t="shared" si="0"/>
        <v>0</v>
      </c>
      <c r="E51" s="539">
        <f>折疊車!G51</f>
        <v>0</v>
      </c>
      <c r="F51" s="212">
        <f>_xlfn.IFNA(VLOOKUP(A51,[3]折同!$C$3:$H$532,3,0),-[4]整車!$B$22)</f>
        <v>0</v>
      </c>
      <c r="G51" s="518">
        <f t="shared" si="1"/>
        <v>0</v>
      </c>
      <c r="H51" s="87">
        <f t="shared" si="5"/>
        <v>0</v>
      </c>
      <c r="I51" s="88">
        <f t="shared" si="6"/>
        <v>0</v>
      </c>
      <c r="J51" s="515">
        <f t="shared" si="4"/>
        <v>0</v>
      </c>
    </row>
    <row r="52" spans="1:10">
      <c r="A52" s="455" t="s">
        <v>22</v>
      </c>
      <c r="B52" s="27">
        <f>折疊車!E52</f>
        <v>0</v>
      </c>
      <c r="C52" s="90">
        <f>_xlfn.IFNA(VLOOKUP(A52,[3]折同!$C$3:$H$352,5,0),-[4]整車!$B$22)</f>
        <v>0</v>
      </c>
      <c r="D52" s="518">
        <f t="shared" si="0"/>
        <v>0</v>
      </c>
      <c r="E52" s="539">
        <f>折疊車!G52</f>
        <v>0</v>
      </c>
      <c r="F52" s="212">
        <f>_xlfn.IFNA(VLOOKUP(A52,[3]折同!$C$3:$H$532,3,0),-[4]整車!$B$22)</f>
        <v>0</v>
      </c>
      <c r="G52" s="518">
        <f t="shared" si="1"/>
        <v>0</v>
      </c>
      <c r="H52" s="87">
        <f t="shared" si="5"/>
        <v>0</v>
      </c>
      <c r="I52" s="88">
        <f t="shared" si="6"/>
        <v>0</v>
      </c>
      <c r="J52" s="515">
        <f t="shared" si="4"/>
        <v>0</v>
      </c>
    </row>
    <row r="53" spans="1:10">
      <c r="A53" s="454" t="s">
        <v>224</v>
      </c>
      <c r="B53" s="27">
        <f>折疊車!E53</f>
        <v>0</v>
      </c>
      <c r="C53" s="90">
        <f>_xlfn.IFNA(VLOOKUP(A53,[3]折同!$C$3:$H$352,5,0),-[4]整車!$B$22)</f>
        <v>0</v>
      </c>
      <c r="D53" s="518">
        <f t="shared" si="0"/>
        <v>0</v>
      </c>
      <c r="E53" s="539">
        <f>折疊車!G53</f>
        <v>0</v>
      </c>
      <c r="F53" s="212">
        <f>_xlfn.IFNA(VLOOKUP(A53,[3]折同!$C$3:$H$532,3,0),-[4]整車!$B$22)</f>
        <v>0</v>
      </c>
      <c r="G53" s="518">
        <f t="shared" si="1"/>
        <v>0</v>
      </c>
      <c r="H53" s="87">
        <f t="shared" si="5"/>
        <v>0</v>
      </c>
      <c r="I53" s="88">
        <f t="shared" si="6"/>
        <v>0</v>
      </c>
      <c r="J53" s="515">
        <f t="shared" si="4"/>
        <v>0</v>
      </c>
    </row>
    <row r="54" spans="1:10">
      <c r="A54" s="455" t="s">
        <v>225</v>
      </c>
      <c r="B54" s="27">
        <f>折疊車!E54</f>
        <v>0</v>
      </c>
      <c r="C54" s="90">
        <f>_xlfn.IFNA(VLOOKUP(A54,[3]折同!$C$3:$H$352,5,0),-[4]整車!$B$22)</f>
        <v>0</v>
      </c>
      <c r="D54" s="518">
        <f t="shared" si="0"/>
        <v>0</v>
      </c>
      <c r="E54" s="539">
        <f>折疊車!G54</f>
        <v>0</v>
      </c>
      <c r="F54" s="212">
        <f>_xlfn.IFNA(VLOOKUP(A54,[3]折同!$C$3:$H$532,3,0),-[4]整車!$B$22)</f>
        <v>0</v>
      </c>
      <c r="G54" s="518">
        <f t="shared" si="1"/>
        <v>0</v>
      </c>
      <c r="H54" s="87">
        <f t="shared" si="5"/>
        <v>0</v>
      </c>
      <c r="I54" s="88">
        <f t="shared" si="6"/>
        <v>0</v>
      </c>
      <c r="J54" s="515">
        <f t="shared" si="4"/>
        <v>0</v>
      </c>
    </row>
    <row r="55" spans="1:10">
      <c r="A55" s="455" t="s">
        <v>23</v>
      </c>
      <c r="B55" s="27">
        <f>折疊車!E55</f>
        <v>0</v>
      </c>
      <c r="C55" s="90">
        <f>_xlfn.IFNA(VLOOKUP(A55,[3]折同!$C$3:$H$352,5,0),-[4]整車!$B$22)</f>
        <v>0</v>
      </c>
      <c r="D55" s="518">
        <f t="shared" si="0"/>
        <v>0</v>
      </c>
      <c r="E55" s="539">
        <f>折疊車!G55</f>
        <v>0</v>
      </c>
      <c r="F55" s="212">
        <f>_xlfn.IFNA(VLOOKUP(A55,[3]折同!$C$3:$H$532,3,0),-[4]整車!$B$22)</f>
        <v>0</v>
      </c>
      <c r="G55" s="518">
        <f t="shared" si="1"/>
        <v>0</v>
      </c>
      <c r="H55" s="87">
        <f t="shared" si="5"/>
        <v>0</v>
      </c>
      <c r="I55" s="88">
        <f t="shared" si="6"/>
        <v>0</v>
      </c>
      <c r="J55" s="515">
        <f t="shared" si="4"/>
        <v>0</v>
      </c>
    </row>
    <row r="56" spans="1:10">
      <c r="A56" s="455" t="s">
        <v>226</v>
      </c>
      <c r="B56" s="27">
        <f>折疊車!E56</f>
        <v>0</v>
      </c>
      <c r="C56" s="90">
        <v>0</v>
      </c>
      <c r="D56" s="518">
        <f t="shared" si="0"/>
        <v>0</v>
      </c>
      <c r="E56" s="539">
        <f>折疊車!G56</f>
        <v>0</v>
      </c>
      <c r="F56" s="212">
        <v>0</v>
      </c>
      <c r="G56" s="518">
        <f t="shared" si="1"/>
        <v>0</v>
      </c>
      <c r="H56" s="87">
        <f t="shared" si="5"/>
        <v>0</v>
      </c>
      <c r="I56" s="88">
        <f t="shared" si="6"/>
        <v>0</v>
      </c>
      <c r="J56" s="515">
        <f t="shared" si="4"/>
        <v>0</v>
      </c>
    </row>
    <row r="57" spans="1:10">
      <c r="A57" s="457" t="s">
        <v>227</v>
      </c>
      <c r="B57" s="27">
        <f>折疊車!E57</f>
        <v>0</v>
      </c>
      <c r="C57" s="90">
        <v>0</v>
      </c>
      <c r="D57" s="518">
        <f t="shared" si="0"/>
        <v>0</v>
      </c>
      <c r="E57" s="539">
        <f>折疊車!G57</f>
        <v>0</v>
      </c>
      <c r="F57" s="212">
        <v>0</v>
      </c>
      <c r="G57" s="518">
        <f t="shared" si="1"/>
        <v>0</v>
      </c>
      <c r="H57" s="87">
        <f t="shared" si="5"/>
        <v>0</v>
      </c>
      <c r="I57" s="88">
        <f t="shared" si="6"/>
        <v>0</v>
      </c>
      <c r="J57" s="515">
        <f t="shared" si="4"/>
        <v>0</v>
      </c>
    </row>
    <row r="58" spans="1:10">
      <c r="A58" s="294" t="s">
        <v>383</v>
      </c>
      <c r="B58" s="27">
        <f>折疊車!E58</f>
        <v>0</v>
      </c>
      <c r="C58" s="90">
        <v>10</v>
      </c>
      <c r="D58" s="518">
        <f t="shared" si="0"/>
        <v>-1</v>
      </c>
      <c r="E58" s="539">
        <f>折疊車!G58</f>
        <v>0</v>
      </c>
      <c r="F58" s="212">
        <v>15488</v>
      </c>
      <c r="G58" s="518">
        <f t="shared" si="1"/>
        <v>-1</v>
      </c>
      <c r="H58" s="87">
        <f t="shared" si="5"/>
        <v>0</v>
      </c>
      <c r="I58" s="88">
        <f t="shared" si="6"/>
        <v>1548.8</v>
      </c>
      <c r="J58" s="515">
        <f t="shared" si="4"/>
        <v>-1</v>
      </c>
    </row>
    <row r="59" spans="1:10">
      <c r="A59" s="455" t="s">
        <v>24</v>
      </c>
      <c r="B59" s="27">
        <f>折疊車!E59</f>
        <v>0</v>
      </c>
      <c r="C59" s="90">
        <v>0</v>
      </c>
      <c r="D59" s="518">
        <f t="shared" si="0"/>
        <v>0</v>
      </c>
      <c r="E59" s="539">
        <f>折疊車!G59</f>
        <v>0</v>
      </c>
      <c r="F59" s="212">
        <v>0</v>
      </c>
      <c r="G59" s="518">
        <f t="shared" si="1"/>
        <v>0</v>
      </c>
      <c r="H59" s="87">
        <f t="shared" si="5"/>
        <v>0</v>
      </c>
      <c r="I59" s="88">
        <f t="shared" si="6"/>
        <v>0</v>
      </c>
      <c r="J59" s="515">
        <f t="shared" si="4"/>
        <v>0</v>
      </c>
    </row>
    <row r="60" spans="1:10">
      <c r="A60" s="455" t="s">
        <v>25</v>
      </c>
      <c r="B60" s="27">
        <f>折疊車!E60</f>
        <v>0</v>
      </c>
      <c r="C60" s="90">
        <f>_xlfn.IFNA(VLOOKUP(A60,[3]折同!$C$3:$H$352,5,0),-[4]整車!$B$22)</f>
        <v>0</v>
      </c>
      <c r="D60" s="518">
        <f t="shared" si="0"/>
        <v>0</v>
      </c>
      <c r="E60" s="539">
        <f>折疊車!G60</f>
        <v>0</v>
      </c>
      <c r="F60" s="212">
        <f>_xlfn.IFNA(VLOOKUP(A60,[3]折同!$C$3:$H$532,3,0),-[4]整車!$B$22)</f>
        <v>0</v>
      </c>
      <c r="G60" s="518">
        <f t="shared" si="1"/>
        <v>0</v>
      </c>
      <c r="H60" s="87">
        <f t="shared" si="5"/>
        <v>0</v>
      </c>
      <c r="I60" s="88">
        <f t="shared" si="6"/>
        <v>0</v>
      </c>
      <c r="J60" s="515">
        <f t="shared" si="4"/>
        <v>0</v>
      </c>
    </row>
    <row r="61" spans="1:10">
      <c r="A61" s="455" t="s">
        <v>26</v>
      </c>
      <c r="B61" s="27">
        <f>折疊車!E61</f>
        <v>0</v>
      </c>
      <c r="C61" s="90">
        <f>_xlfn.IFNA(VLOOKUP(A61,[3]折同!$C$3:$H$352,5,0),-[4]整車!$B$22)</f>
        <v>0</v>
      </c>
      <c r="D61" s="518">
        <f t="shared" si="0"/>
        <v>0</v>
      </c>
      <c r="E61" s="539">
        <f>折疊車!G61</f>
        <v>0</v>
      </c>
      <c r="F61" s="212">
        <f>_xlfn.IFNA(VLOOKUP(A61,[3]折同!$C$3:$H$532,3,0),-[4]整車!$B$22)</f>
        <v>0</v>
      </c>
      <c r="G61" s="518">
        <f t="shared" si="1"/>
        <v>0</v>
      </c>
      <c r="H61" s="87">
        <f t="shared" si="5"/>
        <v>0</v>
      </c>
      <c r="I61" s="88">
        <f t="shared" si="6"/>
        <v>0</v>
      </c>
      <c r="J61" s="515">
        <f t="shared" si="4"/>
        <v>0</v>
      </c>
    </row>
    <row r="62" spans="1:10">
      <c r="A62" s="294" t="s">
        <v>228</v>
      </c>
      <c r="B62" s="27">
        <f>折疊車!E62</f>
        <v>0</v>
      </c>
      <c r="C62" s="90">
        <f>_xlfn.IFNA(VLOOKUP(A62,[3]折同!$C$3:$H$352,5,0),-[4]整車!$B$22)</f>
        <v>0</v>
      </c>
      <c r="D62" s="518">
        <f t="shared" si="0"/>
        <v>0</v>
      </c>
      <c r="E62" s="539">
        <f>折疊車!G62</f>
        <v>0</v>
      </c>
      <c r="F62" s="212">
        <f>_xlfn.IFNA(VLOOKUP(A62,[3]折同!$C$3:$H$532,3,0),-[4]整車!$B$22)</f>
        <v>0</v>
      </c>
      <c r="G62" s="518">
        <f t="shared" si="1"/>
        <v>0</v>
      </c>
      <c r="H62" s="87">
        <f t="shared" si="5"/>
        <v>0</v>
      </c>
      <c r="I62" s="88">
        <f t="shared" si="6"/>
        <v>0</v>
      </c>
      <c r="J62" s="515">
        <f t="shared" si="4"/>
        <v>0</v>
      </c>
    </row>
    <row r="63" spans="1:10">
      <c r="A63" s="455" t="s">
        <v>27</v>
      </c>
      <c r="B63" s="27">
        <f>折疊車!E63</f>
        <v>0</v>
      </c>
      <c r="C63" s="90">
        <f>_xlfn.IFNA(VLOOKUP(A63,[3]折同!$C$3:$H$352,5,0),-[4]整車!$B$22)</f>
        <v>0</v>
      </c>
      <c r="D63" s="518">
        <f t="shared" si="0"/>
        <v>0</v>
      </c>
      <c r="E63" s="539">
        <f>折疊車!G63</f>
        <v>0</v>
      </c>
      <c r="F63" s="212">
        <f>_xlfn.IFNA(VLOOKUP(A63,[3]折同!$C$3:$H$532,3,0),-[4]整車!$B$22)</f>
        <v>0</v>
      </c>
      <c r="G63" s="518">
        <f t="shared" si="1"/>
        <v>0</v>
      </c>
      <c r="H63" s="87">
        <f t="shared" si="5"/>
        <v>0</v>
      </c>
      <c r="I63" s="88">
        <f t="shared" si="6"/>
        <v>0</v>
      </c>
      <c r="J63" s="515">
        <f t="shared" si="4"/>
        <v>0</v>
      </c>
    </row>
    <row r="64" spans="1:10">
      <c r="A64" s="294" t="s">
        <v>229</v>
      </c>
      <c r="B64" s="27">
        <f>折疊車!E64</f>
        <v>0</v>
      </c>
      <c r="C64" s="90">
        <f>_xlfn.IFNA(VLOOKUP(A64,[3]折同!$C$3:$H$352,5,0),-[4]整車!$B$22)</f>
        <v>0</v>
      </c>
      <c r="D64" s="518">
        <f t="shared" si="0"/>
        <v>0</v>
      </c>
      <c r="E64" s="539">
        <f>折疊車!G64</f>
        <v>0</v>
      </c>
      <c r="F64" s="212">
        <f>_xlfn.IFNA(VLOOKUP(A64,[3]折同!$C$3:$H$532,3,0),-[4]整車!$B$22)</f>
        <v>0</v>
      </c>
      <c r="G64" s="518">
        <f t="shared" si="1"/>
        <v>0</v>
      </c>
      <c r="H64" s="87">
        <f t="shared" si="5"/>
        <v>0</v>
      </c>
      <c r="I64" s="88">
        <f t="shared" si="6"/>
        <v>0</v>
      </c>
      <c r="J64" s="515">
        <f t="shared" si="4"/>
        <v>0</v>
      </c>
    </row>
    <row r="65" spans="1:10">
      <c r="A65" s="455" t="s">
        <v>28</v>
      </c>
      <c r="B65" s="27">
        <f>折疊車!E65</f>
        <v>0</v>
      </c>
      <c r="C65" s="90"/>
      <c r="D65" s="518">
        <f t="shared" si="0"/>
        <v>0</v>
      </c>
      <c r="E65" s="539">
        <f>折疊車!G65</f>
        <v>0</v>
      </c>
      <c r="F65" s="212"/>
      <c r="G65" s="518">
        <f t="shared" si="1"/>
        <v>0</v>
      </c>
      <c r="H65" s="87">
        <f t="shared" si="5"/>
        <v>0</v>
      </c>
      <c r="I65" s="88">
        <f t="shared" si="6"/>
        <v>0</v>
      </c>
      <c r="J65" s="515">
        <f t="shared" si="4"/>
        <v>0</v>
      </c>
    </row>
    <row r="66" spans="1:10">
      <c r="A66" s="294" t="s">
        <v>230</v>
      </c>
      <c r="B66" s="27">
        <f>折疊車!E66</f>
        <v>0</v>
      </c>
      <c r="C66" s="90">
        <v>0</v>
      </c>
      <c r="D66" s="518">
        <f t="shared" si="0"/>
        <v>0</v>
      </c>
      <c r="E66" s="539">
        <f>折疊車!G66</f>
        <v>0</v>
      </c>
      <c r="F66" s="212">
        <v>0</v>
      </c>
      <c r="G66" s="518">
        <f t="shared" si="1"/>
        <v>0</v>
      </c>
      <c r="H66" s="87">
        <f t="shared" si="5"/>
        <v>0</v>
      </c>
      <c r="I66" s="88">
        <f t="shared" si="6"/>
        <v>0</v>
      </c>
      <c r="J66" s="515">
        <f t="shared" si="4"/>
        <v>0</v>
      </c>
    </row>
    <row r="67" spans="1:10">
      <c r="A67" s="30" t="s">
        <v>29</v>
      </c>
      <c r="B67" s="27">
        <f>B68-B47-B41-B12-B7</f>
        <v>1</v>
      </c>
      <c r="C67" s="90">
        <f>C68-C47-C41-C12-C7</f>
        <v>1</v>
      </c>
      <c r="D67" s="518">
        <f t="shared" si="0"/>
        <v>0</v>
      </c>
      <c r="E67" s="539">
        <f>E68-E47-E41-E12-E7</f>
        <v>122</v>
      </c>
      <c r="F67" s="90">
        <f>F68-F47-F41-F12-F7</f>
        <v>129</v>
      </c>
      <c r="G67" s="518">
        <f t="shared" si="1"/>
        <v>-5.4263565891472867E-2</v>
      </c>
      <c r="H67" s="87">
        <f t="shared" si="5"/>
        <v>122</v>
      </c>
      <c r="I67" s="88">
        <f t="shared" si="6"/>
        <v>129</v>
      </c>
      <c r="J67" s="515">
        <f t="shared" si="4"/>
        <v>-5.4263565891472867E-2</v>
      </c>
    </row>
    <row r="68" spans="1:10">
      <c r="A68" s="32" t="s">
        <v>402</v>
      </c>
      <c r="B68" s="33">
        <f>折疊車!E68</f>
        <v>1</v>
      </c>
      <c r="C68" s="90">
        <v>11</v>
      </c>
      <c r="D68" s="518">
        <f t="shared" si="0"/>
        <v>-0.90909090909090906</v>
      </c>
      <c r="E68" s="539">
        <f>折疊車!G68</f>
        <v>122</v>
      </c>
      <c r="F68" s="212">
        <v>15617</v>
      </c>
      <c r="G68" s="518">
        <f t="shared" si="1"/>
        <v>-0.99218800025613119</v>
      </c>
      <c r="H68" s="87">
        <f t="shared" ref="H68" si="7">E68/B68</f>
        <v>122</v>
      </c>
      <c r="I68" s="88">
        <f>F68/C68</f>
        <v>1419.7272727272727</v>
      </c>
      <c r="J68" s="515">
        <f t="shared" si="4"/>
        <v>-0.91406800281744249</v>
      </c>
    </row>
    <row r="69" spans="1:10" ht="9.75" customHeight="1">
      <c r="A69" s="38"/>
      <c r="B69" s="39"/>
      <c r="C69" s="150"/>
      <c r="D69" s="213"/>
      <c r="E69" s="541"/>
      <c r="F69" s="150"/>
      <c r="G69" s="213"/>
    </row>
    <row r="70" spans="1:10" ht="12.75" customHeight="1">
      <c r="A70" s="55" t="s">
        <v>491</v>
      </c>
      <c r="B70" s="13"/>
      <c r="E70" s="542"/>
      <c r="G70" s="60" t="s">
        <v>119</v>
      </c>
    </row>
  </sheetData>
  <phoneticPr fontId="3" type="noConversion"/>
  <conditionalFormatting sqref="D4">
    <cfRule type="cellIs" dxfId="54" priority="3" operator="greaterThanOrEqual">
      <formula>0</formula>
    </cfRule>
    <cfRule type="cellIs" dxfId="53" priority="4" operator="lessThan">
      <formula>0</formula>
    </cfRule>
  </conditionalFormatting>
  <conditionalFormatting sqref="G4">
    <cfRule type="cellIs" dxfId="52" priority="1" operator="greaterThanOrEqual">
      <formula>0</formula>
    </cfRule>
    <cfRule type="cellIs" dxfId="51" priority="2" operator="lessThan">
      <formula>0</formula>
    </cfRule>
  </conditionalFormatting>
  <conditionalFormatting sqref="J1:J3 J6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topLeftCell="A22" zoomScaleNormal="100" workbookViewId="0">
      <selection activeCell="D40" sqref="D40"/>
    </sheetView>
  </sheetViews>
  <sheetFormatPr defaultRowHeight="16.5"/>
  <cols>
    <col min="1" max="1" width="7.125" style="5" customWidth="1"/>
    <col min="2" max="2" width="11.25" style="5" customWidth="1"/>
    <col min="3" max="3" width="13" style="306" customWidth="1"/>
    <col min="4" max="4" width="10.75" style="307" customWidth="1"/>
    <col min="5" max="5" width="13.625" style="5" customWidth="1"/>
    <col min="6" max="6" width="14.25" style="306" customWidth="1"/>
    <col min="7" max="7" width="11" style="307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499</v>
      </c>
      <c r="B1" s="129"/>
      <c r="C1" s="304"/>
      <c r="D1" s="305"/>
      <c r="E1" s="129"/>
      <c r="F1" s="304"/>
      <c r="G1" s="305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420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498</v>
      </c>
      <c r="B4" s="68"/>
      <c r="C4" s="308"/>
      <c r="D4" s="309"/>
      <c r="E4" s="68"/>
      <c r="F4" s="310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478</v>
      </c>
      <c r="C6" s="147" t="s">
        <v>479</v>
      </c>
      <c r="D6" s="311" t="s">
        <v>60</v>
      </c>
      <c r="E6" s="30" t="s">
        <v>478</v>
      </c>
      <c r="F6" s="147" t="s">
        <v>479</v>
      </c>
      <c r="G6" s="311" t="s">
        <v>60</v>
      </c>
      <c r="I6" s="488"/>
      <c r="J6" s="488"/>
      <c r="K6" s="488"/>
      <c r="L6" s="488"/>
    </row>
    <row r="7" spans="1:16" ht="18" customHeight="1">
      <c r="A7" s="31">
        <v>1</v>
      </c>
      <c r="B7" s="385">
        <v>22972</v>
      </c>
      <c r="C7" s="91">
        <v>31988</v>
      </c>
      <c r="D7" s="515">
        <f t="shared" ref="D7:D19" si="0">(B7-C7)/C7</f>
        <v>-0.28185569588595721</v>
      </c>
      <c r="E7" s="33">
        <v>50191119</v>
      </c>
      <c r="F7" s="91">
        <v>61322914</v>
      </c>
      <c r="G7" s="515">
        <f t="shared" ref="G7:G19" si="1">(E7-F7)/F7</f>
        <v>-0.18152749557856954</v>
      </c>
      <c r="I7" s="488"/>
      <c r="J7" s="488"/>
    </row>
    <row r="8" spans="1:16" ht="18" customHeight="1">
      <c r="A8" s="31">
        <v>2</v>
      </c>
      <c r="B8" s="385"/>
      <c r="C8" s="386"/>
      <c r="D8" s="515"/>
      <c r="E8" s="385"/>
      <c r="F8" s="386"/>
      <c r="G8" s="515"/>
      <c r="I8" s="488"/>
      <c r="J8" s="488"/>
      <c r="K8" s="488"/>
      <c r="L8" s="488"/>
    </row>
    <row r="9" spans="1:16" ht="18" customHeight="1">
      <c r="A9" s="31">
        <v>3</v>
      </c>
      <c r="B9" s="385"/>
      <c r="C9" s="489"/>
      <c r="D9" s="515"/>
      <c r="E9" s="378"/>
      <c r="F9" s="386"/>
      <c r="G9" s="515"/>
      <c r="J9" s="488"/>
      <c r="K9" s="488"/>
    </row>
    <row r="10" spans="1:16" ht="18" customHeight="1">
      <c r="A10" s="31">
        <v>4</v>
      </c>
      <c r="B10" s="387"/>
      <c r="C10" s="388"/>
      <c r="D10" s="515"/>
      <c r="E10" s="387"/>
      <c r="F10" s="388"/>
      <c r="G10" s="515"/>
    </row>
    <row r="11" spans="1:16" ht="18" customHeight="1">
      <c r="A11" s="31">
        <v>5</v>
      </c>
      <c r="B11" s="385"/>
      <c r="C11" s="386"/>
      <c r="D11" s="515"/>
      <c r="E11" s="385"/>
      <c r="F11" s="386"/>
      <c r="G11" s="515"/>
    </row>
    <row r="12" spans="1:16" ht="18" customHeight="1">
      <c r="A12" s="31">
        <v>6</v>
      </c>
      <c r="B12" s="385"/>
      <c r="C12" s="386"/>
      <c r="D12" s="515"/>
      <c r="E12" s="385"/>
      <c r="F12" s="386"/>
      <c r="G12" s="515"/>
      <c r="J12" s="488"/>
      <c r="K12" s="488"/>
    </row>
    <row r="13" spans="1:16" ht="18" customHeight="1">
      <c r="A13" s="31">
        <v>7</v>
      </c>
      <c r="B13" s="389"/>
      <c r="C13" s="386"/>
      <c r="D13" s="515"/>
      <c r="E13" s="389"/>
      <c r="F13" s="386"/>
      <c r="G13" s="515"/>
    </row>
    <row r="14" spans="1:16" ht="18" customHeight="1">
      <c r="A14" s="31">
        <v>8</v>
      </c>
      <c r="B14" s="385"/>
      <c r="C14" s="386"/>
      <c r="D14" s="515"/>
      <c r="E14" s="385"/>
      <c r="F14" s="386"/>
      <c r="G14" s="515"/>
      <c r="J14" s="488"/>
      <c r="K14" s="488"/>
    </row>
    <row r="15" spans="1:16" ht="18" customHeight="1">
      <c r="A15" s="31">
        <v>9</v>
      </c>
      <c r="B15" s="27"/>
      <c r="C15" s="386"/>
      <c r="D15" s="515"/>
      <c r="E15" s="27"/>
      <c r="F15" s="386"/>
      <c r="G15" s="515"/>
    </row>
    <row r="16" spans="1:16" ht="18" customHeight="1">
      <c r="A16" s="31">
        <v>10</v>
      </c>
      <c r="B16" s="27"/>
      <c r="C16" s="386"/>
      <c r="D16" s="515"/>
      <c r="E16" s="27"/>
      <c r="F16" s="386"/>
      <c r="G16" s="515"/>
    </row>
    <row r="17" spans="1:18" ht="18" customHeight="1">
      <c r="A17" s="31">
        <v>11</v>
      </c>
      <c r="B17" s="27"/>
      <c r="C17" s="510"/>
      <c r="D17" s="515"/>
      <c r="E17" s="27"/>
      <c r="F17" s="511"/>
      <c r="G17" s="515"/>
    </row>
    <row r="18" spans="1:18" ht="18" customHeight="1">
      <c r="A18" s="31">
        <v>12</v>
      </c>
      <c r="B18" s="27"/>
      <c r="C18" s="510"/>
      <c r="D18" s="515"/>
      <c r="E18" s="27"/>
      <c r="F18" s="511"/>
      <c r="G18" s="515"/>
      <c r="I18" s="490"/>
      <c r="J18" s="490"/>
      <c r="K18" s="490"/>
      <c r="L18" s="490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22972</v>
      </c>
      <c r="C19" s="91">
        <f>SUM(C7:C18)</f>
        <v>31988</v>
      </c>
      <c r="D19" s="515">
        <f t="shared" si="0"/>
        <v>-0.28185569588595721</v>
      </c>
      <c r="E19" s="33">
        <f>SUM(E7:E18)</f>
        <v>50191119</v>
      </c>
      <c r="F19" s="91">
        <f>SUM(F7:F18)</f>
        <v>61322914</v>
      </c>
      <c r="G19" s="515">
        <f t="shared" si="1"/>
        <v>-0.18152749557856954</v>
      </c>
      <c r="H19" s="5"/>
      <c r="I19" s="490"/>
      <c r="J19" s="490"/>
      <c r="K19" s="490"/>
      <c r="L19" s="490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91"/>
      <c r="D20" s="312"/>
      <c r="E20" s="39"/>
      <c r="F20" s="491"/>
      <c r="G20" s="312"/>
      <c r="H20" s="5"/>
      <c r="I20" s="490"/>
      <c r="J20" s="490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91"/>
      <c r="D21" s="312"/>
      <c r="E21" s="39"/>
      <c r="F21" s="491"/>
      <c r="G21" s="312"/>
      <c r="H21" s="5"/>
      <c r="I21" s="490"/>
      <c r="J21" s="490"/>
      <c r="K21" s="490"/>
      <c r="L21" s="490"/>
      <c r="M21"/>
      <c r="N21"/>
      <c r="O21"/>
      <c r="P21"/>
      <c r="Q21"/>
      <c r="R21"/>
    </row>
    <row r="22" spans="1:18" ht="18" customHeight="1">
      <c r="A22" s="1" t="s">
        <v>500</v>
      </c>
      <c r="B22" s="129"/>
      <c r="C22" s="304"/>
      <c r="D22" s="305"/>
      <c r="E22" s="129"/>
      <c r="F22" s="304"/>
      <c r="G22" s="305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304"/>
      <c r="D23" s="305"/>
      <c r="E23" s="129"/>
      <c r="F23" s="304"/>
      <c r="G23" s="305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2" t="s">
        <v>416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480</v>
      </c>
      <c r="B25" s="158"/>
      <c r="C25" s="313"/>
      <c r="D25" s="314"/>
      <c r="E25" s="158"/>
      <c r="F25" s="315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3" t="s">
        <v>52</v>
      </c>
      <c r="C26" s="164"/>
      <c r="D26" s="165"/>
      <c r="E26" s="166" t="s">
        <v>53</v>
      </c>
      <c r="F26" s="164"/>
      <c r="G26" s="165"/>
    </row>
    <row r="27" spans="1:18" ht="18" customHeight="1">
      <c r="A27" s="94"/>
      <c r="B27" s="30" t="s">
        <v>478</v>
      </c>
      <c r="C27" s="147" t="s">
        <v>479</v>
      </c>
      <c r="D27" s="311" t="s">
        <v>412</v>
      </c>
      <c r="E27" s="30" t="s">
        <v>478</v>
      </c>
      <c r="F27" s="147" t="s">
        <v>479</v>
      </c>
      <c r="G27" s="311" t="s">
        <v>413</v>
      </c>
    </row>
    <row r="28" spans="1:18" ht="18" customHeight="1">
      <c r="A28" s="31">
        <v>1</v>
      </c>
      <c r="B28" s="385">
        <v>1</v>
      </c>
      <c r="C28" s="508">
        <v>11</v>
      </c>
      <c r="D28" s="515">
        <f>(B28-C28)/C28</f>
        <v>-0.90909090909090906</v>
      </c>
      <c r="E28" s="385">
        <v>122</v>
      </c>
      <c r="F28" s="508">
        <v>15617</v>
      </c>
      <c r="G28" s="515">
        <f>(E28-F28)/F28</f>
        <v>-0.99218800025613119</v>
      </c>
    </row>
    <row r="29" spans="1:18" ht="18" customHeight="1">
      <c r="A29" s="31">
        <v>2</v>
      </c>
      <c r="B29" s="385"/>
      <c r="C29" s="508"/>
      <c r="D29" s="515"/>
      <c r="E29" s="385"/>
      <c r="F29" s="508"/>
      <c r="G29" s="515"/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5"/>
      <c r="C30" s="508"/>
      <c r="D30" s="515"/>
      <c r="E30" s="385"/>
      <c r="F30" s="508"/>
      <c r="G30" s="515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5"/>
      <c r="C31" s="509"/>
      <c r="D31" s="515"/>
      <c r="E31" s="387"/>
      <c r="F31" s="509"/>
      <c r="G31" s="515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5"/>
      <c r="C32" s="508"/>
      <c r="D32" s="515"/>
      <c r="E32" s="385"/>
      <c r="F32" s="508"/>
      <c r="G32" s="515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5"/>
      <c r="C33" s="508"/>
      <c r="D33" s="515"/>
      <c r="E33" s="385"/>
      <c r="F33" s="508"/>
      <c r="G33" s="515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5"/>
      <c r="C34" s="508"/>
      <c r="D34" s="515"/>
      <c r="E34" s="385"/>
      <c r="F34" s="508"/>
      <c r="G34" s="515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5"/>
      <c r="C35" s="508"/>
      <c r="D35" s="515"/>
      <c r="E35" s="385"/>
      <c r="F35" s="508"/>
      <c r="G35" s="51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08"/>
      <c r="D36" s="515"/>
      <c r="E36" s="27"/>
      <c r="F36" s="508"/>
      <c r="G36" s="51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08"/>
      <c r="D37" s="515"/>
      <c r="E37" s="27"/>
      <c r="F37" s="508"/>
      <c r="G37" s="51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515"/>
      <c r="E38" s="27"/>
      <c r="F38" s="90"/>
      <c r="G38" s="51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515"/>
      <c r="E39" s="27"/>
      <c r="F39" s="90"/>
      <c r="G39" s="515"/>
      <c r="I39" s="490"/>
      <c r="J39" s="490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1</v>
      </c>
      <c r="C40" s="91">
        <f>SUM(C28:C39)</f>
        <v>11</v>
      </c>
      <c r="D40" s="515">
        <f t="shared" ref="D40" si="2">(B40-C40)/C40</f>
        <v>-0.90909090909090906</v>
      </c>
      <c r="E40" s="33">
        <f>SUM(E28:E39)</f>
        <v>122</v>
      </c>
      <c r="F40" s="91">
        <f>SUM(F28:F39)</f>
        <v>15617</v>
      </c>
      <c r="G40" s="515">
        <f t="shared" ref="G40" si="3">(E40-F40)/F40</f>
        <v>-0.99218800025613119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91"/>
      <c r="D41" s="312"/>
      <c r="E41" s="39"/>
      <c r="F41" s="491"/>
      <c r="G41" s="312"/>
      <c r="H41" s="5"/>
      <c r="I41" s="490"/>
      <c r="J41" s="490"/>
      <c r="K41" s="490"/>
      <c r="L41" s="490"/>
      <c r="M41"/>
      <c r="N41"/>
      <c r="O41"/>
      <c r="P41"/>
    </row>
    <row r="42" spans="1:16" s="13" customFormat="1">
      <c r="A42" s="54" t="s">
        <v>414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 B8:C8 B9 E9 B11:C14">
    <cfRule type="cellIs" dxfId="48" priority="35" operator="lessThan">
      <formula>0</formula>
    </cfRule>
  </conditionalFormatting>
  <conditionalFormatting sqref="B31">
    <cfRule type="cellIs" dxfId="47" priority="5" operator="lessThan">
      <formula>0</formula>
    </cfRule>
  </conditionalFormatting>
  <conditionalFormatting sqref="B28:C30 B32:C35 C36:C37">
    <cfRule type="cellIs" dxfId="46" priority="33" operator="lessThan">
      <formula>0</formula>
    </cfRule>
  </conditionalFormatting>
  <conditionalFormatting sqref="C15:C16">
    <cfRule type="cellIs" dxfId="45" priority="31" operator="lessThan">
      <formula>0</formula>
    </cfRule>
  </conditionalFormatting>
  <conditionalFormatting sqref="D7:D19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E8:F9 E11:F14">
    <cfRule type="cellIs" dxfId="40" priority="34" operator="lessThan">
      <formula>0</formula>
    </cfRule>
  </conditionalFormatting>
  <conditionalFormatting sqref="E28:F30 E32:F35 F36:F37">
    <cfRule type="cellIs" dxfId="39" priority="32" operator="lessThan">
      <formula>0</formula>
    </cfRule>
  </conditionalFormatting>
  <conditionalFormatting sqref="F15:F16">
    <cfRule type="cellIs" dxfId="38" priority="30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20" customWidth="1"/>
    <col min="4" max="4" width="16.625" style="320" customWidth="1"/>
    <col min="5" max="5" width="2.375" style="320" customWidth="1"/>
    <col min="6" max="6" width="17.125" style="320" customWidth="1"/>
    <col min="7" max="7" width="19" style="320" customWidth="1"/>
    <col min="8" max="8" width="2.125" style="320" customWidth="1"/>
    <col min="9" max="9" width="15.625" style="320" customWidth="1"/>
    <col min="10" max="10" width="17.875" style="320" customWidth="1"/>
    <col min="11" max="11" width="2.5" style="320" customWidth="1"/>
    <col min="12" max="12" width="17.125" style="320" customWidth="1"/>
    <col min="13" max="13" width="18.5" style="320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7" customFormat="1" ht="19.5">
      <c r="A1" s="1" t="s">
        <v>501</v>
      </c>
      <c r="B1" s="1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s="317" customFormat="1">
      <c r="C2" s="318"/>
      <c r="D2" s="318"/>
      <c r="E2" s="318"/>
      <c r="F2" s="318"/>
      <c r="G2" s="318"/>
      <c r="H2" s="318"/>
      <c r="I2" s="318"/>
      <c r="J2" s="318"/>
      <c r="K2" s="318"/>
      <c r="L2" s="5"/>
      <c r="M2" s="318" t="s">
        <v>61</v>
      </c>
    </row>
    <row r="3" spans="1:13" s="317" customFormat="1">
      <c r="A3" s="319"/>
      <c r="B3" s="319"/>
      <c r="C3" s="318"/>
      <c r="D3" s="318"/>
      <c r="E3" s="318"/>
      <c r="F3" s="318"/>
      <c r="G3" s="318"/>
      <c r="H3" s="318"/>
      <c r="I3" s="318"/>
      <c r="J3" s="318"/>
      <c r="K3" s="318"/>
      <c r="L3" s="5"/>
      <c r="M3" s="318" t="s">
        <v>62</v>
      </c>
    </row>
    <row r="4" spans="1:13">
      <c r="M4" s="5"/>
    </row>
    <row r="5" spans="1:13" s="317" customFormat="1">
      <c r="A5" s="321" t="s">
        <v>63</v>
      </c>
      <c r="B5" s="322"/>
      <c r="C5" s="323" t="s">
        <v>425</v>
      </c>
      <c r="D5" s="324" t="s">
        <v>426</v>
      </c>
      <c r="E5" s="322"/>
      <c r="F5" s="323" t="s">
        <v>427</v>
      </c>
      <c r="G5" s="325" t="s">
        <v>428</v>
      </c>
      <c r="H5" s="322"/>
      <c r="I5" s="323" t="s">
        <v>429</v>
      </c>
      <c r="J5" s="324" t="s">
        <v>430</v>
      </c>
      <c r="K5" s="322"/>
      <c r="L5" s="323" t="s">
        <v>431</v>
      </c>
      <c r="M5" s="325" t="s">
        <v>432</v>
      </c>
    </row>
    <row r="6" spans="1:13">
      <c r="A6" s="326">
        <v>85121010001</v>
      </c>
      <c r="B6" s="481"/>
      <c r="C6" s="480"/>
      <c r="D6" s="327"/>
      <c r="E6" s="480"/>
      <c r="F6" s="480"/>
      <c r="G6" s="327"/>
      <c r="H6" s="480"/>
      <c r="I6" s="480"/>
      <c r="J6" s="327"/>
      <c r="K6" s="480"/>
      <c r="L6" s="480"/>
      <c r="M6" s="327"/>
    </row>
    <row r="7" spans="1:13">
      <c r="A7" s="328" t="s">
        <v>64</v>
      </c>
      <c r="B7" s="317"/>
      <c r="C7" s="469">
        <v>12870</v>
      </c>
      <c r="D7" s="469">
        <v>1266129</v>
      </c>
      <c r="F7" s="469">
        <v>12870</v>
      </c>
      <c r="G7" s="469">
        <v>1266129</v>
      </c>
      <c r="I7" s="469">
        <v>4218</v>
      </c>
      <c r="J7" s="469">
        <v>246562</v>
      </c>
      <c r="L7" s="469">
        <v>4218</v>
      </c>
      <c r="M7" s="469">
        <v>246562</v>
      </c>
    </row>
    <row r="8" spans="1:13">
      <c r="A8" s="328" t="s">
        <v>65</v>
      </c>
      <c r="B8" s="13" t="s">
        <v>66</v>
      </c>
      <c r="C8" s="469">
        <v>95151</v>
      </c>
      <c r="D8" s="468" t="s">
        <v>395</v>
      </c>
      <c r="E8" s="13" t="s">
        <v>66</v>
      </c>
      <c r="F8" s="469">
        <v>95151</v>
      </c>
      <c r="G8" s="468" t="s">
        <v>394</v>
      </c>
      <c r="H8" s="13" t="s">
        <v>66</v>
      </c>
      <c r="I8" s="469">
        <v>73382</v>
      </c>
      <c r="J8" s="468" t="s">
        <v>395</v>
      </c>
      <c r="K8" s="320" t="s">
        <v>66</v>
      </c>
      <c r="L8" s="469">
        <v>73382</v>
      </c>
      <c r="M8" s="468" t="s">
        <v>394</v>
      </c>
    </row>
    <row r="9" spans="1:13">
      <c r="A9" s="330">
        <v>85121020009</v>
      </c>
      <c r="B9" s="479"/>
      <c r="C9" s="477"/>
      <c r="D9" s="474"/>
      <c r="E9" s="478"/>
      <c r="F9" s="477"/>
      <c r="G9" s="474"/>
      <c r="H9" s="478"/>
      <c r="I9" s="477"/>
      <c r="J9" s="477"/>
      <c r="K9" s="478"/>
      <c r="L9" s="477"/>
      <c r="M9" s="477"/>
    </row>
    <row r="10" spans="1:13">
      <c r="A10" s="328" t="s">
        <v>67</v>
      </c>
      <c r="B10" s="317"/>
      <c r="C10" s="469">
        <v>3510</v>
      </c>
      <c r="D10" s="469">
        <v>498116</v>
      </c>
      <c r="F10" s="469">
        <v>3510</v>
      </c>
      <c r="G10" s="469">
        <v>498116</v>
      </c>
      <c r="I10" s="469">
        <v>1668</v>
      </c>
      <c r="J10" s="469">
        <v>138608</v>
      </c>
      <c r="L10" s="469">
        <v>1668</v>
      </c>
      <c r="M10" s="469">
        <v>138608</v>
      </c>
    </row>
    <row r="11" spans="1:13">
      <c r="A11" s="328" t="s">
        <v>68</v>
      </c>
      <c r="B11" s="13" t="s">
        <v>66</v>
      </c>
      <c r="C11" s="469">
        <v>40033</v>
      </c>
      <c r="D11" s="468" t="s">
        <v>395</v>
      </c>
      <c r="E11" s="13" t="s">
        <v>66</v>
      </c>
      <c r="F11" s="469">
        <v>40033</v>
      </c>
      <c r="G11" s="468" t="s">
        <v>394</v>
      </c>
      <c r="H11" s="13" t="s">
        <v>66</v>
      </c>
      <c r="I11" s="469">
        <v>29688</v>
      </c>
      <c r="J11" s="468" t="s">
        <v>394</v>
      </c>
      <c r="K11" s="320" t="s">
        <v>66</v>
      </c>
      <c r="L11" s="469">
        <v>29688</v>
      </c>
      <c r="M11" s="468" t="s">
        <v>394</v>
      </c>
    </row>
    <row r="12" spans="1:13">
      <c r="A12" s="331">
        <v>87149120007</v>
      </c>
      <c r="B12" s="473"/>
      <c r="C12" s="470"/>
      <c r="D12" s="474"/>
      <c r="E12" s="472"/>
      <c r="F12" s="470"/>
      <c r="G12" s="474"/>
      <c r="H12" s="472"/>
      <c r="I12" s="474"/>
      <c r="J12" s="470"/>
      <c r="K12" s="472"/>
      <c r="L12" s="477"/>
      <c r="M12" s="477"/>
    </row>
    <row r="13" spans="1:13">
      <c r="A13" s="328" t="s">
        <v>70</v>
      </c>
      <c r="B13" s="317"/>
      <c r="C13" s="469">
        <f>VLOOKUP(A12,[10]進出口值表查詢結果!$A$3:$E$19,4,0)</f>
        <v>705938</v>
      </c>
      <c r="D13" s="469">
        <f>VLOOKUP(A12,[10]進出口值表查詢結果!$A$3:$E$19,3,0)</f>
        <v>39123975</v>
      </c>
      <c r="F13" s="469">
        <v>705938</v>
      </c>
      <c r="G13" s="469">
        <v>39123975</v>
      </c>
      <c r="I13" s="469">
        <f>VLOOKUP(A12,[11]進出口值表查詢結果!$A$3:$E$19,4,0)</f>
        <v>358652</v>
      </c>
      <c r="J13" s="469">
        <f>VLOOKUP(A12,[11]進出口值表查詢結果!$A$3:$E$19,3,0)</f>
        <v>24896039</v>
      </c>
      <c r="L13" s="469">
        <v>358652</v>
      </c>
      <c r="M13" s="469">
        <v>24896039</v>
      </c>
    </row>
    <row r="14" spans="1:13">
      <c r="A14" s="328" t="s">
        <v>71</v>
      </c>
      <c r="B14" s="13" t="s">
        <v>66</v>
      </c>
      <c r="C14" s="469">
        <f>VLOOKUP(A12,[12]出!$B$11:$G$350,6,0)</f>
        <v>0</v>
      </c>
      <c r="D14" s="468"/>
      <c r="E14" s="13" t="s">
        <v>66</v>
      </c>
      <c r="F14" s="469">
        <v>0</v>
      </c>
      <c r="G14" s="468"/>
      <c r="I14" s="469"/>
      <c r="J14" s="468"/>
      <c r="L14" s="469"/>
      <c r="M14" s="468"/>
    </row>
    <row r="15" spans="1:13">
      <c r="A15" s="331">
        <v>87149200108</v>
      </c>
      <c r="B15" s="473"/>
      <c r="C15" s="474"/>
      <c r="D15" s="470"/>
      <c r="E15" s="472"/>
      <c r="F15" s="474"/>
      <c r="G15" s="470"/>
      <c r="H15" s="472"/>
      <c r="I15" s="474"/>
      <c r="J15" s="470"/>
      <c r="K15" s="472"/>
      <c r="L15" s="474"/>
      <c r="M15" s="470"/>
    </row>
    <row r="16" spans="1:13">
      <c r="A16" s="328" t="s">
        <v>72</v>
      </c>
      <c r="B16" s="317"/>
      <c r="C16" s="469">
        <f>VLOOKUP(A15,[10]進出口值表查詢結果!$A$3:$E$19,4,0)</f>
        <v>99122</v>
      </c>
      <c r="D16" s="469">
        <f>VLOOKUP(A15,[10]進出口值表查詢結果!$A$3:$E$19,3,0)</f>
        <v>3318036</v>
      </c>
      <c r="F16" s="469">
        <v>99122</v>
      </c>
      <c r="G16" s="469">
        <v>3318036</v>
      </c>
      <c r="I16" s="469">
        <f>VLOOKUP(A15,[11]進出口值表查詢結果!$A$3:$E$19,4,0)</f>
        <v>46581</v>
      </c>
      <c r="J16" s="469">
        <f>VLOOKUP(A15,[11]進出口值表查詢結果!$A$3:$E$19,3,0)</f>
        <v>5247553</v>
      </c>
      <c r="L16" s="469">
        <v>46581</v>
      </c>
      <c r="M16" s="469">
        <v>5247553</v>
      </c>
    </row>
    <row r="17" spans="1:13">
      <c r="A17" s="328"/>
      <c r="B17" s="13" t="s">
        <v>66</v>
      </c>
      <c r="C17" s="469">
        <f>VLOOKUP(A15,[10]進出口值表查詢結果!$A$3:$E$19,5,0)</f>
        <v>181590</v>
      </c>
      <c r="D17" s="468" t="s">
        <v>154</v>
      </c>
      <c r="E17" s="13" t="s">
        <v>66</v>
      </c>
      <c r="F17" s="469">
        <v>181590</v>
      </c>
      <c r="G17" s="468" t="s">
        <v>69</v>
      </c>
      <c r="H17" s="13" t="s">
        <v>66</v>
      </c>
      <c r="I17" s="469">
        <f>VLOOKUP(A15,[11]進出口值表查詢結果!$A$3:$E$19,5,0)</f>
        <v>93422</v>
      </c>
      <c r="J17" s="468" t="s">
        <v>69</v>
      </c>
      <c r="K17" s="320" t="s">
        <v>66</v>
      </c>
      <c r="L17" s="469">
        <v>93422</v>
      </c>
      <c r="M17" s="468" t="s">
        <v>69</v>
      </c>
    </row>
    <row r="18" spans="1:13">
      <c r="A18" s="331">
        <v>87149200206</v>
      </c>
      <c r="B18" s="473"/>
      <c r="C18" s="474"/>
      <c r="D18" s="470"/>
      <c r="E18" s="472"/>
      <c r="F18" s="474"/>
      <c r="G18" s="470"/>
      <c r="H18" s="472"/>
      <c r="I18" s="471"/>
      <c r="J18" s="470"/>
      <c r="K18" s="472"/>
      <c r="L18" s="471"/>
      <c r="M18" s="470"/>
    </row>
    <row r="19" spans="1:13">
      <c r="A19" s="328" t="s">
        <v>56</v>
      </c>
      <c r="B19" s="317"/>
      <c r="C19" s="469">
        <f>VLOOKUP(A18,[10]進出口值表查詢結果!$A$3:$E$19,4,0)</f>
        <v>110710</v>
      </c>
      <c r="D19" s="469">
        <f>VLOOKUP(A18,[10]進出口值表查詢結果!$A$3:$E$19,3,0)</f>
        <v>1273213</v>
      </c>
      <c r="F19" s="469">
        <v>110710</v>
      </c>
      <c r="G19" s="469">
        <v>1273213</v>
      </c>
      <c r="I19" s="469">
        <f>VLOOKUP(A18,[11]進出口值表查詢結果!$A$3:$E$19,4,0)</f>
        <v>10676</v>
      </c>
      <c r="J19" s="469">
        <f>VLOOKUP(A18,[11]進出口值表查詢結果!$A$3:$E$19,3,0)</f>
        <v>1335114</v>
      </c>
      <c r="L19" s="469">
        <v>10676</v>
      </c>
      <c r="M19" s="469">
        <v>1335114</v>
      </c>
    </row>
    <row r="20" spans="1:13">
      <c r="A20" s="328"/>
      <c r="B20" s="13" t="s">
        <v>66</v>
      </c>
      <c r="C20" s="469">
        <f>VLOOKUP(A18,[10]進出口值表查詢結果!$A$3:$E$19,5,0)</f>
        <v>16090559</v>
      </c>
      <c r="D20" s="468" t="s">
        <v>154</v>
      </c>
      <c r="E20" s="13" t="s">
        <v>66</v>
      </c>
      <c r="F20" s="469">
        <v>16090559</v>
      </c>
      <c r="G20" s="468" t="s">
        <v>69</v>
      </c>
      <c r="H20" s="13" t="s">
        <v>66</v>
      </c>
      <c r="I20" s="469">
        <f>VLOOKUP(A18,[11]進出口值表查詢結果!$A$3:$E$19,5,0)</f>
        <v>2560850</v>
      </c>
      <c r="J20" s="468" t="s">
        <v>69</v>
      </c>
      <c r="K20" s="320" t="s">
        <v>66</v>
      </c>
      <c r="L20" s="469">
        <v>2560850</v>
      </c>
      <c r="M20" s="468" t="s">
        <v>69</v>
      </c>
    </row>
    <row r="21" spans="1:13">
      <c r="A21" s="331">
        <v>87149200304</v>
      </c>
      <c r="B21" s="473"/>
      <c r="C21" s="474"/>
      <c r="D21" s="470"/>
      <c r="E21" s="472"/>
      <c r="F21" s="474"/>
      <c r="G21" s="470"/>
      <c r="H21" s="472"/>
      <c r="I21" s="471"/>
      <c r="J21" s="470"/>
      <c r="K21" s="472"/>
      <c r="L21" s="471"/>
      <c r="M21" s="470"/>
    </row>
    <row r="22" spans="1:13">
      <c r="A22" s="328" t="s">
        <v>57</v>
      </c>
      <c r="B22" s="317"/>
      <c r="C22" s="469">
        <f>VLOOKUP(A21,[10]進出口值表查詢結果!$A$3:$E$19,4,0)</f>
        <v>61443</v>
      </c>
      <c r="D22" s="469">
        <f>VLOOKUP(A21,[10]進出口值表查詢結果!$A$3:$E$19,3,0)</f>
        <v>8564035</v>
      </c>
      <c r="E22" s="320">
        <f>[13]二全年出口類別合計驗算!U18</f>
        <v>0</v>
      </c>
      <c r="F22" s="469">
        <v>61443</v>
      </c>
      <c r="G22" s="469">
        <v>8564035</v>
      </c>
      <c r="I22" s="469">
        <f>VLOOKUP(A21,[11]進出口值表查詢結果!$A$3:$E$19,4,0)</f>
        <v>4766</v>
      </c>
      <c r="J22" s="469">
        <f>VLOOKUP(A21,[11]進出口值表查詢結果!$A$3:$E$19,3,0)</f>
        <v>486349</v>
      </c>
      <c r="L22" s="469">
        <v>4766</v>
      </c>
      <c r="M22" s="469">
        <v>486349</v>
      </c>
    </row>
    <row r="23" spans="1:13">
      <c r="A23" s="331">
        <v>87149310007</v>
      </c>
      <c r="B23" s="473"/>
      <c r="C23" s="474"/>
      <c r="D23" s="470"/>
      <c r="E23" s="472"/>
      <c r="F23" s="474"/>
      <c r="G23" s="470"/>
      <c r="H23" s="472"/>
      <c r="I23" s="471"/>
      <c r="J23" s="470"/>
      <c r="K23" s="472"/>
      <c r="L23" s="471"/>
      <c r="M23" s="470"/>
    </row>
    <row r="24" spans="1:13">
      <c r="A24" s="328" t="s">
        <v>73</v>
      </c>
      <c r="B24" s="317"/>
      <c r="C24" s="469">
        <f>VLOOKUP(A23,[10]進出口值表查詢結果!$A$3:$E$19,4,0)</f>
        <v>39389</v>
      </c>
      <c r="D24" s="469">
        <f>VLOOKUP(A23,[10]進出口值表查詢結果!$A$3:$E$19,3,0)</f>
        <v>3519371</v>
      </c>
      <c r="F24" s="469">
        <v>39389</v>
      </c>
      <c r="G24" s="469">
        <v>3519371</v>
      </c>
      <c r="I24" s="469">
        <f>VLOOKUP(A23,[11]進出口值表查詢結果!$A$3:$E$19,4,0)</f>
        <v>48403</v>
      </c>
      <c r="J24" s="469">
        <f>VLOOKUP(A23,[11]進出口值表查詢結果!$A$3:$E$19,3,0)</f>
        <v>2227470</v>
      </c>
      <c r="L24" s="469">
        <v>48403</v>
      </c>
      <c r="M24" s="469">
        <v>2227470</v>
      </c>
    </row>
    <row r="25" spans="1:13">
      <c r="A25" s="328" t="s">
        <v>74</v>
      </c>
      <c r="B25" s="317"/>
      <c r="C25" s="469"/>
      <c r="D25" s="468"/>
      <c r="F25" s="469"/>
      <c r="G25" s="468"/>
      <c r="I25" s="469"/>
      <c r="J25" s="468"/>
      <c r="L25" s="469"/>
      <c r="M25" s="468"/>
    </row>
    <row r="26" spans="1:13">
      <c r="A26" s="328" t="s">
        <v>75</v>
      </c>
      <c r="B26" s="317"/>
      <c r="C26" s="469"/>
      <c r="D26" s="468"/>
      <c r="F26" s="469"/>
      <c r="G26" s="468"/>
      <c r="I26" s="469"/>
      <c r="J26" s="468"/>
      <c r="L26" s="469"/>
      <c r="M26" s="468"/>
    </row>
    <row r="27" spans="1:13">
      <c r="A27" s="331">
        <v>87149320103</v>
      </c>
      <c r="B27" s="473"/>
      <c r="C27" s="474"/>
      <c r="D27" s="470"/>
      <c r="E27" s="472"/>
      <c r="F27" s="474"/>
      <c r="G27" s="470"/>
      <c r="H27" s="472"/>
      <c r="I27" s="471"/>
      <c r="J27" s="470"/>
      <c r="K27" s="472"/>
      <c r="L27" s="471"/>
      <c r="M27" s="470"/>
    </row>
    <row r="28" spans="1:13">
      <c r="A28" s="328" t="s">
        <v>408</v>
      </c>
      <c r="B28" s="317"/>
      <c r="C28" s="469">
        <f>VLOOKUP(A27,[10]進出口值表查詢結果!$A$3:$E$19,4,0)</f>
        <v>3429</v>
      </c>
      <c r="D28" s="469">
        <f>VLOOKUP(A27,[10]進出口值表查詢結果!$A$3:$E$19,3,0)</f>
        <v>86226</v>
      </c>
      <c r="F28" s="469">
        <v>3429</v>
      </c>
      <c r="G28" s="469">
        <v>86226</v>
      </c>
      <c r="I28" s="469">
        <f>VLOOKUP(A27,[11]進出口值表查詢結果!$A$3:$E$19,4,0)</f>
        <v>151</v>
      </c>
      <c r="J28" s="469">
        <f>VLOOKUP(A27,[11]進出口值表查詢結果!$A$3:$E$19,3,0)</f>
        <v>3648</v>
      </c>
      <c r="L28" s="469">
        <v>151</v>
      </c>
      <c r="M28" s="469">
        <v>3648</v>
      </c>
    </row>
    <row r="29" spans="1:13">
      <c r="A29" s="331">
        <v>87149410006</v>
      </c>
      <c r="B29" s="473"/>
      <c r="C29" s="474"/>
      <c r="D29" s="470"/>
      <c r="E29" s="472"/>
      <c r="F29" s="474"/>
      <c r="G29" s="470"/>
      <c r="H29" s="472"/>
      <c r="I29" s="471"/>
      <c r="J29" s="470"/>
      <c r="K29" s="472"/>
      <c r="L29" s="471"/>
      <c r="M29" s="470"/>
    </row>
    <row r="30" spans="1:13">
      <c r="A30" s="328" t="s">
        <v>76</v>
      </c>
      <c r="B30" s="317"/>
      <c r="C30" s="469">
        <f>VLOOKUP(A29,[10]進出口值表查詢結果!$A$3:$E$19,4,0)</f>
        <v>12797</v>
      </c>
      <c r="D30" s="469">
        <f>VLOOKUP(A29,[10]進出口值表查詢結果!$A$3:$E$19,3,0)</f>
        <v>153757</v>
      </c>
      <c r="F30" s="469">
        <v>12797</v>
      </c>
      <c r="G30" s="469">
        <v>153757</v>
      </c>
      <c r="I30" s="469">
        <f>VLOOKUP(A29,[11]進出口值表查詢結果!$A$3:$E$19,4,0)</f>
        <v>1144</v>
      </c>
      <c r="J30" s="469">
        <f>VLOOKUP(A29,[11]進出口值表查詢結果!$A$3:$E$19,3,0)</f>
        <v>12113</v>
      </c>
      <c r="L30" s="469">
        <v>1144</v>
      </c>
      <c r="M30" s="469">
        <v>12113</v>
      </c>
    </row>
    <row r="31" spans="1:13">
      <c r="A31" s="328" t="s">
        <v>77</v>
      </c>
      <c r="B31" s="317"/>
      <c r="C31" s="469"/>
      <c r="D31" s="468"/>
      <c r="F31" s="469"/>
      <c r="G31" s="468"/>
      <c r="I31" s="469"/>
      <c r="J31" s="468"/>
      <c r="L31" s="469"/>
      <c r="M31" s="468"/>
    </row>
    <row r="32" spans="1:13">
      <c r="A32" s="331">
        <v>87149490009</v>
      </c>
      <c r="B32" s="473"/>
      <c r="C32" s="474"/>
      <c r="D32" s="470"/>
      <c r="E32" s="472"/>
      <c r="F32" s="474"/>
      <c r="G32" s="470"/>
      <c r="H32" s="472"/>
      <c r="I32" s="471"/>
      <c r="J32" s="470"/>
      <c r="K32" s="472"/>
      <c r="L32" s="471"/>
      <c r="M32" s="470"/>
    </row>
    <row r="33" spans="1:13">
      <c r="A33" s="328" t="s">
        <v>78</v>
      </c>
      <c r="B33" s="317"/>
      <c r="C33" s="469">
        <f>VLOOKUP(A32,[10]進出口值表查詢結果!$A$3:$E$19,4,0)</f>
        <v>422340</v>
      </c>
      <c r="D33" s="469">
        <f>VLOOKUP(A32,[10]進出口值表查詢結果!$A$3:$E$19,3,0)</f>
        <v>17667382</v>
      </c>
      <c r="F33" s="469">
        <v>422340</v>
      </c>
      <c r="G33" s="469">
        <v>17667382</v>
      </c>
      <c r="I33" s="469">
        <f>VLOOKUP(A32,[11]進出口值表查詢結果!$A$3:$E$19,4,0)</f>
        <v>128815</v>
      </c>
      <c r="J33" s="469">
        <f>VLOOKUP(A32,[11]進出口值表查詢結果!$A$3:$E$19,3,0)</f>
        <v>7276347</v>
      </c>
      <c r="L33" s="469">
        <v>128815</v>
      </c>
      <c r="M33" s="469">
        <v>7276347</v>
      </c>
    </row>
    <row r="34" spans="1:13">
      <c r="A34" s="328" t="s">
        <v>79</v>
      </c>
      <c r="B34" s="317"/>
      <c r="C34" s="469"/>
      <c r="D34" s="468"/>
      <c r="F34" s="469"/>
      <c r="G34" s="468"/>
      <c r="I34" s="469"/>
      <c r="J34" s="468"/>
      <c r="L34" s="469"/>
      <c r="M34" s="468"/>
    </row>
    <row r="35" spans="1:13">
      <c r="A35" s="331">
        <v>87149500007</v>
      </c>
      <c r="B35" s="473"/>
      <c r="C35" s="471"/>
      <c r="D35" s="470"/>
      <c r="E35" s="472"/>
      <c r="F35" s="471"/>
      <c r="G35" s="470"/>
      <c r="H35" s="472"/>
      <c r="I35" s="471"/>
      <c r="J35" s="470"/>
      <c r="K35" s="472"/>
      <c r="L35" s="471"/>
      <c r="M35" s="470"/>
    </row>
    <row r="36" spans="1:13">
      <c r="A36" s="328" t="s">
        <v>80</v>
      </c>
      <c r="B36" s="317"/>
      <c r="C36" s="469">
        <f>VLOOKUP(A35,[10]進出口值表查詢結果!$A$3:$E$19,4,0)</f>
        <v>154847</v>
      </c>
      <c r="D36" s="469">
        <f>VLOOKUP(A35,[10]進出口值表查詢結果!$A$3:$E$19,3,0)</f>
        <v>3041072</v>
      </c>
      <c r="F36" s="469">
        <v>154847</v>
      </c>
      <c r="G36" s="469">
        <v>3041072</v>
      </c>
      <c r="I36" s="469">
        <f>VLOOKUP(A35,[11]進出口值表查詢結果!$A$3:$E$19,4,0)</f>
        <v>50682</v>
      </c>
      <c r="J36" s="469">
        <f>VLOOKUP(A35,[11]進出口值表查詢結果!$A$3:$E$19,3,0)</f>
        <v>740309</v>
      </c>
      <c r="L36" s="469">
        <v>50682</v>
      </c>
      <c r="M36" s="469">
        <v>740309</v>
      </c>
    </row>
    <row r="37" spans="1:13">
      <c r="A37" s="331">
        <v>87149610004</v>
      </c>
      <c r="B37" s="473"/>
      <c r="C37" s="471"/>
      <c r="D37" s="470"/>
      <c r="E37" s="472"/>
      <c r="F37" s="471"/>
      <c r="G37" s="470"/>
      <c r="H37" s="472"/>
      <c r="I37" s="471"/>
      <c r="J37" s="470"/>
      <c r="K37" s="472"/>
      <c r="L37" s="471"/>
      <c r="M37" s="470"/>
    </row>
    <row r="38" spans="1:13">
      <c r="A38" s="328" t="s">
        <v>81</v>
      </c>
      <c r="B38" s="317"/>
      <c r="C38" s="469">
        <f>VLOOKUP(A37,[10]進出口值表查詢結果!$A$3:$E$19,4,0)</f>
        <v>155899</v>
      </c>
      <c r="D38" s="469">
        <f>VLOOKUP(A37,[10]進出口值表查詢結果!$A$3:$E$19,3,0)</f>
        <v>3648919</v>
      </c>
      <c r="F38" s="469">
        <v>155899</v>
      </c>
      <c r="G38" s="469">
        <v>3648919</v>
      </c>
      <c r="I38" s="469">
        <f>VLOOKUP(A37,[11]進出口值表查詢結果!$A$3:$E$19,4,0)</f>
        <v>11881</v>
      </c>
      <c r="J38" s="469">
        <f>VLOOKUP(A37,[11]進出口值表查詢結果!$A$3:$E$19,3,0)</f>
        <v>272258</v>
      </c>
      <c r="L38" s="469">
        <v>11881</v>
      </c>
      <c r="M38" s="469">
        <v>272258</v>
      </c>
    </row>
    <row r="39" spans="1:13">
      <c r="A39" s="331">
        <v>87149620002</v>
      </c>
      <c r="B39" s="473"/>
      <c r="C39" s="474"/>
      <c r="D39" s="470"/>
      <c r="E39" s="472"/>
      <c r="F39" s="474"/>
      <c r="G39" s="470"/>
      <c r="H39" s="472"/>
      <c r="I39" s="471"/>
      <c r="J39" s="470"/>
      <c r="K39" s="472"/>
      <c r="L39" s="471"/>
      <c r="M39" s="470"/>
    </row>
    <row r="40" spans="1:13">
      <c r="A40" s="328" t="s">
        <v>82</v>
      </c>
      <c r="B40" s="317"/>
      <c r="C40" s="469">
        <f>VLOOKUP(A39,[10]進出口值表查詢結果!$A$3:$E$19,4,0)</f>
        <v>168605</v>
      </c>
      <c r="D40" s="469">
        <f>VLOOKUP(A39,[10]進出口值表查詢結果!$A$3:$E$19,3,0)</f>
        <v>7315445</v>
      </c>
      <c r="F40" s="469">
        <v>168605</v>
      </c>
      <c r="G40" s="469">
        <v>7315445</v>
      </c>
      <c r="I40" s="469">
        <f>VLOOKUP(A39,[11]進出口值表查詢結果!$A$3:$E$19,4,0)</f>
        <v>125388</v>
      </c>
      <c r="J40" s="469">
        <f>VLOOKUP(A39,[11]進出口值表查詢結果!$A$3:$E$19,3,0)</f>
        <v>2871368</v>
      </c>
      <c r="L40" s="469">
        <v>125388</v>
      </c>
      <c r="M40" s="469">
        <v>2871368</v>
      </c>
    </row>
    <row r="41" spans="1:13">
      <c r="A41" s="328" t="s">
        <v>77</v>
      </c>
      <c r="B41" s="317"/>
      <c r="C41" s="469"/>
      <c r="D41" s="469"/>
      <c r="F41" s="469"/>
      <c r="G41" s="469"/>
      <c r="I41" s="469"/>
      <c r="J41" s="469"/>
      <c r="L41" s="469"/>
      <c r="M41" s="469"/>
    </row>
    <row r="42" spans="1:13">
      <c r="A42" s="331">
        <v>73151100209</v>
      </c>
      <c r="B42" s="473"/>
      <c r="C42" s="470"/>
      <c r="D42" s="474"/>
      <c r="E42" s="472"/>
      <c r="F42" s="470"/>
      <c r="G42" s="474"/>
      <c r="H42" s="472"/>
      <c r="I42" s="471"/>
      <c r="J42" s="470"/>
      <c r="K42" s="472"/>
      <c r="L42" s="471"/>
      <c r="M42" s="470"/>
    </row>
    <row r="43" spans="1:13">
      <c r="A43" s="328" t="s">
        <v>83</v>
      </c>
      <c r="B43" s="317"/>
      <c r="C43" s="469">
        <v>112949</v>
      </c>
      <c r="D43" s="469">
        <v>2198871</v>
      </c>
      <c r="F43" s="469">
        <v>112949</v>
      </c>
      <c r="G43" s="469">
        <v>2198871</v>
      </c>
      <c r="I43" s="469">
        <v>68106</v>
      </c>
      <c r="J43" s="469">
        <v>710353</v>
      </c>
      <c r="L43" s="469">
        <v>68106</v>
      </c>
      <c r="M43" s="469">
        <v>710353</v>
      </c>
    </row>
    <row r="44" spans="1:13">
      <c r="A44" s="328" t="s">
        <v>84</v>
      </c>
      <c r="B44" s="317"/>
      <c r="C44" s="469"/>
      <c r="D44" s="468"/>
      <c r="F44" s="469"/>
      <c r="G44" s="468"/>
      <c r="I44" s="469"/>
      <c r="J44" s="468"/>
      <c r="L44" s="469"/>
      <c r="M44" s="468"/>
    </row>
    <row r="45" spans="1:13">
      <c r="A45" s="331">
        <v>87149990111</v>
      </c>
      <c r="B45" s="473"/>
      <c r="C45" s="474"/>
      <c r="D45" s="470"/>
      <c r="E45" s="472"/>
      <c r="F45" s="474"/>
      <c r="G45" s="470"/>
      <c r="H45" s="472"/>
      <c r="I45" s="471"/>
      <c r="J45" s="470"/>
      <c r="K45" s="472"/>
      <c r="L45" s="471"/>
      <c r="M45" s="470"/>
    </row>
    <row r="46" spans="1:13">
      <c r="A46" s="332" t="s">
        <v>85</v>
      </c>
      <c r="B46" s="319"/>
      <c r="C46" s="469">
        <f>VLOOKUP(A45,[10]進出口值表查詢結果!$A$3:$E$19,4,0)</f>
        <v>68798</v>
      </c>
      <c r="D46" s="469">
        <f>VLOOKUP(A45,[10]進出口值表查詢結果!$A$3:$E$19,3,0)</f>
        <v>6678106</v>
      </c>
      <c r="F46" s="469">
        <v>68798</v>
      </c>
      <c r="G46" s="469">
        <v>6678106</v>
      </c>
      <c r="I46" s="469">
        <f>VLOOKUP(A45,[11]進出口值表查詢結果!$A$3:$E$19,4,0)</f>
        <v>17758</v>
      </c>
      <c r="J46" s="469">
        <f>VLOOKUP(A45,[11]進出口值表查詢結果!$A$3:$E$19,3,0)</f>
        <v>1373212</v>
      </c>
      <c r="L46" s="469">
        <v>17758</v>
      </c>
      <c r="M46" s="469">
        <v>1373212</v>
      </c>
    </row>
    <row r="47" spans="1:13">
      <c r="A47" s="328" t="s">
        <v>86</v>
      </c>
      <c r="B47" s="317"/>
      <c r="C47" s="469"/>
      <c r="D47" s="468"/>
      <c r="F47" s="469"/>
      <c r="G47" s="468"/>
      <c r="I47" s="469"/>
      <c r="J47" s="468"/>
      <c r="L47" s="469"/>
      <c r="M47" s="468"/>
    </row>
    <row r="48" spans="1:13">
      <c r="A48" s="331">
        <v>87149320906</v>
      </c>
      <c r="B48" s="473"/>
      <c r="C48" s="474"/>
      <c r="D48" s="470"/>
      <c r="E48" s="472"/>
      <c r="F48" s="474"/>
      <c r="G48" s="470"/>
      <c r="H48" s="472"/>
      <c r="I48" s="471"/>
      <c r="J48" s="470"/>
      <c r="K48" s="472"/>
      <c r="L48" s="471"/>
      <c r="M48" s="470"/>
    </row>
    <row r="49" spans="1:13">
      <c r="A49" s="328" t="s">
        <v>409</v>
      </c>
      <c r="B49" s="317"/>
      <c r="C49" s="469">
        <f>VLOOKUP(A48,[10]進出口值表查詢結果!$A$3:$E$19,4,0)</f>
        <v>145014</v>
      </c>
      <c r="D49" s="469">
        <f>VLOOKUP(A48,[10]進出口值表查詢結果!$A$3:$E$19,3,0)</f>
        <v>4409783</v>
      </c>
      <c r="F49" s="469">
        <v>145014</v>
      </c>
      <c r="G49" s="469">
        <v>4409783</v>
      </c>
      <c r="I49" s="469">
        <f>VLOOKUP(A48,[11]進出口值表查詢結果!$A$3:$E$19,4,0)</f>
        <v>21578</v>
      </c>
      <c r="J49" s="469">
        <f>VLOOKUP(A48,[11]進出口值表查詢結果!$A$3:$E$19,3,0)</f>
        <v>817658</v>
      </c>
      <c r="L49" s="469">
        <v>21578</v>
      </c>
      <c r="M49" s="469">
        <v>817658</v>
      </c>
    </row>
    <row r="50" spans="1:13">
      <c r="A50" s="331">
        <v>87149990139</v>
      </c>
      <c r="B50" s="473"/>
      <c r="C50" s="474"/>
      <c r="D50" s="470"/>
      <c r="E50" s="472"/>
      <c r="F50" s="474"/>
      <c r="G50" s="470"/>
      <c r="H50" s="472"/>
      <c r="I50" s="471"/>
      <c r="J50" s="470"/>
      <c r="K50" s="472"/>
      <c r="L50" s="471"/>
      <c r="M50" s="470"/>
    </row>
    <row r="51" spans="1:13">
      <c r="A51" s="328" t="s">
        <v>87</v>
      </c>
      <c r="B51" s="317"/>
      <c r="C51" s="469">
        <f>VLOOKUP(A50,[10]進出口值表查詢結果!$A$3:$E$19,4,0)</f>
        <v>11270</v>
      </c>
      <c r="D51" s="469">
        <f>VLOOKUP(A50,[10]進出口值表查詢結果!$A$3:$E$19,3,0)</f>
        <v>161022</v>
      </c>
      <c r="F51" s="469">
        <v>11270</v>
      </c>
      <c r="G51" s="469">
        <v>161022</v>
      </c>
      <c r="I51" s="469">
        <f>VLOOKUP(A50,[11]進出口值表查詢結果!$A$3:$E$19,4,0)</f>
        <v>2353</v>
      </c>
      <c r="J51" s="469">
        <f>VLOOKUP(A50,[11]進出口值表查詢結果!$A$3:$E$19,3,0)</f>
        <v>40439</v>
      </c>
      <c r="L51" s="469">
        <v>2353</v>
      </c>
      <c r="M51" s="469">
        <v>40439</v>
      </c>
    </row>
    <row r="52" spans="1:13">
      <c r="A52" s="331">
        <v>87149990148</v>
      </c>
      <c r="B52" s="473"/>
      <c r="C52" s="474"/>
      <c r="D52" s="470"/>
      <c r="E52" s="472"/>
      <c r="F52" s="474"/>
      <c r="G52" s="470"/>
      <c r="H52" s="472"/>
      <c r="I52" s="471"/>
      <c r="J52" s="470"/>
      <c r="K52" s="472"/>
      <c r="L52" s="471"/>
      <c r="M52" s="470"/>
    </row>
    <row r="53" spans="1:13">
      <c r="A53" s="333" t="s">
        <v>88</v>
      </c>
      <c r="B53" s="476"/>
      <c r="C53" s="469">
        <f>VLOOKUP(A52,[10]進出口值表查詢結果!$A$3:$E$19,4,0)</f>
        <v>56588</v>
      </c>
      <c r="D53" s="469">
        <f>VLOOKUP(A52,[10]進出口值表查詢結果!$A$3:$E$19,3,0)</f>
        <v>1869266</v>
      </c>
      <c r="F53" s="469">
        <v>56588</v>
      </c>
      <c r="G53" s="469">
        <v>1869266</v>
      </c>
      <c r="I53" s="469">
        <f>VLOOKUP(A52,[11]進出口值表查詢結果!$A$3:$E$19,4,0)</f>
        <v>17255</v>
      </c>
      <c r="J53" s="469">
        <f>VLOOKUP(A52,[11]進出口值表查詢結果!$A$3:$E$19,3,0)</f>
        <v>548513</v>
      </c>
      <c r="L53" s="469">
        <v>17255</v>
      </c>
      <c r="M53" s="469">
        <v>548513</v>
      </c>
    </row>
    <row r="54" spans="1:13">
      <c r="A54" s="328" t="s">
        <v>89</v>
      </c>
      <c r="B54" s="317"/>
      <c r="C54" s="469"/>
      <c r="D54" s="468"/>
      <c r="F54" s="469"/>
      <c r="G54" s="468"/>
      <c r="I54" s="469"/>
      <c r="J54" s="475"/>
      <c r="L54" s="469"/>
      <c r="M54" s="468"/>
    </row>
    <row r="55" spans="1:13">
      <c r="A55" s="331">
        <v>87149990157</v>
      </c>
      <c r="B55" s="473"/>
      <c r="C55" s="474"/>
      <c r="D55" s="470"/>
      <c r="E55" s="472"/>
      <c r="F55" s="474"/>
      <c r="G55" s="470"/>
      <c r="H55" s="472"/>
      <c r="I55" s="471"/>
      <c r="J55" s="470"/>
      <c r="K55" s="472"/>
      <c r="L55" s="471"/>
      <c r="M55" s="470"/>
    </row>
    <row r="56" spans="1:13">
      <c r="A56" s="328" t="s">
        <v>90</v>
      </c>
      <c r="B56" s="317"/>
      <c r="C56" s="469">
        <f>VLOOKUP(A55,[10]進出口值表查詢結果!$A$3:$E$19,4,0)</f>
        <v>108998</v>
      </c>
      <c r="D56" s="469">
        <f>VLOOKUP(A55,[10]進出口值表查詢結果!$A$3:$E$19,3,0)</f>
        <v>4737156</v>
      </c>
      <c r="F56" s="469">
        <v>108998</v>
      </c>
      <c r="G56" s="469">
        <v>4737156</v>
      </c>
      <c r="I56" s="469">
        <f>VLOOKUP(A55,[11]進出口值表查詢結果!$A$3:$E$19,4,0)</f>
        <v>28239</v>
      </c>
      <c r="J56" s="469">
        <f>VLOOKUP(A55,[11]進出口值表查詢結果!$A$3:$E$19,3,0)</f>
        <v>1097227</v>
      </c>
      <c r="L56" s="469">
        <v>28239</v>
      </c>
      <c r="M56" s="469">
        <v>1097227</v>
      </c>
    </row>
    <row r="57" spans="1:13">
      <c r="A57" s="328" t="s">
        <v>91</v>
      </c>
      <c r="B57" s="317"/>
      <c r="C57" s="469"/>
      <c r="D57" s="468"/>
      <c r="F57" s="469"/>
      <c r="G57" s="468"/>
      <c r="I57" s="469"/>
      <c r="J57" s="469"/>
      <c r="L57" s="469"/>
      <c r="M57" s="468"/>
    </row>
    <row r="58" spans="1:13">
      <c r="A58" s="331">
        <v>87149990166</v>
      </c>
      <c r="B58" s="473"/>
      <c r="C58" s="474"/>
      <c r="D58" s="470"/>
      <c r="E58" s="472"/>
      <c r="F58" s="474"/>
      <c r="G58" s="470"/>
      <c r="H58" s="472"/>
      <c r="I58" s="471"/>
      <c r="J58" s="471"/>
      <c r="K58" s="472"/>
      <c r="L58" s="471"/>
      <c r="M58" s="470"/>
    </row>
    <row r="59" spans="1:13">
      <c r="A59" s="328" t="s">
        <v>88</v>
      </c>
      <c r="B59" s="317"/>
      <c r="C59" s="469">
        <f>VLOOKUP(A58,[10]進出口值表查詢結果!$A$3:$E$19,4,0)</f>
        <v>113647</v>
      </c>
      <c r="D59" s="469">
        <f>VLOOKUP(A58,[10]進出口值表查詢結果!$A$3:$E$19,3,0)</f>
        <v>3089846</v>
      </c>
      <c r="F59" s="469">
        <v>113647</v>
      </c>
      <c r="G59" s="469">
        <v>3089846</v>
      </c>
      <c r="I59" s="469">
        <f>VLOOKUP(A58,[11]進出口值表查詢結果!$A$3:$E$19,4,0)</f>
        <v>26490</v>
      </c>
      <c r="J59" s="469">
        <f>VLOOKUP(A58,[11]進出口值表查詢結果!$A$3:$E$19,3,0)</f>
        <v>1678764</v>
      </c>
      <c r="L59" s="469">
        <v>26490</v>
      </c>
      <c r="M59" s="469">
        <v>1678764</v>
      </c>
    </row>
    <row r="60" spans="1:13">
      <c r="A60" s="331">
        <v>40115000008</v>
      </c>
      <c r="B60" s="473"/>
      <c r="C60" s="471"/>
      <c r="D60" s="471"/>
      <c r="E60" s="472"/>
      <c r="F60" s="471"/>
      <c r="G60" s="471"/>
      <c r="H60" s="472"/>
      <c r="I60" s="471"/>
      <c r="J60" s="471"/>
      <c r="K60" s="472"/>
      <c r="L60" s="471"/>
      <c r="M60" s="470"/>
    </row>
    <row r="61" spans="1:13">
      <c r="A61" s="328" t="s">
        <v>92</v>
      </c>
      <c r="B61" s="317"/>
      <c r="C61" s="469">
        <v>231401</v>
      </c>
      <c r="D61" s="469">
        <v>3613374</v>
      </c>
      <c r="F61" s="469">
        <v>231401</v>
      </c>
      <c r="G61" s="469">
        <v>3613374</v>
      </c>
      <c r="I61" s="573">
        <v>126825</v>
      </c>
      <c r="J61" s="573">
        <v>1410665</v>
      </c>
      <c r="K61" s="574"/>
      <c r="L61" s="573">
        <v>126825</v>
      </c>
      <c r="M61" s="573">
        <v>1410665</v>
      </c>
    </row>
    <row r="62" spans="1:13">
      <c r="A62" s="328" t="s">
        <v>93</v>
      </c>
      <c r="B62" s="317" t="s">
        <v>66</v>
      </c>
      <c r="C62" s="469">
        <v>326204</v>
      </c>
      <c r="D62" s="468" t="s">
        <v>69</v>
      </c>
      <c r="E62" s="13" t="s">
        <v>66</v>
      </c>
      <c r="F62" s="469">
        <v>326204</v>
      </c>
      <c r="G62" s="468" t="s">
        <v>69</v>
      </c>
      <c r="H62" s="13" t="s">
        <v>66</v>
      </c>
      <c r="I62" s="573">
        <v>172795</v>
      </c>
      <c r="J62" s="575" t="s">
        <v>69</v>
      </c>
      <c r="K62" s="574" t="s">
        <v>66</v>
      </c>
      <c r="L62" s="573">
        <v>172795</v>
      </c>
      <c r="M62" s="575" t="s">
        <v>69</v>
      </c>
    </row>
    <row r="63" spans="1:13">
      <c r="A63" s="331">
        <v>40132000003</v>
      </c>
      <c r="B63" s="473"/>
      <c r="C63" s="471"/>
      <c r="D63" s="471"/>
      <c r="E63" s="472"/>
      <c r="F63" s="471"/>
      <c r="G63" s="471"/>
      <c r="H63" s="472"/>
      <c r="I63" s="471"/>
      <c r="J63" s="471"/>
      <c r="K63" s="472"/>
      <c r="L63" s="471"/>
      <c r="M63" s="470"/>
    </row>
    <row r="64" spans="1:13">
      <c r="A64" s="328" t="s">
        <v>94</v>
      </c>
      <c r="B64" s="317"/>
      <c r="C64" s="469">
        <v>70576</v>
      </c>
      <c r="D64" s="469">
        <v>640315</v>
      </c>
      <c r="F64" s="469">
        <v>70576</v>
      </c>
      <c r="G64" s="469">
        <v>640315</v>
      </c>
      <c r="I64" s="573">
        <v>20050</v>
      </c>
      <c r="J64" s="573">
        <v>134094</v>
      </c>
      <c r="K64" s="574"/>
      <c r="L64" s="573">
        <v>20050</v>
      </c>
      <c r="M64" s="573">
        <v>134094</v>
      </c>
    </row>
    <row r="65" spans="1:13">
      <c r="A65" s="328" t="s">
        <v>95</v>
      </c>
      <c r="B65" s="317" t="s">
        <v>66</v>
      </c>
      <c r="C65" s="469">
        <v>377241</v>
      </c>
      <c r="D65" s="468" t="s">
        <v>69</v>
      </c>
      <c r="E65" s="13" t="s">
        <v>66</v>
      </c>
      <c r="F65" s="469">
        <v>377241</v>
      </c>
      <c r="G65" s="468" t="s">
        <v>69</v>
      </c>
      <c r="H65" s="13" t="s">
        <v>66</v>
      </c>
      <c r="I65" s="573">
        <v>118388</v>
      </c>
      <c r="J65" s="575" t="s">
        <v>69</v>
      </c>
      <c r="K65" s="574" t="s">
        <v>66</v>
      </c>
      <c r="L65" s="573">
        <v>118388</v>
      </c>
      <c r="M65" s="575" t="s">
        <v>69</v>
      </c>
    </row>
    <row r="66" spans="1:13">
      <c r="A66" s="328"/>
      <c r="B66" s="317"/>
      <c r="D66" s="329"/>
      <c r="G66" s="329"/>
      <c r="I66" s="574"/>
      <c r="J66" s="576"/>
      <c r="K66" s="574"/>
      <c r="L66" s="574"/>
      <c r="M66" s="576"/>
    </row>
    <row r="67" spans="1:13">
      <c r="A67" s="321" t="s">
        <v>96</v>
      </c>
      <c r="B67" s="334"/>
      <c r="C67" s="335">
        <f>SUM(C6:C66)-C65-C62-C20-C17-C11-C8-C14</f>
        <v>2870140</v>
      </c>
      <c r="D67" s="336">
        <f>SUM(D6:D66)</f>
        <v>116873415</v>
      </c>
      <c r="E67" s="335"/>
      <c r="F67" s="335">
        <v>2870140</v>
      </c>
      <c r="G67" s="336">
        <v>116873415</v>
      </c>
      <c r="H67" s="335"/>
      <c r="I67" s="577">
        <f>SUM(I6:I66)-I65-I62-I20-I17-I11-I8</f>
        <v>1121679</v>
      </c>
      <c r="J67" s="578">
        <f>SUM(J6:J66)</f>
        <v>53564663</v>
      </c>
      <c r="K67" s="577"/>
      <c r="L67" s="577">
        <f>SUM(L6:L66)-L65-L62-L20-L17-L11-L8</f>
        <v>1121679</v>
      </c>
      <c r="M67" s="578">
        <f>SUM(M6:M66)</f>
        <v>53564663</v>
      </c>
    </row>
    <row r="68" spans="1:13" ht="4.5" customHeight="1">
      <c r="G68" s="5"/>
      <c r="I68" s="574"/>
      <c r="J68" s="574"/>
      <c r="K68" s="574"/>
      <c r="L68" s="574"/>
      <c r="M68" s="574"/>
    </row>
    <row r="69" spans="1:13">
      <c r="A69" s="55" t="s">
        <v>502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4" customWidth="1"/>
    <col min="4" max="4" width="15.75" style="365" customWidth="1"/>
    <col min="5" max="5" width="16.75" style="320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7" t="s">
        <v>503</v>
      </c>
      <c r="B1" s="338"/>
      <c r="C1" s="339"/>
      <c r="D1" s="340"/>
      <c r="E1" s="338"/>
      <c r="F1" s="339"/>
      <c r="G1" s="340"/>
    </row>
    <row r="2" spans="1:7" s="317" customFormat="1">
      <c r="B2" s="318"/>
      <c r="C2" s="341"/>
      <c r="D2" s="342"/>
      <c r="E2" s="318"/>
      <c r="F2" s="341"/>
      <c r="G2" s="342"/>
    </row>
    <row r="3" spans="1:7" s="317" customFormat="1">
      <c r="A3" s="319"/>
      <c r="B3" s="318"/>
      <c r="C3" s="341"/>
      <c r="D3" s="342"/>
      <c r="E3" s="318"/>
      <c r="F3" s="341"/>
      <c r="G3" s="342"/>
    </row>
    <row r="4" spans="1:7">
      <c r="A4" s="42" t="s">
        <v>97</v>
      </c>
      <c r="B4" s="529" t="s">
        <v>484</v>
      </c>
      <c r="C4" s="71" t="s">
        <v>485</v>
      </c>
      <c r="D4" s="343" t="s">
        <v>36</v>
      </c>
      <c r="E4" s="73" t="s">
        <v>484</v>
      </c>
      <c r="F4" s="71" t="s">
        <v>485</v>
      </c>
      <c r="G4" s="203" t="s">
        <v>36</v>
      </c>
    </row>
    <row r="5" spans="1:7" s="317" customFormat="1" ht="18" customHeight="1">
      <c r="A5" s="46"/>
      <c r="B5" s="77" t="s">
        <v>98</v>
      </c>
      <c r="C5" s="76" t="s">
        <v>98</v>
      </c>
      <c r="D5" s="204" t="s">
        <v>1</v>
      </c>
      <c r="E5" s="77" t="s">
        <v>33</v>
      </c>
      <c r="F5" s="76" t="s">
        <v>99</v>
      </c>
      <c r="G5" s="204" t="s">
        <v>1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64</v>
      </c>
      <c r="B7" s="349">
        <f>零件!F7</f>
        <v>12870</v>
      </c>
      <c r="C7" s="350">
        <v>9417</v>
      </c>
      <c r="D7" s="516">
        <f>(B7-C7)/C7</f>
        <v>0.36667728575979613</v>
      </c>
      <c r="E7" s="349">
        <f>零件!G7</f>
        <v>1266129</v>
      </c>
      <c r="F7" s="350">
        <v>1074901</v>
      </c>
      <c r="G7" s="516">
        <f>(E7-F7)/F7</f>
        <v>0.17790289524337591</v>
      </c>
    </row>
    <row r="8" spans="1:7">
      <c r="A8" s="328" t="s">
        <v>65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4"/>
      <c r="D9" s="355"/>
      <c r="E9" s="354"/>
      <c r="F9" s="354"/>
      <c r="G9" s="354"/>
    </row>
    <row r="10" spans="1:7">
      <c r="A10" s="328" t="s">
        <v>67</v>
      </c>
      <c r="B10" s="349">
        <f>零件!F10</f>
        <v>3510</v>
      </c>
      <c r="C10" s="350">
        <v>4063</v>
      </c>
      <c r="D10" s="517">
        <f>(B10-C10)/C10</f>
        <v>-0.13610632537533843</v>
      </c>
      <c r="E10" s="349">
        <f>零件!G10</f>
        <v>498116</v>
      </c>
      <c r="F10" s="350">
        <v>659125</v>
      </c>
      <c r="G10" s="517">
        <f>(E10-F10)/F10</f>
        <v>-0.24427688223022948</v>
      </c>
    </row>
    <row r="11" spans="1:7">
      <c r="A11" s="328" t="s">
        <v>68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4"/>
      <c r="D12" s="358"/>
      <c r="E12" s="359"/>
      <c r="F12" s="354"/>
      <c r="G12" s="359"/>
    </row>
    <row r="13" spans="1:7">
      <c r="A13" s="328" t="s">
        <v>70</v>
      </c>
      <c r="B13" s="349">
        <f>零件!F13</f>
        <v>705938</v>
      </c>
      <c r="C13" s="350">
        <f>VLOOKUP(A12,[14]進出口值表查詢結果!$A$3:$E$19,4,0)</f>
        <v>640723</v>
      </c>
      <c r="D13" s="516">
        <f>(B13-C13)/C13</f>
        <v>0.10178345400430451</v>
      </c>
      <c r="E13" s="349">
        <f>零件!G13</f>
        <v>39123975</v>
      </c>
      <c r="F13" s="350">
        <f>VLOOKUP(A12,[14]進出口值表查詢結果!$A$3:$E$19,3,0)</f>
        <v>43049512</v>
      </c>
      <c r="G13" s="517">
        <f>(E13-F13)/F13</f>
        <v>-9.1186562114803998E-2</v>
      </c>
    </row>
    <row r="14" spans="1:7">
      <c r="A14" s="328" t="s">
        <v>71</v>
      </c>
      <c r="B14" s="356"/>
      <c r="C14" s="351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72</v>
      </c>
      <c r="B16" s="349">
        <f>零件!F16</f>
        <v>99122</v>
      </c>
      <c r="C16" s="350">
        <f>VLOOKUP(A15,[14]進出口值表查詢結果!$A$3:$E$19,4,0)</f>
        <v>105881</v>
      </c>
      <c r="D16" s="517">
        <f>(B16-C16)/C16</f>
        <v>-6.3835815679867014E-2</v>
      </c>
      <c r="E16" s="349">
        <f>零件!G16</f>
        <v>3318036</v>
      </c>
      <c r="F16" s="350">
        <f>VLOOKUP(A15,[14]進出口值表查詢結果!$A$3:$E$19,3,0)</f>
        <v>2495893</v>
      </c>
      <c r="G16" s="516">
        <f>(E16-F16)/F16</f>
        <v>0.3293983355857002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56</v>
      </c>
      <c r="B19" s="349">
        <f>零件!F19</f>
        <v>110710</v>
      </c>
      <c r="C19" s="350">
        <f>VLOOKUP(A18,[14]進出口值表查詢結果!$A$3:$E$19,4,0)</f>
        <v>68670</v>
      </c>
      <c r="D19" s="517">
        <f>(B19-C19)/C19</f>
        <v>0.6122032911023737</v>
      </c>
      <c r="E19" s="349">
        <f>零件!G19</f>
        <v>1273213</v>
      </c>
      <c r="F19" s="350">
        <f>VLOOKUP(A18,[14]進出口值表查詢結果!$A$3:$E$19,3,0)</f>
        <v>963977</v>
      </c>
      <c r="G19" s="517">
        <f>(E19-F19)/F19</f>
        <v>0.32079188611346537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57</v>
      </c>
      <c r="B22" s="349">
        <f>零件!F22</f>
        <v>61443</v>
      </c>
      <c r="C22" s="350">
        <f>VLOOKUP(A21,[14]進出口值表查詢結果!$A$3:$E$19,4,0)</f>
        <v>44024</v>
      </c>
      <c r="D22" s="516">
        <f>(B22-C22)/C22</f>
        <v>0.39567054333999635</v>
      </c>
      <c r="E22" s="349">
        <f>零件!G22</f>
        <v>8564035</v>
      </c>
      <c r="F22" s="350">
        <f>VLOOKUP(A21,[14]進出口值表查詢結果!$A$3:$E$19,3,0)</f>
        <v>4403055</v>
      </c>
      <c r="G22" s="517">
        <f>(E22-F22)/F22</f>
        <v>0.94502112737633304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73</v>
      </c>
      <c r="B24" s="349">
        <f>零件!F24</f>
        <v>39389</v>
      </c>
      <c r="C24" s="350">
        <f>VLOOKUP(A23,[14]進出口值表查詢結果!$A$3:$E$19,4,0)</f>
        <v>65719</v>
      </c>
      <c r="D24" s="517">
        <f>(B24-C24)/C24</f>
        <v>-0.40064517110729014</v>
      </c>
      <c r="E24" s="349">
        <f>零件!G24</f>
        <v>3519371</v>
      </c>
      <c r="F24" s="350">
        <f>VLOOKUP(A23,[14]進出口值表查詢結果!$A$3:$E$19,3,0)</f>
        <v>3259249</v>
      </c>
      <c r="G24" s="517">
        <f>(E24-F24)/F24</f>
        <v>7.9810410312314284E-2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408</v>
      </c>
      <c r="B27" s="349">
        <f>零件!F28</f>
        <v>3429</v>
      </c>
      <c r="C27" s="350">
        <f>VLOOKUP(A26,[14]進出口值表查詢結果!$A$3:$E$19,4,0)</f>
        <v>290</v>
      </c>
      <c r="D27" s="517">
        <f>(B27-C27)/C27</f>
        <v>10.824137931034484</v>
      </c>
      <c r="E27" s="349">
        <f>零件!G28</f>
        <v>86226</v>
      </c>
      <c r="F27" s="350">
        <f>VLOOKUP(A26,[14]進出口值表查詢結果!$A$3:$E$19,3,0)</f>
        <v>6973</v>
      </c>
      <c r="G27" s="517">
        <f>(E27-F27)/F27</f>
        <v>11.365696256991251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76</v>
      </c>
      <c r="B29" s="349">
        <f>零件!F30</f>
        <v>12797</v>
      </c>
      <c r="C29" s="350">
        <f>VLOOKUP(A28,[14]進出口值表查詢結果!$A$3:$E$19,4,0)</f>
        <v>12219</v>
      </c>
      <c r="D29" s="517">
        <f>(B29-C29)/C29</f>
        <v>4.7303379981995256E-2</v>
      </c>
      <c r="E29" s="349">
        <f>零件!G30</f>
        <v>153757</v>
      </c>
      <c r="F29" s="350">
        <f>VLOOKUP(A28,[14]進出口值表查詢結果!$A$3:$E$19,3,0)</f>
        <v>308968</v>
      </c>
      <c r="G29" s="516">
        <f>(E29-F29)/F29</f>
        <v>-0.5023529944848657</v>
      </c>
    </row>
    <row r="30" spans="1:7">
      <c r="A30" s="328" t="s">
        <v>77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78</v>
      </c>
      <c r="B32" s="349">
        <f>零件!F33</f>
        <v>422340</v>
      </c>
      <c r="C32" s="350">
        <f>VLOOKUP(A31,[14]進出口值表查詢結果!$A$3:$E$19,4,0)</f>
        <v>289981</v>
      </c>
      <c r="D32" s="516">
        <f>(B32-C32)/C32</f>
        <v>0.45644024953359014</v>
      </c>
      <c r="E32" s="349">
        <f>零件!G33</f>
        <v>17667382</v>
      </c>
      <c r="F32" s="350">
        <f>VLOOKUP(A31,[14]進出口值表查詢結果!$A$3:$E$19,3,0)</f>
        <v>12800515</v>
      </c>
      <c r="G32" s="517">
        <f>(E32-F32)/F32</f>
        <v>0.38020868691611237</v>
      </c>
    </row>
    <row r="33" spans="1:7">
      <c r="A33" s="328" t="s">
        <v>79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80</v>
      </c>
      <c r="B35" s="349">
        <f>零件!F36</f>
        <v>154847</v>
      </c>
      <c r="C35" s="350">
        <f>VLOOKUP(A34,[14]進出口值表查詢結果!$A$3:$E$19,4,0)</f>
        <v>86228</v>
      </c>
      <c r="D35" s="517">
        <f>(B35-C35)/C35</f>
        <v>0.79578559168715501</v>
      </c>
      <c r="E35" s="349">
        <f>零件!G36</f>
        <v>3041072</v>
      </c>
      <c r="F35" s="350">
        <f>VLOOKUP(A34,[14]進出口值表查詢結果!$A$3:$E$19,3,0)</f>
        <v>2164427</v>
      </c>
      <c r="G35" s="517">
        <f>(E35-F35)/F35</f>
        <v>0.40502405486532927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81</v>
      </c>
      <c r="B37" s="349">
        <f>零件!F38</f>
        <v>155899</v>
      </c>
      <c r="C37" s="350">
        <f>VLOOKUP(A36,[14]進出口值表查詢結果!$A$3:$E$19,4,0)</f>
        <v>110849</v>
      </c>
      <c r="D37" s="517">
        <f>(B37-C37)/C37</f>
        <v>0.40640871816615398</v>
      </c>
      <c r="E37" s="349">
        <f>零件!G38</f>
        <v>3648919</v>
      </c>
      <c r="F37" s="350">
        <f>VLOOKUP(A36,[14]進出口值表查詢結果!$A$3:$E$19,3,0)</f>
        <v>2724423</v>
      </c>
      <c r="G37" s="517">
        <f>(E37-F37)/F37</f>
        <v>0.33933643931210389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82</v>
      </c>
      <c r="B39" s="349">
        <f>零件!F40</f>
        <v>168605</v>
      </c>
      <c r="C39" s="350">
        <f>VLOOKUP(A38,[14]進出口值表查詢結果!$A$3:$E$19,4,0)</f>
        <v>134587</v>
      </c>
      <c r="D39" s="516">
        <f>(B39-C39)/C39</f>
        <v>0.25275843877937693</v>
      </c>
      <c r="E39" s="349">
        <f>零件!G40</f>
        <v>7315445</v>
      </c>
      <c r="F39" s="350">
        <f>VLOOKUP(A38,[14]進出口值表查詢結果!$A$3:$E$19,3,0)</f>
        <v>6357713</v>
      </c>
      <c r="G39" s="516">
        <f>(E39-F39)/F39</f>
        <v>0.15064096161622897</v>
      </c>
    </row>
    <row r="40" spans="1:7">
      <c r="A40" s="328" t="s">
        <v>77</v>
      </c>
      <c r="B40" s="349"/>
      <c r="C40" s="353"/>
      <c r="D40" s="349"/>
      <c r="E40" s="353"/>
      <c r="F40" s="350"/>
      <c r="G40" s="353"/>
    </row>
    <row r="41" spans="1:7">
      <c r="A41" s="331">
        <v>73151100209</v>
      </c>
      <c r="B41" s="354"/>
      <c r="C41" s="358"/>
      <c r="D41" s="358"/>
      <c r="E41" s="359"/>
      <c r="F41" s="359"/>
      <c r="G41" s="359"/>
    </row>
    <row r="42" spans="1:7">
      <c r="A42" s="328" t="s">
        <v>83</v>
      </c>
      <c r="B42" s="349">
        <f>零件!F43</f>
        <v>112949</v>
      </c>
      <c r="C42" s="350">
        <v>58722</v>
      </c>
      <c r="D42" s="517">
        <f>(B42-C42)/C42</f>
        <v>0.92345287967031098</v>
      </c>
      <c r="E42" s="349">
        <f>零件!G43</f>
        <v>2198871</v>
      </c>
      <c r="F42" s="350">
        <v>1356333</v>
      </c>
      <c r="G42" s="517">
        <f>(E42-F42)/F42</f>
        <v>0.62118815954489048</v>
      </c>
    </row>
    <row r="43" spans="1:7">
      <c r="A43" s="328" t="s">
        <v>84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85</v>
      </c>
      <c r="B45" s="349">
        <f>零件!F46</f>
        <v>68798</v>
      </c>
      <c r="C45" s="350">
        <f>VLOOKUP(A44,[14]進出口值表查詢結果!$A$3:$E$19,4,0)</f>
        <v>39846</v>
      </c>
      <c r="D45" s="516">
        <f>(B45-C45)/C45</f>
        <v>0.72659739998996131</v>
      </c>
      <c r="E45" s="349">
        <f>零件!G46</f>
        <v>6678106</v>
      </c>
      <c r="F45" s="350">
        <f>VLOOKUP(A44,[14]進出口值表查詢結果!$A$3:$E$19,3,0)</f>
        <v>4951571</v>
      </c>
      <c r="G45" s="516">
        <f>(E45-F45)/F45</f>
        <v>0.3486842862598557</v>
      </c>
    </row>
    <row r="46" spans="1:7">
      <c r="A46" s="328" t="s">
        <v>86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411</v>
      </c>
      <c r="B48" s="349">
        <f>零件!F49</f>
        <v>145014</v>
      </c>
      <c r="C48" s="350">
        <f>VLOOKUP(A47,[14]進出口值表查詢結果!$A$3:$E$19,4,0)</f>
        <v>102129</v>
      </c>
      <c r="D48" s="517">
        <f>(B48-C48)/C48</f>
        <v>0.41991011367975795</v>
      </c>
      <c r="E48" s="349">
        <f>零件!G49</f>
        <v>4409783</v>
      </c>
      <c r="F48" s="350">
        <f>VLOOKUP(A47,[14]進出口值表查詢結果!$A$3:$E$19,3,0)</f>
        <v>4583162</v>
      </c>
      <c r="G48" s="517">
        <f>(E48-F48)/F48</f>
        <v>-3.7829559592264028E-2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87</v>
      </c>
      <c r="B50" s="349">
        <f>零件!F51</f>
        <v>11270</v>
      </c>
      <c r="C50" s="350">
        <f>VLOOKUP(A49,[14]進出口值表查詢結果!$A$3:$E$19,4,0)</f>
        <v>13181</v>
      </c>
      <c r="D50" s="517">
        <f>(B50-C50)/C50</f>
        <v>-0.1449814126394052</v>
      </c>
      <c r="E50" s="349">
        <f>零件!G51</f>
        <v>161022</v>
      </c>
      <c r="F50" s="350">
        <f>VLOOKUP(A49,[14]進出口值表查詢結果!$A$3:$E$19,3,0)</f>
        <v>240616</v>
      </c>
      <c r="G50" s="517">
        <f>(E50-F50)/F50</f>
        <v>-0.33079263224390731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88</v>
      </c>
      <c r="B52" s="349">
        <f>零件!F53</f>
        <v>56588</v>
      </c>
      <c r="C52" s="350">
        <f>VLOOKUP(A51,[14]進出口值表查詢結果!$A$3:$E$19,4,0)</f>
        <v>39632</v>
      </c>
      <c r="D52" s="517">
        <f>(B52-C52)/C52</f>
        <v>0.42783609204683082</v>
      </c>
      <c r="E52" s="349">
        <f>零件!G53</f>
        <v>1869266</v>
      </c>
      <c r="F52" s="350">
        <f>VLOOKUP(A51,[14]進出口值表查詢結果!$A$3:$E$19,3,0)</f>
        <v>1694831</v>
      </c>
      <c r="G52" s="517">
        <f>(E52-F52)/F52</f>
        <v>0.10292176624099984</v>
      </c>
    </row>
    <row r="53" spans="1:7">
      <c r="A53" s="328" t="s">
        <v>89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90</v>
      </c>
      <c r="B55" s="349">
        <f>零件!F56</f>
        <v>108998</v>
      </c>
      <c r="C55" s="350">
        <f>VLOOKUP(A54,[14]進出口值表查詢結果!$A$3:$E$19,4,0)</f>
        <v>64030</v>
      </c>
      <c r="D55" s="517">
        <f>(B55-C55)/C55</f>
        <v>0.70229579884429172</v>
      </c>
      <c r="E55" s="349">
        <f>零件!G56</f>
        <v>4737156</v>
      </c>
      <c r="F55" s="350">
        <f>VLOOKUP(A54,[14]進出口值表查詢結果!$A$3:$E$19,3,0)</f>
        <v>2837917</v>
      </c>
      <c r="G55" s="517">
        <f>(E55-F55)/F55</f>
        <v>0.66923697909417368</v>
      </c>
    </row>
    <row r="56" spans="1:7">
      <c r="A56" s="328" t="s">
        <v>91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88</v>
      </c>
      <c r="B58" s="349">
        <f>零件!F59</f>
        <v>113647</v>
      </c>
      <c r="C58" s="350">
        <f>VLOOKUP(A57,[14]進出口值表查詢結果!$A$3:$E$19,4,0)</f>
        <v>75297</v>
      </c>
      <c r="D58" s="517">
        <f>(B58-C58)/C58</f>
        <v>0.50931644023002243</v>
      </c>
      <c r="E58" s="349">
        <f>零件!G59</f>
        <v>3089846</v>
      </c>
      <c r="F58" s="350">
        <f>VLOOKUP(A57,[14]進出口值表查詢結果!$A$3:$E$19,3,0)</f>
        <v>3162278</v>
      </c>
      <c r="G58" s="517">
        <f>(E58-F58)/F58</f>
        <v>-2.2905007086663477E-2</v>
      </c>
    </row>
    <row r="59" spans="1:7">
      <c r="A59" s="331">
        <v>40115000008</v>
      </c>
      <c r="B59" s="358"/>
      <c r="C59" s="358"/>
      <c r="D59" s="358"/>
      <c r="E59" s="359"/>
      <c r="F59" s="359"/>
      <c r="G59" s="359"/>
    </row>
    <row r="60" spans="1:7">
      <c r="A60" s="328" t="s">
        <v>92</v>
      </c>
      <c r="B60" s="349">
        <f>零件!F61</f>
        <v>231401</v>
      </c>
      <c r="C60" s="350">
        <v>278161</v>
      </c>
      <c r="D60" s="517">
        <f>(B60-C60)/C60</f>
        <v>-0.16810408360625681</v>
      </c>
      <c r="E60" s="349">
        <f>零件!G61</f>
        <v>3613374</v>
      </c>
      <c r="F60" s="350">
        <v>4541842</v>
      </c>
      <c r="G60" s="517">
        <f>(E60-F60)/F60</f>
        <v>-0.20442542915407449</v>
      </c>
    </row>
    <row r="61" spans="1:7">
      <c r="A61" s="328" t="s">
        <v>93</v>
      </c>
      <c r="B61" s="349"/>
      <c r="C61" s="349"/>
      <c r="D61" s="352"/>
      <c r="E61" s="353"/>
      <c r="F61" s="350"/>
      <c r="G61" s="353"/>
    </row>
    <row r="62" spans="1:7">
      <c r="A62" s="331">
        <v>40132000003</v>
      </c>
      <c r="B62" s="358"/>
      <c r="C62" s="358"/>
      <c r="D62" s="358"/>
      <c r="E62" s="359"/>
      <c r="F62" s="359"/>
      <c r="G62" s="359"/>
    </row>
    <row r="63" spans="1:7">
      <c r="A63" s="328" t="s">
        <v>94</v>
      </c>
      <c r="B63" s="349">
        <f>零件!F64</f>
        <v>70576</v>
      </c>
      <c r="C63" s="350">
        <v>35632</v>
      </c>
      <c r="D63" s="517">
        <f>(B63-C63)/C63</f>
        <v>0.98069151324651993</v>
      </c>
      <c r="E63" s="349">
        <f>零件!G64</f>
        <v>640315</v>
      </c>
      <c r="F63" s="350">
        <v>461536</v>
      </c>
      <c r="G63" s="517">
        <f>(E63-F63)/F63</f>
        <v>0.38735656590168482</v>
      </c>
    </row>
    <row r="64" spans="1:7">
      <c r="A64" s="328" t="s">
        <v>95</v>
      </c>
      <c r="B64" s="349"/>
      <c r="C64" s="351"/>
      <c r="D64" s="352"/>
      <c r="E64" s="353"/>
      <c r="F64" s="350"/>
      <c r="G64" s="353"/>
    </row>
    <row r="65" spans="1:7">
      <c r="A65" s="362" t="s">
        <v>96</v>
      </c>
      <c r="B65" s="363">
        <f>SUM(B6:B64)-B64-B61-B20-B17-B11-B8</f>
        <v>2870140</v>
      </c>
      <c r="C65" s="363">
        <f>SUM(C6:C64)-C64-C61-C20-C17-C11-C8</f>
        <v>2279281</v>
      </c>
      <c r="D65" s="515">
        <f>(B65-C65)/C65</f>
        <v>0.25923043275489066</v>
      </c>
      <c r="E65" s="453">
        <f>SUM(E7:E64)</f>
        <v>116873415</v>
      </c>
      <c r="F65" s="453">
        <f>SUM(F7:F64)</f>
        <v>104098817</v>
      </c>
      <c r="G65" s="518">
        <f>(E65-F65)/F65</f>
        <v>0.122716072748454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4" customWidth="1"/>
    <col min="4" max="4" width="15.75" style="365" customWidth="1"/>
    <col min="5" max="5" width="16.75" style="320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7" t="s">
        <v>507</v>
      </c>
      <c r="B1" s="338"/>
      <c r="C1" s="339"/>
      <c r="D1" s="340"/>
      <c r="E1" s="338"/>
      <c r="F1" s="339"/>
      <c r="G1" s="340"/>
    </row>
    <row r="2" spans="1:7" s="317" customFormat="1">
      <c r="B2" s="318"/>
      <c r="C2" s="341"/>
      <c r="D2" s="342"/>
      <c r="E2" s="318"/>
      <c r="F2" s="341"/>
      <c r="G2" s="342"/>
    </row>
    <row r="3" spans="1:7" s="317" customFormat="1">
      <c r="A3" s="319"/>
      <c r="B3" s="318"/>
      <c r="C3" s="341"/>
      <c r="D3" s="342"/>
      <c r="E3" s="318"/>
      <c r="F3" s="341"/>
      <c r="G3" s="342"/>
    </row>
    <row r="4" spans="1:7">
      <c r="A4" s="527" t="s">
        <v>97</v>
      </c>
      <c r="B4" s="529" t="s">
        <v>504</v>
      </c>
      <c r="C4" s="71" t="s">
        <v>505</v>
      </c>
      <c r="D4" s="531" t="s">
        <v>506</v>
      </c>
      <c r="E4" s="530" t="s">
        <v>504</v>
      </c>
      <c r="F4" s="528" t="s">
        <v>505</v>
      </c>
      <c r="G4" s="203" t="s">
        <v>506</v>
      </c>
    </row>
    <row r="5" spans="1:7" s="317" customFormat="1" ht="18" customHeight="1">
      <c r="A5" s="46"/>
      <c r="B5" s="77" t="s">
        <v>98</v>
      </c>
      <c r="C5" s="76" t="s">
        <v>98</v>
      </c>
      <c r="D5" s="204" t="s">
        <v>1</v>
      </c>
      <c r="E5" s="77" t="s">
        <v>33</v>
      </c>
      <c r="F5" s="76" t="s">
        <v>33</v>
      </c>
      <c r="G5" s="204" t="s">
        <v>1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64</v>
      </c>
      <c r="B7" s="349">
        <f>零件!L7</f>
        <v>4218</v>
      </c>
      <c r="C7" s="350">
        <v>4752</v>
      </c>
      <c r="D7" s="516">
        <f>(B7-C7)/C7</f>
        <v>-0.11237373737373738</v>
      </c>
      <c r="E7" s="349">
        <f>零件!M7</f>
        <v>246562</v>
      </c>
      <c r="F7" s="350">
        <v>265531</v>
      </c>
      <c r="G7" s="516">
        <f>(E7-F7)/F7</f>
        <v>-7.1437986525113822E-2</v>
      </c>
    </row>
    <row r="8" spans="1:7">
      <c r="A8" s="328" t="s">
        <v>65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5"/>
      <c r="D9" s="355"/>
      <c r="E9" s="354"/>
      <c r="F9" s="354"/>
      <c r="G9" s="354"/>
    </row>
    <row r="10" spans="1:7">
      <c r="A10" s="328" t="s">
        <v>67</v>
      </c>
      <c r="B10" s="349">
        <f>零件!L10</f>
        <v>1668</v>
      </c>
      <c r="C10" s="350">
        <v>3249</v>
      </c>
      <c r="D10" s="516">
        <f>(B10-C10)/C10</f>
        <v>-0.48661126500461682</v>
      </c>
      <c r="E10" s="349">
        <f>零件!M10</f>
        <v>138608</v>
      </c>
      <c r="F10" s="350">
        <v>158042</v>
      </c>
      <c r="G10" s="517">
        <f>(E10-F10)/F10</f>
        <v>-0.12296731248655421</v>
      </c>
    </row>
    <row r="11" spans="1:7">
      <c r="A11" s="328" t="s">
        <v>68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5"/>
      <c r="D12" s="358"/>
      <c r="E12" s="359"/>
      <c r="F12" s="354"/>
      <c r="G12" s="359"/>
    </row>
    <row r="13" spans="1:7">
      <c r="A13" s="328" t="s">
        <v>70</v>
      </c>
      <c r="B13" s="349">
        <f>零件!L13</f>
        <v>358652</v>
      </c>
      <c r="C13" s="350">
        <f>VLOOKUP(A12,[15]進出口值表查詢結果!$A$3:$E$19,4,0)</f>
        <v>457566</v>
      </c>
      <c r="D13" s="516">
        <f>(B13-C13)/C13</f>
        <v>-0.21617427868329378</v>
      </c>
      <c r="E13" s="349">
        <f>零件!M13</f>
        <v>24896039</v>
      </c>
      <c r="F13" s="350">
        <f>VLOOKUP(A12,[15]進出口值表查詢結果!$A$3:$E$19,3,0)</f>
        <v>30753648</v>
      </c>
      <c r="G13" s="516">
        <f>(E13-F13)/F13</f>
        <v>-0.19046875349552028</v>
      </c>
    </row>
    <row r="14" spans="1:7">
      <c r="A14" s="328" t="s">
        <v>71</v>
      </c>
      <c r="B14" s="356"/>
      <c r="C14" s="482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72</v>
      </c>
      <c r="B16" s="349">
        <f>零件!L16</f>
        <v>46581</v>
      </c>
      <c r="C16" s="350">
        <f>VLOOKUP(A15,[15]進出口值表查詢結果!$A$3:$E$19,4,0)</f>
        <v>73166</v>
      </c>
      <c r="D16" s="516">
        <f>(B16-C16)/C16</f>
        <v>-0.36335183008501215</v>
      </c>
      <c r="E16" s="349">
        <f>零件!M16</f>
        <v>5247553</v>
      </c>
      <c r="F16" s="350">
        <f>VLOOKUP(A15,[15]進出口值表查詢結果!$A$3:$E$19,3,0)</f>
        <v>6833160</v>
      </c>
      <c r="G16" s="516">
        <f>(E16-F16)/F16</f>
        <v>-0.23204593482371261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56</v>
      </c>
      <c r="B19" s="349">
        <f>零件!L19</f>
        <v>10676</v>
      </c>
      <c r="C19" s="350">
        <f>VLOOKUP(A18,[15]進出口值表查詢結果!$A$3:$E$19,4,0)</f>
        <v>9584</v>
      </c>
      <c r="D19" s="516">
        <f>(B19-C19)/C19</f>
        <v>0.11393989983305509</v>
      </c>
      <c r="E19" s="349">
        <f>零件!M19</f>
        <v>1335114</v>
      </c>
      <c r="F19" s="350">
        <f>VLOOKUP(A18,[15]進出口值表查詢結果!$A$3:$E$19,3,0)</f>
        <v>835859</v>
      </c>
      <c r="G19" s="517">
        <f>(E19-F19)/F19</f>
        <v>0.59729571614351229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57</v>
      </c>
      <c r="B22" s="349">
        <f>零件!L22</f>
        <v>4766</v>
      </c>
      <c r="C22" s="350">
        <f>VLOOKUP(A21,[15]進出口值表查詢結果!$A$3:$E$19,4,0)</f>
        <v>18674</v>
      </c>
      <c r="D22" s="517">
        <f>(B22-C22)/C22</f>
        <v>-0.74477883688550928</v>
      </c>
      <c r="E22" s="349">
        <f>零件!M22</f>
        <v>486349</v>
      </c>
      <c r="F22" s="350">
        <f>VLOOKUP(A21,[15]進出口值表查詢結果!$A$3:$E$19,3,0)</f>
        <v>656853</v>
      </c>
      <c r="G22" s="516">
        <f>(E22-F22)/F22</f>
        <v>-0.25957710477077822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73</v>
      </c>
      <c r="B24" s="349">
        <f>零件!L24</f>
        <v>48403</v>
      </c>
      <c r="C24" s="350">
        <f>VLOOKUP(A23,[15]進出口值表查詢結果!$A$3:$E$19,4,0)</f>
        <v>78815</v>
      </c>
      <c r="D24" s="517">
        <f>(B24-C24)/C24</f>
        <v>-0.38586563471420415</v>
      </c>
      <c r="E24" s="349">
        <f>零件!M24</f>
        <v>2227470</v>
      </c>
      <c r="F24" s="350">
        <f>VLOOKUP(A23,[15]進出口值表查詢結果!$A$3:$E$19,3,0)</f>
        <v>3000962</v>
      </c>
      <c r="G24" s="517">
        <f>(E24-F24)/F24</f>
        <v>-0.25774801546970605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408</v>
      </c>
      <c r="B27" s="349">
        <f>零件!L28</f>
        <v>151</v>
      </c>
      <c r="C27" s="350">
        <f>VLOOKUP(A26,[15]進出口值表查詢結果!$A$3:$E$19,4,0)</f>
        <v>2205</v>
      </c>
      <c r="D27" s="517">
        <f>(B27-C27)/C27</f>
        <v>-0.93151927437641724</v>
      </c>
      <c r="E27" s="349">
        <f>零件!M28</f>
        <v>3648</v>
      </c>
      <c r="F27" s="350">
        <f>VLOOKUP(A26,[15]進出口值表查詢結果!$A$3:$E$19,3,0)</f>
        <v>93511</v>
      </c>
      <c r="G27" s="517">
        <f>(E27-F27)/F27</f>
        <v>-0.96098854680198054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76</v>
      </c>
      <c r="B29" s="349">
        <f>零件!L30</f>
        <v>1144</v>
      </c>
      <c r="C29" s="350">
        <f>VLOOKUP(A28,[15]進出口值表查詢結果!$A$3:$E$19,4,0)</f>
        <v>2985</v>
      </c>
      <c r="D29" s="516">
        <f>(B29-C29)/C29</f>
        <v>-0.61675041876046899</v>
      </c>
      <c r="E29" s="349">
        <f>零件!M30</f>
        <v>12113</v>
      </c>
      <c r="F29" s="350">
        <f>VLOOKUP(A28,[15]進出口值表查詢結果!$A$3:$E$19,3,0)</f>
        <v>59158</v>
      </c>
      <c r="G29" s="516">
        <f>(E29-F29)/F29</f>
        <v>-0.79524324689813719</v>
      </c>
    </row>
    <row r="30" spans="1:7">
      <c r="A30" s="328" t="s">
        <v>77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78</v>
      </c>
      <c r="B32" s="349">
        <f>零件!L33</f>
        <v>128815</v>
      </c>
      <c r="C32" s="350">
        <f>VLOOKUP(A31,[15]進出口值表查詢結果!$A$3:$E$19,4,0)</f>
        <v>145987</v>
      </c>
      <c r="D32" s="516">
        <f>(B32-C32)/C32</f>
        <v>-0.11762691198531376</v>
      </c>
      <c r="E32" s="349">
        <f>零件!M33</f>
        <v>7276347</v>
      </c>
      <c r="F32" s="350">
        <f>VLOOKUP(A31,[15]進出口值表查詢結果!$A$3:$E$19,3,0)</f>
        <v>11137424</v>
      </c>
      <c r="G32" s="516">
        <f>(E32-F32)/F32</f>
        <v>-0.34667594589197648</v>
      </c>
    </row>
    <row r="33" spans="1:7">
      <c r="A33" s="328" t="s">
        <v>79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80</v>
      </c>
      <c r="B35" s="349">
        <f>零件!L36</f>
        <v>50682</v>
      </c>
      <c r="C35" s="350">
        <f>VLOOKUP(A34,[15]進出口值表查詢結果!$A$3:$E$19,4,0)</f>
        <v>59326</v>
      </c>
      <c r="D35" s="516">
        <f>(B35-C35)/C35</f>
        <v>-0.14570340154401107</v>
      </c>
      <c r="E35" s="349">
        <f>零件!M36</f>
        <v>740309</v>
      </c>
      <c r="F35" s="350">
        <f>VLOOKUP(A34,[15]進出口值表查詢結果!$A$3:$E$19,3,0)</f>
        <v>950928</v>
      </c>
      <c r="G35" s="516">
        <f>(E35-F35)/F35</f>
        <v>-0.221487851866808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81</v>
      </c>
      <c r="B37" s="349">
        <f>零件!L38</f>
        <v>11881</v>
      </c>
      <c r="C37" s="350">
        <f>VLOOKUP(A36,[15]進出口值表查詢結果!$A$3:$E$19,4,0)</f>
        <v>30338</v>
      </c>
      <c r="D37" s="517">
        <f>(B37-C37)/C37</f>
        <v>-0.6083789307139561</v>
      </c>
      <c r="E37" s="349">
        <f>零件!M38</f>
        <v>272258</v>
      </c>
      <c r="F37" s="350">
        <f>VLOOKUP(A36,[15]進出口值表查詢結果!$A$3:$E$19,3,0)</f>
        <v>236615</v>
      </c>
      <c r="G37" s="517">
        <f>(E37-F37)/F37</f>
        <v>0.15063711091858081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82</v>
      </c>
      <c r="B39" s="349">
        <f>零件!L40</f>
        <v>125388</v>
      </c>
      <c r="C39" s="350">
        <f>VLOOKUP(A38,[15]進出口值表查詢結果!$A$3:$E$19,4,0)</f>
        <v>152443</v>
      </c>
      <c r="D39" s="517">
        <f>(B39-C39)/C39</f>
        <v>-0.17747617142144934</v>
      </c>
      <c r="E39" s="349">
        <f>零件!M40</f>
        <v>2871368</v>
      </c>
      <c r="F39" s="350">
        <f>VLOOKUP(A38,[15]進出口值表查詢結果!$A$3:$E$19,3,0)</f>
        <v>4324665</v>
      </c>
      <c r="G39" s="517">
        <f>(E39-F39)/F39</f>
        <v>-0.33604845693250229</v>
      </c>
    </row>
    <row r="40" spans="1:7">
      <c r="A40" s="328" t="s">
        <v>77</v>
      </c>
      <c r="B40" s="349"/>
      <c r="C40" s="349"/>
      <c r="D40" s="349"/>
      <c r="E40" s="353"/>
      <c r="F40" s="350"/>
      <c r="G40" s="353"/>
    </row>
    <row r="41" spans="1:7">
      <c r="A41" s="331">
        <v>73151100209</v>
      </c>
      <c r="B41" s="354"/>
      <c r="C41" s="354"/>
      <c r="D41" s="358"/>
      <c r="E41" s="359"/>
      <c r="F41" s="359"/>
      <c r="G41" s="359"/>
    </row>
    <row r="42" spans="1:7">
      <c r="A42" s="328" t="s">
        <v>83</v>
      </c>
      <c r="B42" s="349">
        <f>零件!L43</f>
        <v>68106</v>
      </c>
      <c r="C42" s="350">
        <v>64928</v>
      </c>
      <c r="D42" s="517">
        <f>(B42-C42)/C42</f>
        <v>4.8946525381961557E-2</v>
      </c>
      <c r="E42" s="349">
        <f>零件!M43</f>
        <v>710353</v>
      </c>
      <c r="F42" s="350">
        <v>872066</v>
      </c>
      <c r="G42" s="517">
        <f>(E42-F42)/F42</f>
        <v>-0.1854366527304126</v>
      </c>
    </row>
    <row r="43" spans="1:7">
      <c r="A43" s="328" t="s">
        <v>84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85</v>
      </c>
      <c r="B45" s="349">
        <f>零件!L46</f>
        <v>17758</v>
      </c>
      <c r="C45" s="350">
        <f>VLOOKUP(A44,[15]進出口值表查詢結果!$A$3:$E$19,4,0)</f>
        <v>41618</v>
      </c>
      <c r="D45" s="516">
        <f>(B45-C45)/C45</f>
        <v>-0.57330962564275079</v>
      </c>
      <c r="E45" s="349">
        <f>零件!M46</f>
        <v>1373212</v>
      </c>
      <c r="F45" s="350">
        <f>VLOOKUP(A44,[15]進出口值表查詢結果!$A$3:$E$19,3,0)</f>
        <v>4115918</v>
      </c>
      <c r="G45" s="516">
        <f>(E45-F45)/F45</f>
        <v>-0.66636555927499042</v>
      </c>
    </row>
    <row r="46" spans="1:7">
      <c r="A46" s="328" t="s">
        <v>86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410</v>
      </c>
      <c r="B48" s="349">
        <f>零件!L49</f>
        <v>21578</v>
      </c>
      <c r="C48" s="350">
        <f>VLOOKUP(A47,[15]進出口值表查詢結果!$A$3:$E$19,4,0)</f>
        <v>31573</v>
      </c>
      <c r="D48" s="516">
        <f>(B48-C48)/C48</f>
        <v>-0.31656795363126722</v>
      </c>
      <c r="E48" s="349">
        <f>零件!M49</f>
        <v>817658</v>
      </c>
      <c r="F48" s="350">
        <f>VLOOKUP(A47,[15]進出口值表查詢結果!$A$3:$E$19,3,0)</f>
        <v>1519082</v>
      </c>
      <c r="G48" s="516">
        <f>(E48-F48)/F48</f>
        <v>-0.46174202577609375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87</v>
      </c>
      <c r="B50" s="349">
        <f>零件!L51</f>
        <v>2353</v>
      </c>
      <c r="C50" s="350">
        <f>VLOOKUP(A49,[15]進出口值表查詢結果!$A$3:$E$19,4,0)</f>
        <v>12687</v>
      </c>
      <c r="D50" s="517">
        <f>(B50-C50)/C50</f>
        <v>-0.81453456293844095</v>
      </c>
      <c r="E50" s="349">
        <f>零件!M51</f>
        <v>40439</v>
      </c>
      <c r="F50" s="350">
        <f>VLOOKUP(A49,[15]進出口值表查詢結果!$A$3:$E$19,3,0)</f>
        <v>149132</v>
      </c>
      <c r="G50" s="517">
        <f>(E50-F50)/F50</f>
        <v>-0.72883753989754041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88</v>
      </c>
      <c r="B52" s="349">
        <f>零件!L53</f>
        <v>17255</v>
      </c>
      <c r="C52" s="350">
        <f>VLOOKUP(A51,[15]進出口值表查詢結果!$A$3:$E$19,4,0)</f>
        <v>20515</v>
      </c>
      <c r="D52" s="516">
        <f>(B52-C52)/C52</f>
        <v>-0.15890811601267366</v>
      </c>
      <c r="E52" s="349">
        <f>零件!M53</f>
        <v>548513</v>
      </c>
      <c r="F52" s="350">
        <f>VLOOKUP(A51,[15]進出口值表查詢結果!$A$3:$E$19,3,0)</f>
        <v>545854</v>
      </c>
      <c r="G52" s="516">
        <f>(E52-F52)/F52</f>
        <v>4.8712659429078105E-3</v>
      </c>
    </row>
    <row r="53" spans="1:7">
      <c r="A53" s="328" t="s">
        <v>89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90</v>
      </c>
      <c r="B55" s="349">
        <f>零件!L56</f>
        <v>28239</v>
      </c>
      <c r="C55" s="350">
        <f>VLOOKUP(A54,[15]進出口值表查詢結果!$A$3:$E$19,4,0)</f>
        <v>34992</v>
      </c>
      <c r="D55" s="517">
        <f>(B55-C55)/C55</f>
        <v>-0.19298696844993141</v>
      </c>
      <c r="E55" s="349">
        <f>零件!M56</f>
        <v>1097227</v>
      </c>
      <c r="F55" s="350">
        <f>VLOOKUP(A54,[15]進出口值表查詢結果!$A$3:$E$19,3,0)</f>
        <v>1613845</v>
      </c>
      <c r="G55" s="517">
        <f>(E55-F55)/F55</f>
        <v>-0.3201162441250554</v>
      </c>
    </row>
    <row r="56" spans="1:7">
      <c r="A56" s="328" t="s">
        <v>91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88</v>
      </c>
      <c r="B58" s="349">
        <f>零件!L59</f>
        <v>26490</v>
      </c>
      <c r="C58" s="350">
        <f>VLOOKUP(A57,[15]進出口值表查詢結果!$A$3:$E$19,4,0)</f>
        <v>37462</v>
      </c>
      <c r="D58" s="516">
        <f>(B58-C58)/C58</f>
        <v>-0.29288345523463777</v>
      </c>
      <c r="E58" s="349">
        <f>零件!M59</f>
        <v>1678764</v>
      </c>
      <c r="F58" s="350">
        <f>VLOOKUP(A57,[15]進出口值表查詢結果!$A$3:$E$19,3,0)</f>
        <v>2302302</v>
      </c>
      <c r="G58" s="516">
        <f>(E58-F58)/F58</f>
        <v>-0.27083241034408173</v>
      </c>
    </row>
    <row r="59" spans="1:7">
      <c r="A59" s="331">
        <v>40115000008</v>
      </c>
      <c r="B59" s="358"/>
      <c r="C59" s="358"/>
      <c r="D59" s="361"/>
      <c r="E59" s="359"/>
      <c r="F59" s="359"/>
      <c r="G59" s="359"/>
    </row>
    <row r="60" spans="1:7">
      <c r="A60" s="328" t="s">
        <v>92</v>
      </c>
      <c r="B60" s="579">
        <f>零件!L61</f>
        <v>126825</v>
      </c>
      <c r="C60" s="580">
        <v>131978</v>
      </c>
      <c r="D60" s="581">
        <f>(B60-C60)/C60</f>
        <v>-3.9044386185576381E-2</v>
      </c>
      <c r="E60" s="579">
        <f>零件!M61</f>
        <v>1410665</v>
      </c>
      <c r="F60" s="580">
        <v>1403017</v>
      </c>
      <c r="G60" s="516">
        <f>(E60-F60)/F60</f>
        <v>5.4511100008054073E-3</v>
      </c>
    </row>
    <row r="61" spans="1:7">
      <c r="A61" s="328" t="s">
        <v>93</v>
      </c>
      <c r="B61" s="349"/>
      <c r="C61" s="350"/>
      <c r="D61" s="352"/>
      <c r="E61" s="353"/>
      <c r="F61" s="350"/>
      <c r="G61" s="519"/>
    </row>
    <row r="62" spans="1:7">
      <c r="A62" s="331">
        <v>40132000003</v>
      </c>
      <c r="B62" s="358"/>
      <c r="C62" s="358"/>
      <c r="D62" s="358"/>
      <c r="E62" s="359"/>
      <c r="F62" s="359"/>
      <c r="G62" s="359"/>
    </row>
    <row r="63" spans="1:7">
      <c r="A63" s="328" t="s">
        <v>94</v>
      </c>
      <c r="B63" s="579">
        <f>零件!L64</f>
        <v>20050</v>
      </c>
      <c r="C63" s="580">
        <v>32726</v>
      </c>
      <c r="D63" s="582">
        <f>(B63-C63)/C63</f>
        <v>-0.38733728533887429</v>
      </c>
      <c r="E63" s="579">
        <f>零件!M64</f>
        <v>134094</v>
      </c>
      <c r="F63" s="580">
        <v>145157</v>
      </c>
      <c r="G63" s="516">
        <f>(E63-F63)/F63</f>
        <v>-7.6214030325785179E-2</v>
      </c>
    </row>
    <row r="64" spans="1:7">
      <c r="A64" s="328" t="s">
        <v>95</v>
      </c>
      <c r="B64" s="579"/>
      <c r="C64" s="482"/>
      <c r="D64" s="583"/>
      <c r="E64" s="584"/>
      <c r="F64" s="580"/>
      <c r="G64" s="353"/>
    </row>
    <row r="65" spans="1:7">
      <c r="A65" s="362" t="s">
        <v>96</v>
      </c>
      <c r="B65" s="585">
        <f>SUM(B6:B64)-B64-B61-B20-B17-B11-B8</f>
        <v>1121679</v>
      </c>
      <c r="C65" s="585">
        <f>SUM(C6:C64)-C64-C61-C20-C17-C11-C8</f>
        <v>1447569</v>
      </c>
      <c r="D65" s="586">
        <f>(B65-C65)/C65</f>
        <v>-0.2251291648273761</v>
      </c>
      <c r="E65" s="587">
        <f>SUM(E7:E64)</f>
        <v>53564663</v>
      </c>
      <c r="F65" s="587">
        <f>SUM(F7:F64)</f>
        <v>71972729</v>
      </c>
      <c r="G65" s="515">
        <f>(E65-F65)/F65</f>
        <v>-0.2557644576739615</v>
      </c>
    </row>
    <row r="66" spans="1:7">
      <c r="E66" s="5"/>
      <c r="G66" s="320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13" customWidth="1"/>
    <col min="2" max="2" width="10" style="13"/>
    <col min="3" max="3" width="17.75" style="320" customWidth="1"/>
    <col min="4" max="4" width="12.875" style="13" bestFit="1" customWidth="1"/>
    <col min="5" max="5" width="17.875" style="320" customWidth="1"/>
    <col min="6" max="6" width="2.125" style="13" customWidth="1"/>
    <col min="7" max="7" width="11.25" style="13" customWidth="1"/>
    <col min="8" max="8" width="15.75" style="320" customWidth="1"/>
    <col min="9" max="9" width="12.875" style="13" bestFit="1" customWidth="1"/>
    <col min="10" max="10" width="17.875" style="320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6" t="s">
        <v>526</v>
      </c>
      <c r="C1" s="367"/>
      <c r="D1" s="368"/>
      <c r="E1" s="367"/>
      <c r="F1" s="368"/>
      <c r="G1" s="368"/>
      <c r="H1" s="367"/>
      <c r="I1" s="368"/>
      <c r="J1" s="367"/>
    </row>
    <row r="2" spans="1:10">
      <c r="B2" s="368"/>
      <c r="C2" s="367"/>
      <c r="D2" s="368"/>
      <c r="E2" s="367"/>
      <c r="F2" s="368"/>
      <c r="G2" s="368"/>
      <c r="H2" s="367"/>
      <c r="I2" s="368"/>
      <c r="J2" s="367"/>
    </row>
    <row r="3" spans="1:10">
      <c r="A3" s="556" t="s">
        <v>475</v>
      </c>
      <c r="B3" s="483"/>
      <c r="G3" s="483" t="s">
        <v>433</v>
      </c>
    </row>
    <row r="4" spans="1:10">
      <c r="B4" s="30" t="s">
        <v>101</v>
      </c>
      <c r="C4" s="369" t="s">
        <v>102</v>
      </c>
      <c r="D4" s="30" t="s">
        <v>103</v>
      </c>
      <c r="E4" s="369" t="s">
        <v>104</v>
      </c>
      <c r="F4" s="370"/>
      <c r="G4" s="30" t="s">
        <v>101</v>
      </c>
      <c r="H4" s="369" t="s">
        <v>102</v>
      </c>
      <c r="I4" s="30" t="s">
        <v>103</v>
      </c>
      <c r="J4" s="369" t="s">
        <v>104</v>
      </c>
    </row>
    <row r="5" spans="1:10">
      <c r="A5" s="13">
        <v>1</v>
      </c>
      <c r="B5" s="371" t="s">
        <v>460</v>
      </c>
      <c r="C5" s="372">
        <v>530830</v>
      </c>
      <c r="D5" s="552" t="s">
        <v>167</v>
      </c>
      <c r="E5" s="373">
        <v>135810</v>
      </c>
      <c r="G5" s="371" t="s">
        <v>248</v>
      </c>
      <c r="H5" s="373">
        <v>175343</v>
      </c>
      <c r="I5" s="552" t="s">
        <v>241</v>
      </c>
      <c r="J5" s="373">
        <v>118906</v>
      </c>
    </row>
    <row r="6" spans="1:10">
      <c r="A6" s="13">
        <v>2</v>
      </c>
      <c r="B6" s="371" t="s">
        <v>247</v>
      </c>
      <c r="C6" s="372">
        <v>378382</v>
      </c>
      <c r="D6" s="374" t="s">
        <v>168</v>
      </c>
      <c r="E6" s="373">
        <v>95470</v>
      </c>
      <c r="G6" s="371" t="s">
        <v>464</v>
      </c>
      <c r="H6" s="373">
        <v>65065</v>
      </c>
      <c r="I6" s="552" t="s">
        <v>248</v>
      </c>
      <c r="J6" s="373">
        <v>6080</v>
      </c>
    </row>
    <row r="7" spans="1:10">
      <c r="A7" s="13">
        <v>3</v>
      </c>
      <c r="B7" s="371" t="s">
        <v>461</v>
      </c>
      <c r="C7" s="372">
        <v>85405</v>
      </c>
      <c r="D7" s="374" t="s">
        <v>169</v>
      </c>
      <c r="E7" s="373">
        <v>8970</v>
      </c>
      <c r="G7" s="371" t="s">
        <v>460</v>
      </c>
      <c r="H7" s="373">
        <v>55732</v>
      </c>
      <c r="I7" s="552" t="s">
        <v>510</v>
      </c>
      <c r="J7" s="373">
        <v>5990</v>
      </c>
    </row>
    <row r="8" spans="1:10">
      <c r="A8" s="13">
        <v>4</v>
      </c>
      <c r="B8" s="371" t="s">
        <v>463</v>
      </c>
      <c r="C8" s="372">
        <v>57160</v>
      </c>
      <c r="D8" s="374" t="s">
        <v>458</v>
      </c>
      <c r="E8" s="373">
        <v>6294</v>
      </c>
      <c r="G8" s="371" t="s">
        <v>11</v>
      </c>
      <c r="H8" s="373">
        <v>52022</v>
      </c>
      <c r="I8" s="371" t="s">
        <v>249</v>
      </c>
      <c r="J8" s="373">
        <v>3192</v>
      </c>
    </row>
    <row r="9" spans="1:10">
      <c r="A9" s="13">
        <v>5</v>
      </c>
      <c r="B9" s="371" t="s">
        <v>258</v>
      </c>
      <c r="C9" s="372">
        <v>49954</v>
      </c>
      <c r="D9" s="374" t="s">
        <v>508</v>
      </c>
      <c r="E9" s="373">
        <v>18</v>
      </c>
      <c r="G9" s="371" t="s">
        <v>247</v>
      </c>
      <c r="H9" s="373">
        <v>48676</v>
      </c>
      <c r="I9" s="371" t="s">
        <v>234</v>
      </c>
      <c r="J9" s="373">
        <v>3132</v>
      </c>
    </row>
    <row r="10" spans="1:10">
      <c r="A10" s="13">
        <v>6</v>
      </c>
      <c r="B10" s="371" t="s">
        <v>15</v>
      </c>
      <c r="C10" s="372">
        <v>43295</v>
      </c>
      <c r="D10" s="555"/>
      <c r="E10" s="373"/>
      <c r="G10" s="371" t="s">
        <v>249</v>
      </c>
      <c r="H10" s="373">
        <v>24171</v>
      </c>
      <c r="I10" s="371" t="s">
        <v>459</v>
      </c>
      <c r="J10" s="373">
        <v>1247</v>
      </c>
    </row>
    <row r="11" spans="1:10">
      <c r="A11" s="13">
        <v>7</v>
      </c>
      <c r="B11" s="371" t="s">
        <v>509</v>
      </c>
      <c r="C11" s="372">
        <v>18364</v>
      </c>
      <c r="D11" s="371"/>
      <c r="E11" s="373"/>
      <c r="G11" s="371" t="s">
        <v>386</v>
      </c>
      <c r="H11" s="373">
        <v>15446</v>
      </c>
      <c r="I11" s="371" t="s">
        <v>257</v>
      </c>
      <c r="J11" s="373">
        <v>61</v>
      </c>
    </row>
    <row r="12" spans="1:10">
      <c r="A12" s="13">
        <v>8</v>
      </c>
      <c r="B12" s="371" t="s">
        <v>234</v>
      </c>
      <c r="C12" s="372">
        <v>17483</v>
      </c>
      <c r="D12" s="371"/>
      <c r="E12" s="373"/>
      <c r="G12" s="371" t="s">
        <v>255</v>
      </c>
      <c r="H12" s="373">
        <v>13013</v>
      </c>
      <c r="I12" s="371"/>
      <c r="J12" s="373"/>
    </row>
    <row r="13" spans="1:10">
      <c r="A13" s="13">
        <v>9</v>
      </c>
      <c r="B13" s="371" t="s">
        <v>255</v>
      </c>
      <c r="C13" s="372">
        <v>14655</v>
      </c>
      <c r="D13" s="371"/>
      <c r="E13" s="373"/>
      <c r="G13" s="371" t="s">
        <v>463</v>
      </c>
      <c r="H13" s="373">
        <v>10733</v>
      </c>
      <c r="I13" s="371"/>
      <c r="J13" s="373"/>
    </row>
    <row r="14" spans="1:10">
      <c r="A14" s="13">
        <v>10</v>
      </c>
      <c r="B14" s="371" t="s">
        <v>263</v>
      </c>
      <c r="C14" s="372">
        <v>14047</v>
      </c>
      <c r="D14" s="371"/>
      <c r="E14" s="373"/>
      <c r="G14" s="371" t="s">
        <v>473</v>
      </c>
      <c r="H14" s="373">
        <v>9973</v>
      </c>
      <c r="I14" s="371"/>
      <c r="J14" s="373"/>
    </row>
    <row r="15" spans="1:10">
      <c r="B15" s="371" t="s">
        <v>105</v>
      </c>
      <c r="C15" s="373">
        <f>C16-SUM(C5:C14)</f>
        <v>56554</v>
      </c>
      <c r="D15" s="371" t="s">
        <v>105</v>
      </c>
      <c r="E15" s="373">
        <f>E16-SUM(E5:E14)</f>
        <v>0</v>
      </c>
      <c r="G15" s="484" t="s">
        <v>434</v>
      </c>
      <c r="H15" s="373">
        <f>H16-SUM(H5:H14)</f>
        <v>27942</v>
      </c>
      <c r="I15" s="371" t="s">
        <v>105</v>
      </c>
      <c r="J15" s="373">
        <f>J16-SUM(J5:J14)</f>
        <v>0</v>
      </c>
    </row>
    <row r="16" spans="1:10">
      <c r="B16" s="371" t="s">
        <v>106</v>
      </c>
      <c r="C16" s="373">
        <v>1266129</v>
      </c>
      <c r="D16" s="371" t="s">
        <v>106</v>
      </c>
      <c r="E16" s="373">
        <v>246562</v>
      </c>
      <c r="G16" s="371" t="s">
        <v>106</v>
      </c>
      <c r="H16" s="373">
        <v>498116</v>
      </c>
      <c r="I16" s="371" t="s">
        <v>106</v>
      </c>
      <c r="J16" s="373">
        <v>138608</v>
      </c>
    </row>
    <row r="18" spans="1:10">
      <c r="B18" s="483" t="s">
        <v>435</v>
      </c>
      <c r="G18" s="55" t="s">
        <v>527</v>
      </c>
    </row>
    <row r="19" spans="1:10">
      <c r="B19" s="30" t="s">
        <v>101</v>
      </c>
      <c r="C19" s="369" t="s">
        <v>102</v>
      </c>
      <c r="D19" s="30" t="s">
        <v>103</v>
      </c>
      <c r="E19" s="369" t="s">
        <v>104</v>
      </c>
      <c r="G19" s="30" t="s">
        <v>101</v>
      </c>
      <c r="H19" s="369" t="s">
        <v>102</v>
      </c>
      <c r="I19" s="30" t="s">
        <v>103</v>
      </c>
      <c r="J19" s="369" t="s">
        <v>104</v>
      </c>
    </row>
    <row r="20" spans="1:10">
      <c r="A20" s="13">
        <v>1</v>
      </c>
      <c r="B20" s="485" t="s">
        <v>248</v>
      </c>
      <c r="C20" s="373">
        <v>12133225</v>
      </c>
      <c r="D20" s="371" t="s">
        <v>241</v>
      </c>
      <c r="E20" s="373">
        <v>18626549</v>
      </c>
      <c r="G20" s="371" t="s">
        <v>247</v>
      </c>
      <c r="H20" s="373">
        <v>898298</v>
      </c>
      <c r="I20" s="371" t="s">
        <v>241</v>
      </c>
      <c r="J20" s="373">
        <v>4801581</v>
      </c>
    </row>
    <row r="21" spans="1:10">
      <c r="A21" s="13">
        <v>2</v>
      </c>
      <c r="B21" s="485" t="s">
        <v>247</v>
      </c>
      <c r="C21" s="373">
        <v>5465972</v>
      </c>
      <c r="D21" s="371" t="s">
        <v>464</v>
      </c>
      <c r="E21" s="373">
        <v>4312285</v>
      </c>
      <c r="G21" s="371" t="s">
        <v>9</v>
      </c>
      <c r="H21" s="373">
        <v>617605</v>
      </c>
      <c r="I21" s="371" t="s">
        <v>464</v>
      </c>
      <c r="J21" s="373">
        <v>362481</v>
      </c>
    </row>
    <row r="22" spans="1:10">
      <c r="A22" s="13">
        <v>3</v>
      </c>
      <c r="B22" s="485" t="s">
        <v>241</v>
      </c>
      <c r="C22" s="373">
        <v>3278079</v>
      </c>
      <c r="D22" s="371" t="s">
        <v>463</v>
      </c>
      <c r="E22" s="373">
        <v>1011675</v>
      </c>
      <c r="G22" s="371" t="s">
        <v>10</v>
      </c>
      <c r="H22" s="373">
        <v>342659</v>
      </c>
      <c r="I22" s="371" t="s">
        <v>258</v>
      </c>
      <c r="J22" s="373">
        <v>49711</v>
      </c>
    </row>
    <row r="23" spans="1:10">
      <c r="A23" s="13">
        <v>4</v>
      </c>
      <c r="B23" s="485" t="s">
        <v>460</v>
      </c>
      <c r="C23" s="373">
        <v>2716632</v>
      </c>
      <c r="D23" s="371" t="s">
        <v>459</v>
      </c>
      <c r="E23" s="373">
        <v>828938</v>
      </c>
      <c r="G23" s="371" t="s">
        <v>248</v>
      </c>
      <c r="H23" s="373">
        <v>274401</v>
      </c>
      <c r="I23" s="371" t="s">
        <v>460</v>
      </c>
      <c r="J23" s="373">
        <v>27212</v>
      </c>
    </row>
    <row r="24" spans="1:10">
      <c r="A24" s="13">
        <v>5</v>
      </c>
      <c r="B24" s="485" t="s">
        <v>10</v>
      </c>
      <c r="C24" s="373">
        <v>1309760</v>
      </c>
      <c r="D24" s="371" t="s">
        <v>10</v>
      </c>
      <c r="E24" s="373">
        <v>69535</v>
      </c>
      <c r="G24" s="371" t="s">
        <v>460</v>
      </c>
      <c r="H24" s="373">
        <v>252570</v>
      </c>
      <c r="I24" s="371" t="s">
        <v>10</v>
      </c>
      <c r="J24" s="373">
        <v>4257</v>
      </c>
    </row>
    <row r="25" spans="1:10">
      <c r="A25" s="13">
        <v>6</v>
      </c>
      <c r="B25" s="485" t="s">
        <v>9</v>
      </c>
      <c r="C25" s="373">
        <v>1287384</v>
      </c>
      <c r="D25" s="371" t="s">
        <v>386</v>
      </c>
      <c r="E25" s="373">
        <v>34621</v>
      </c>
      <c r="G25" s="371" t="s">
        <v>258</v>
      </c>
      <c r="H25" s="373">
        <v>193311</v>
      </c>
      <c r="I25" s="371" t="s">
        <v>459</v>
      </c>
      <c r="J25" s="373">
        <v>1855</v>
      </c>
    </row>
    <row r="26" spans="1:10">
      <c r="A26" s="13">
        <v>7</v>
      </c>
      <c r="B26" s="485" t="s">
        <v>249</v>
      </c>
      <c r="C26" s="373">
        <v>993344</v>
      </c>
      <c r="D26" s="371" t="s">
        <v>249</v>
      </c>
      <c r="E26" s="373">
        <v>4652</v>
      </c>
      <c r="G26" s="371" t="s">
        <v>12</v>
      </c>
      <c r="H26" s="373">
        <v>111250</v>
      </c>
      <c r="I26" s="371" t="s">
        <v>9</v>
      </c>
      <c r="J26" s="373">
        <v>365</v>
      </c>
    </row>
    <row r="27" spans="1:10">
      <c r="A27" s="13">
        <v>8</v>
      </c>
      <c r="B27" s="485" t="s">
        <v>461</v>
      </c>
      <c r="C27" s="373">
        <v>916204</v>
      </c>
      <c r="D27" s="371" t="s">
        <v>248</v>
      </c>
      <c r="E27" s="373">
        <v>1855</v>
      </c>
      <c r="G27" s="371" t="s">
        <v>241</v>
      </c>
      <c r="H27" s="373">
        <v>108422</v>
      </c>
      <c r="I27" s="371" t="s">
        <v>12</v>
      </c>
      <c r="J27" s="373">
        <v>91</v>
      </c>
    </row>
    <row r="28" spans="1:10">
      <c r="A28" s="13">
        <v>9</v>
      </c>
      <c r="B28" s="485" t="s">
        <v>258</v>
      </c>
      <c r="C28" s="373">
        <v>910306</v>
      </c>
      <c r="D28" s="371" t="s">
        <v>511</v>
      </c>
      <c r="E28" s="373">
        <v>1703</v>
      </c>
      <c r="G28" s="371" t="s">
        <v>464</v>
      </c>
      <c r="H28" s="373">
        <v>82275</v>
      </c>
      <c r="I28" s="371"/>
      <c r="J28" s="373"/>
    </row>
    <row r="29" spans="1:10">
      <c r="A29" s="13">
        <v>10</v>
      </c>
      <c r="B29" s="485" t="s">
        <v>260</v>
      </c>
      <c r="C29" s="373">
        <v>876529</v>
      </c>
      <c r="D29" s="371" t="s">
        <v>15</v>
      </c>
      <c r="E29" s="373">
        <v>1581</v>
      </c>
      <c r="G29" s="371" t="s">
        <v>463</v>
      </c>
      <c r="H29" s="373">
        <v>51322</v>
      </c>
      <c r="I29" s="371"/>
      <c r="J29" s="373"/>
    </row>
    <row r="30" spans="1:10">
      <c r="B30" s="371" t="s">
        <v>105</v>
      </c>
      <c r="C30" s="373">
        <f>C31-SUM(C20:C29)</f>
        <v>9236540</v>
      </c>
      <c r="D30" s="371" t="s">
        <v>436</v>
      </c>
      <c r="E30" s="373">
        <f>E31-SUM(E20:E29)</f>
        <v>2645</v>
      </c>
      <c r="G30" s="371" t="s">
        <v>434</v>
      </c>
      <c r="H30" s="373">
        <f>H31-SUM(H20:H29)</f>
        <v>385923</v>
      </c>
      <c r="I30" s="371" t="s">
        <v>105</v>
      </c>
      <c r="J30" s="373">
        <f>J31-SUM(J20:J29)</f>
        <v>0</v>
      </c>
    </row>
    <row r="31" spans="1:10">
      <c r="B31" s="371" t="s">
        <v>106</v>
      </c>
      <c r="C31" s="373">
        <v>39123975</v>
      </c>
      <c r="D31" s="371" t="s">
        <v>106</v>
      </c>
      <c r="E31" s="373">
        <v>24896039</v>
      </c>
      <c r="G31" s="371" t="s">
        <v>106</v>
      </c>
      <c r="H31" s="373">
        <v>3318036</v>
      </c>
      <c r="I31" s="371" t="s">
        <v>106</v>
      </c>
      <c r="J31" s="373">
        <v>5247553</v>
      </c>
    </row>
    <row r="32" spans="1:10">
      <c r="B32" s="376"/>
      <c r="D32" s="376"/>
      <c r="G32" s="376"/>
      <c r="I32" s="376"/>
    </row>
    <row r="33" spans="1:10">
      <c r="B33" s="55" t="s">
        <v>437</v>
      </c>
      <c r="D33" s="376"/>
      <c r="G33" s="55" t="s">
        <v>528</v>
      </c>
      <c r="I33" s="376"/>
    </row>
    <row r="34" spans="1:10">
      <c r="B34" s="371" t="s">
        <v>101</v>
      </c>
      <c r="C34" s="373" t="s">
        <v>102</v>
      </c>
      <c r="D34" s="371" t="s">
        <v>103</v>
      </c>
      <c r="E34" s="369" t="s">
        <v>104</v>
      </c>
      <c r="G34" s="371" t="s">
        <v>101</v>
      </c>
      <c r="H34" s="373" t="s">
        <v>102</v>
      </c>
      <c r="I34" s="371" t="s">
        <v>103</v>
      </c>
      <c r="J34" s="369" t="s">
        <v>104</v>
      </c>
    </row>
    <row r="35" spans="1:10">
      <c r="A35" s="13">
        <v>1</v>
      </c>
      <c r="B35" s="371" t="s">
        <v>248</v>
      </c>
      <c r="C35" s="373">
        <v>541319</v>
      </c>
      <c r="D35" s="371" t="s">
        <v>182</v>
      </c>
      <c r="E35" s="373">
        <v>696959</v>
      </c>
      <c r="G35" s="371" t="s">
        <v>247</v>
      </c>
      <c r="H35" s="373">
        <v>2189358</v>
      </c>
      <c r="I35" s="371" t="s">
        <v>10</v>
      </c>
      <c r="J35" s="373">
        <v>220645</v>
      </c>
    </row>
    <row r="36" spans="1:10">
      <c r="A36" s="13">
        <v>2</v>
      </c>
      <c r="B36" s="371" t="s">
        <v>463</v>
      </c>
      <c r="C36" s="373">
        <v>220677</v>
      </c>
      <c r="D36" s="371" t="s">
        <v>167</v>
      </c>
      <c r="E36" s="373">
        <v>494375</v>
      </c>
      <c r="G36" s="371" t="s">
        <v>248</v>
      </c>
      <c r="H36" s="373">
        <v>1907390</v>
      </c>
      <c r="I36" s="371" t="s">
        <v>241</v>
      </c>
      <c r="J36" s="373">
        <v>194649</v>
      </c>
    </row>
    <row r="37" spans="1:10">
      <c r="A37" s="13">
        <v>3</v>
      </c>
      <c r="B37" s="371" t="s">
        <v>241</v>
      </c>
      <c r="C37" s="373">
        <v>57920</v>
      </c>
      <c r="D37" s="371" t="s">
        <v>187</v>
      </c>
      <c r="E37" s="373">
        <v>141379</v>
      </c>
      <c r="G37" s="371" t="s">
        <v>241</v>
      </c>
      <c r="H37" s="373">
        <v>1266405</v>
      </c>
      <c r="I37" s="371" t="s">
        <v>465</v>
      </c>
      <c r="J37" s="373">
        <v>35786</v>
      </c>
    </row>
    <row r="38" spans="1:10">
      <c r="A38" s="13">
        <v>4</v>
      </c>
      <c r="B38" s="371" t="s">
        <v>265</v>
      </c>
      <c r="C38" s="373">
        <v>55366</v>
      </c>
      <c r="D38" s="371" t="s">
        <v>162</v>
      </c>
      <c r="E38" s="373">
        <v>2067</v>
      </c>
      <c r="G38" s="371" t="s">
        <v>460</v>
      </c>
      <c r="H38" s="373">
        <v>710854</v>
      </c>
      <c r="I38" s="371" t="s">
        <v>459</v>
      </c>
      <c r="J38" s="373">
        <v>13074</v>
      </c>
    </row>
    <row r="39" spans="1:10">
      <c r="A39" s="13">
        <v>5</v>
      </c>
      <c r="B39" s="371" t="s">
        <v>464</v>
      </c>
      <c r="C39" s="373">
        <v>55244</v>
      </c>
      <c r="D39" s="371" t="s">
        <v>512</v>
      </c>
      <c r="E39" s="373">
        <v>334</v>
      </c>
      <c r="G39" s="371" t="s">
        <v>463</v>
      </c>
      <c r="H39" s="373">
        <v>697385</v>
      </c>
      <c r="I39" s="371" t="s">
        <v>11</v>
      </c>
      <c r="J39" s="373">
        <v>11858</v>
      </c>
    </row>
    <row r="40" spans="1:10">
      <c r="A40" s="13">
        <v>6</v>
      </c>
      <c r="B40" s="371" t="s">
        <v>460</v>
      </c>
      <c r="C40" s="373">
        <v>53451</v>
      </c>
      <c r="D40" s="371"/>
      <c r="E40" s="373"/>
      <c r="G40" s="371" t="s">
        <v>461</v>
      </c>
      <c r="H40" s="373">
        <v>461599</v>
      </c>
      <c r="I40" s="371" t="s">
        <v>460</v>
      </c>
      <c r="J40" s="373">
        <v>6324</v>
      </c>
    </row>
    <row r="41" spans="1:10">
      <c r="A41" s="13">
        <v>7</v>
      </c>
      <c r="B41" s="371" t="s">
        <v>271</v>
      </c>
      <c r="C41" s="373">
        <v>47522</v>
      </c>
      <c r="D41" s="371"/>
      <c r="E41" s="373"/>
      <c r="G41" s="371" t="s">
        <v>12</v>
      </c>
      <c r="H41" s="373">
        <v>293128</v>
      </c>
      <c r="I41" s="371" t="s">
        <v>462</v>
      </c>
      <c r="J41" s="373">
        <v>3709</v>
      </c>
    </row>
    <row r="42" spans="1:10">
      <c r="A42" s="13">
        <v>8</v>
      </c>
      <c r="B42" s="371" t="s">
        <v>6</v>
      </c>
      <c r="C42" s="373">
        <v>43509</v>
      </c>
      <c r="D42" s="371"/>
      <c r="E42" s="373"/>
      <c r="G42" s="371" t="s">
        <v>14</v>
      </c>
      <c r="H42" s="373">
        <v>216814</v>
      </c>
      <c r="I42" s="371" t="s">
        <v>260</v>
      </c>
      <c r="J42" s="373">
        <v>182</v>
      </c>
    </row>
    <row r="43" spans="1:10">
      <c r="A43" s="13">
        <v>9</v>
      </c>
      <c r="B43" s="371" t="s">
        <v>10</v>
      </c>
      <c r="C43" s="373">
        <v>42596</v>
      </c>
      <c r="D43" s="371"/>
      <c r="E43" s="373"/>
      <c r="G43" s="371" t="s">
        <v>473</v>
      </c>
      <c r="H43" s="373">
        <v>208696</v>
      </c>
      <c r="I43" s="371" t="s">
        <v>386</v>
      </c>
      <c r="J43" s="373">
        <v>122</v>
      </c>
    </row>
    <row r="44" spans="1:10">
      <c r="A44" s="13">
        <v>10</v>
      </c>
      <c r="B44" s="371" t="s">
        <v>471</v>
      </c>
      <c r="C44" s="373">
        <v>29492</v>
      </c>
      <c r="D44" s="371"/>
      <c r="E44" s="373"/>
      <c r="G44" s="371" t="s">
        <v>6</v>
      </c>
      <c r="H44" s="373">
        <v>142141</v>
      </c>
      <c r="I44" s="371"/>
      <c r="J44" s="373"/>
    </row>
    <row r="45" spans="1:10">
      <c r="B45" s="371" t="s">
        <v>105</v>
      </c>
      <c r="C45" s="373">
        <f>C46-SUM(C34:C44)</f>
        <v>126117</v>
      </c>
      <c r="D45" s="371" t="s">
        <v>438</v>
      </c>
      <c r="E45" s="373">
        <f>E46-SUM(E34:E44)</f>
        <v>0</v>
      </c>
      <c r="G45" s="371" t="s">
        <v>439</v>
      </c>
      <c r="H45" s="373">
        <f>H46-SUM(H34:H44)</f>
        <v>470265</v>
      </c>
      <c r="I45" s="371" t="s">
        <v>440</v>
      </c>
      <c r="J45" s="373">
        <f>J46-SUM(J34:J44)</f>
        <v>0</v>
      </c>
    </row>
    <row r="46" spans="1:10">
      <c r="B46" s="371" t="s">
        <v>106</v>
      </c>
      <c r="C46" s="373">
        <v>1273213</v>
      </c>
      <c r="D46" s="371" t="s">
        <v>106</v>
      </c>
      <c r="E46" s="373">
        <v>1335114</v>
      </c>
      <c r="G46" s="371" t="s">
        <v>106</v>
      </c>
      <c r="H46" s="373">
        <v>8564035</v>
      </c>
      <c r="I46" s="371" t="s">
        <v>106</v>
      </c>
      <c r="J46" s="373">
        <v>486349</v>
      </c>
    </row>
    <row r="47" spans="1:10">
      <c r="B47" s="376"/>
      <c r="D47" s="376"/>
      <c r="G47" s="376"/>
      <c r="I47" s="376"/>
    </row>
    <row r="48" spans="1:10">
      <c r="B48" s="55" t="s">
        <v>441</v>
      </c>
      <c r="G48" s="269" t="s">
        <v>442</v>
      </c>
    </row>
    <row r="49" spans="1:10">
      <c r="B49" s="30" t="s">
        <v>101</v>
      </c>
      <c r="C49" s="369" t="s">
        <v>102</v>
      </c>
      <c r="D49" s="30" t="s">
        <v>103</v>
      </c>
      <c r="E49" s="369" t="s">
        <v>104</v>
      </c>
      <c r="G49" s="30" t="s">
        <v>101</v>
      </c>
      <c r="H49" s="369" t="s">
        <v>102</v>
      </c>
      <c r="I49" s="30" t="s">
        <v>103</v>
      </c>
      <c r="J49" s="369" t="s">
        <v>104</v>
      </c>
    </row>
    <row r="50" spans="1:10">
      <c r="A50" s="13">
        <v>1</v>
      </c>
      <c r="B50" s="371" t="s">
        <v>460</v>
      </c>
      <c r="C50" s="373">
        <v>935909</v>
      </c>
      <c r="D50" s="371" t="s">
        <v>241</v>
      </c>
      <c r="E50" s="373">
        <v>977364</v>
      </c>
      <c r="G50" s="374" t="s">
        <v>257</v>
      </c>
      <c r="H50" s="373">
        <v>36303</v>
      </c>
      <c r="I50" s="371" t="s">
        <v>241</v>
      </c>
      <c r="J50" s="373">
        <v>3314</v>
      </c>
    </row>
    <row r="51" spans="1:10">
      <c r="A51" s="13">
        <v>2</v>
      </c>
      <c r="B51" s="371" t="s">
        <v>258</v>
      </c>
      <c r="C51" s="373">
        <v>533019</v>
      </c>
      <c r="D51" s="371" t="s">
        <v>462</v>
      </c>
      <c r="E51" s="373">
        <v>488629</v>
      </c>
      <c r="G51" s="374" t="s">
        <v>248</v>
      </c>
      <c r="H51" s="373">
        <v>30800</v>
      </c>
      <c r="I51" s="374" t="s">
        <v>179</v>
      </c>
      <c r="J51" s="373">
        <v>334</v>
      </c>
    </row>
    <row r="52" spans="1:10">
      <c r="A52" s="13">
        <v>3</v>
      </c>
      <c r="B52" s="371" t="s">
        <v>241</v>
      </c>
      <c r="C52" s="373">
        <v>456279</v>
      </c>
      <c r="D52" s="371" t="s">
        <v>465</v>
      </c>
      <c r="E52" s="373">
        <v>289814</v>
      </c>
      <c r="G52" s="374" t="s">
        <v>7</v>
      </c>
      <c r="H52" s="373">
        <v>7115</v>
      </c>
      <c r="I52" s="374"/>
      <c r="J52" s="373"/>
    </row>
    <row r="53" spans="1:10">
      <c r="A53" s="13">
        <v>4</v>
      </c>
      <c r="B53" s="371" t="s">
        <v>247</v>
      </c>
      <c r="C53" s="373">
        <v>218031</v>
      </c>
      <c r="D53" s="371" t="s">
        <v>460</v>
      </c>
      <c r="E53" s="373">
        <v>192369</v>
      </c>
      <c r="G53" s="374" t="s">
        <v>258</v>
      </c>
      <c r="H53" s="373">
        <v>4256</v>
      </c>
      <c r="I53" s="374"/>
      <c r="J53" s="373"/>
    </row>
    <row r="54" spans="1:10">
      <c r="A54" s="13">
        <v>5</v>
      </c>
      <c r="B54" s="371" t="s">
        <v>248</v>
      </c>
      <c r="C54" s="373">
        <v>175587</v>
      </c>
      <c r="D54" s="371" t="s">
        <v>386</v>
      </c>
      <c r="E54" s="373">
        <v>104925</v>
      </c>
      <c r="G54" s="374" t="s">
        <v>260</v>
      </c>
      <c r="H54" s="373">
        <v>2037</v>
      </c>
      <c r="I54" s="374"/>
      <c r="J54" s="373"/>
    </row>
    <row r="55" spans="1:10">
      <c r="A55" s="13">
        <v>6</v>
      </c>
      <c r="B55" s="371" t="s">
        <v>461</v>
      </c>
      <c r="C55" s="373">
        <v>138340</v>
      </c>
      <c r="D55" s="371" t="s">
        <v>12</v>
      </c>
      <c r="E55" s="373">
        <v>71693</v>
      </c>
      <c r="G55" s="374" t="s">
        <v>388</v>
      </c>
      <c r="H55" s="373">
        <v>2037</v>
      </c>
      <c r="I55" s="374"/>
      <c r="J55" s="373"/>
    </row>
    <row r="56" spans="1:10">
      <c r="A56" s="13">
        <v>7</v>
      </c>
      <c r="B56" s="371" t="s">
        <v>12</v>
      </c>
      <c r="C56" s="373">
        <v>137277</v>
      </c>
      <c r="D56" s="371" t="s">
        <v>269</v>
      </c>
      <c r="E56" s="373">
        <v>57160</v>
      </c>
      <c r="G56" s="374" t="s">
        <v>6</v>
      </c>
      <c r="H56" s="373">
        <v>1976</v>
      </c>
      <c r="I56" s="374"/>
      <c r="J56" s="373"/>
    </row>
    <row r="57" spans="1:10">
      <c r="A57" s="13">
        <v>8</v>
      </c>
      <c r="B57" s="371" t="s">
        <v>299</v>
      </c>
      <c r="C57" s="373">
        <v>126725</v>
      </c>
      <c r="D57" s="371" t="s">
        <v>469</v>
      </c>
      <c r="E57" s="373">
        <v>43114</v>
      </c>
      <c r="G57" s="374" t="s">
        <v>513</v>
      </c>
      <c r="H57" s="373">
        <v>1368</v>
      </c>
      <c r="I57" s="374"/>
      <c r="J57" s="373"/>
    </row>
    <row r="58" spans="1:10">
      <c r="A58" s="13">
        <v>9</v>
      </c>
      <c r="B58" s="371" t="s">
        <v>464</v>
      </c>
      <c r="C58" s="373">
        <v>105533</v>
      </c>
      <c r="D58" s="371" t="s">
        <v>251</v>
      </c>
      <c r="E58" s="373">
        <v>1672</v>
      </c>
      <c r="G58" s="374" t="s">
        <v>467</v>
      </c>
      <c r="H58" s="373">
        <v>334</v>
      </c>
      <c r="I58" s="374"/>
      <c r="J58" s="373"/>
    </row>
    <row r="59" spans="1:10">
      <c r="A59" s="13">
        <v>10</v>
      </c>
      <c r="B59" s="371" t="s">
        <v>249</v>
      </c>
      <c r="C59" s="373">
        <v>102828</v>
      </c>
      <c r="D59" s="371" t="s">
        <v>459</v>
      </c>
      <c r="E59" s="373">
        <v>517</v>
      </c>
      <c r="G59" s="374"/>
      <c r="H59" s="373"/>
      <c r="I59" s="374"/>
      <c r="J59" s="373"/>
    </row>
    <row r="60" spans="1:10">
      <c r="B60" s="371" t="s">
        <v>443</v>
      </c>
      <c r="C60" s="373">
        <f>C61-SUM(C49:C59)</f>
        <v>589843</v>
      </c>
      <c r="D60" s="371" t="s">
        <v>105</v>
      </c>
      <c r="E60" s="373">
        <f>E61-SUM(E49:E59)</f>
        <v>213</v>
      </c>
      <c r="G60" s="374" t="s">
        <v>444</v>
      </c>
      <c r="H60" s="373">
        <f>H61-SUM(H49:H59)</f>
        <v>0</v>
      </c>
      <c r="I60" s="371" t="s">
        <v>105</v>
      </c>
      <c r="J60" s="373">
        <f>J61-SUM(J49:J59)</f>
        <v>0</v>
      </c>
    </row>
    <row r="61" spans="1:10">
      <c r="B61" s="371" t="s">
        <v>106</v>
      </c>
      <c r="C61" s="373">
        <v>3519371</v>
      </c>
      <c r="D61" s="371" t="s">
        <v>106</v>
      </c>
      <c r="E61" s="373">
        <v>2227470</v>
      </c>
      <c r="G61" s="371" t="s">
        <v>106</v>
      </c>
      <c r="H61" s="373">
        <v>86226</v>
      </c>
      <c r="I61" s="371" t="s">
        <v>106</v>
      </c>
      <c r="J61" s="373">
        <v>3648</v>
      </c>
    </row>
    <row r="63" spans="1:10">
      <c r="B63" s="483" t="s">
        <v>404</v>
      </c>
      <c r="G63" s="483" t="s">
        <v>445</v>
      </c>
    </row>
    <row r="64" spans="1:10">
      <c r="B64" s="30" t="s">
        <v>101</v>
      </c>
      <c r="C64" s="369" t="s">
        <v>102</v>
      </c>
      <c r="D64" s="30" t="s">
        <v>103</v>
      </c>
      <c r="E64" s="369" t="s">
        <v>104</v>
      </c>
      <c r="G64" s="30" t="s">
        <v>101</v>
      </c>
      <c r="H64" s="369" t="s">
        <v>102</v>
      </c>
      <c r="I64" s="30" t="s">
        <v>103</v>
      </c>
      <c r="J64" s="369" t="s">
        <v>104</v>
      </c>
    </row>
    <row r="65" spans="1:10">
      <c r="A65" s="13">
        <v>1</v>
      </c>
      <c r="B65" s="371" t="s">
        <v>471</v>
      </c>
      <c r="C65" s="373">
        <v>125845</v>
      </c>
      <c r="D65" s="374" t="s">
        <v>167</v>
      </c>
      <c r="E65" s="373">
        <v>10562</v>
      </c>
      <c r="G65" s="371" t="s">
        <v>248</v>
      </c>
      <c r="H65" s="373">
        <v>5932682</v>
      </c>
      <c r="I65" s="371" t="s">
        <v>386</v>
      </c>
      <c r="J65" s="373">
        <v>4946851</v>
      </c>
    </row>
    <row r="66" spans="1:10">
      <c r="A66" s="13">
        <v>2</v>
      </c>
      <c r="B66" s="371" t="s">
        <v>460</v>
      </c>
      <c r="C66" s="373">
        <v>16054</v>
      </c>
      <c r="D66" s="371" t="s">
        <v>181</v>
      </c>
      <c r="E66" s="373">
        <v>1034</v>
      </c>
      <c r="G66" s="371" t="s">
        <v>460</v>
      </c>
      <c r="H66" s="373">
        <v>1949866</v>
      </c>
      <c r="I66" s="371" t="s">
        <v>241</v>
      </c>
      <c r="J66" s="373">
        <v>1020935</v>
      </c>
    </row>
    <row r="67" spans="1:10">
      <c r="A67" s="13">
        <v>3</v>
      </c>
      <c r="B67" s="371" t="s">
        <v>388</v>
      </c>
      <c r="C67" s="373">
        <v>5959</v>
      </c>
      <c r="D67" s="371" t="s">
        <v>508</v>
      </c>
      <c r="E67" s="373">
        <v>365</v>
      </c>
      <c r="G67" s="371" t="s">
        <v>12</v>
      </c>
      <c r="H67" s="373">
        <v>1229644</v>
      </c>
      <c r="I67" s="371" t="s">
        <v>459</v>
      </c>
      <c r="J67" s="373">
        <v>438158</v>
      </c>
    </row>
    <row r="68" spans="1:10">
      <c r="A68" s="13">
        <v>4</v>
      </c>
      <c r="B68" s="371" t="s">
        <v>514</v>
      </c>
      <c r="C68" s="373">
        <v>2037</v>
      </c>
      <c r="D68" s="371" t="s">
        <v>176</v>
      </c>
      <c r="E68" s="373">
        <v>152</v>
      </c>
      <c r="G68" s="371" t="s">
        <v>241</v>
      </c>
      <c r="H68" s="373">
        <v>929677</v>
      </c>
      <c r="I68" s="371" t="s">
        <v>465</v>
      </c>
      <c r="J68" s="373">
        <v>436755</v>
      </c>
    </row>
    <row r="69" spans="1:10">
      <c r="A69" s="13">
        <v>5</v>
      </c>
      <c r="B69" s="371" t="s">
        <v>470</v>
      </c>
      <c r="C69" s="373">
        <v>1855</v>
      </c>
      <c r="D69" s="371"/>
      <c r="E69" s="373"/>
      <c r="G69" s="371" t="s">
        <v>247</v>
      </c>
      <c r="H69" s="373">
        <v>900727</v>
      </c>
      <c r="I69" s="371" t="s">
        <v>248</v>
      </c>
      <c r="J69" s="373">
        <v>234782</v>
      </c>
    </row>
    <row r="70" spans="1:10">
      <c r="A70" s="13">
        <v>6</v>
      </c>
      <c r="B70" s="371" t="s">
        <v>464</v>
      </c>
      <c r="C70" s="373">
        <v>1551</v>
      </c>
      <c r="D70" s="371"/>
      <c r="E70" s="373"/>
      <c r="G70" s="371" t="s">
        <v>258</v>
      </c>
      <c r="H70" s="373">
        <v>814807</v>
      </c>
      <c r="I70" s="371" t="s">
        <v>464</v>
      </c>
      <c r="J70" s="373">
        <v>122772</v>
      </c>
    </row>
    <row r="71" spans="1:10">
      <c r="A71" s="13">
        <v>7</v>
      </c>
      <c r="B71" s="371" t="s">
        <v>260</v>
      </c>
      <c r="C71" s="373">
        <v>304</v>
      </c>
      <c r="D71" s="371"/>
      <c r="E71" s="373"/>
      <c r="G71" s="371" t="s">
        <v>461</v>
      </c>
      <c r="H71" s="373">
        <v>735936</v>
      </c>
      <c r="I71" s="371" t="s">
        <v>469</v>
      </c>
      <c r="J71" s="373">
        <v>24657</v>
      </c>
    </row>
    <row r="72" spans="1:10">
      <c r="A72" s="13">
        <v>8</v>
      </c>
      <c r="B72" s="371" t="s">
        <v>6</v>
      </c>
      <c r="C72" s="373">
        <v>152</v>
      </c>
      <c r="D72" s="371"/>
      <c r="E72" s="373"/>
      <c r="G72" s="371" t="s">
        <v>249</v>
      </c>
      <c r="H72" s="373">
        <v>597476</v>
      </c>
      <c r="I72" s="371" t="s">
        <v>461</v>
      </c>
      <c r="J72" s="373">
        <v>17057</v>
      </c>
    </row>
    <row r="73" spans="1:10">
      <c r="A73" s="13">
        <v>9</v>
      </c>
      <c r="B73" s="371"/>
      <c r="C73" s="373"/>
      <c r="D73" s="371"/>
      <c r="E73" s="373"/>
      <c r="G73" s="371" t="s">
        <v>10</v>
      </c>
      <c r="H73" s="373">
        <v>579721</v>
      </c>
      <c r="I73" s="371" t="s">
        <v>515</v>
      </c>
      <c r="J73" s="373">
        <v>11675</v>
      </c>
    </row>
    <row r="74" spans="1:10">
      <c r="A74" s="13">
        <v>10</v>
      </c>
      <c r="B74" s="371"/>
      <c r="C74" s="373"/>
      <c r="D74" s="554"/>
      <c r="E74" s="373"/>
      <c r="G74" s="371" t="s">
        <v>463</v>
      </c>
      <c r="H74" s="373">
        <v>464793</v>
      </c>
      <c r="I74" s="371" t="s">
        <v>516</v>
      </c>
      <c r="J74" s="373">
        <v>10398</v>
      </c>
    </row>
    <row r="75" spans="1:10">
      <c r="B75" s="371" t="s">
        <v>105</v>
      </c>
      <c r="C75" s="373">
        <f>C76-SUM(C64:C74)</f>
        <v>0</v>
      </c>
      <c r="D75" s="371" t="s">
        <v>105</v>
      </c>
      <c r="E75" s="373">
        <f>E76-SUM(E64:E74)</f>
        <v>0</v>
      </c>
      <c r="G75" s="371" t="s">
        <v>105</v>
      </c>
      <c r="H75" s="373">
        <f>H76-SUM(H64:H74)</f>
        <v>3532053</v>
      </c>
      <c r="I75" s="371" t="s">
        <v>446</v>
      </c>
      <c r="J75" s="373">
        <f>J76-SUM(J64:J74)</f>
        <v>12307</v>
      </c>
    </row>
    <row r="76" spans="1:10">
      <c r="B76" s="371" t="s">
        <v>106</v>
      </c>
      <c r="C76" s="373">
        <v>153757</v>
      </c>
      <c r="D76" s="371" t="s">
        <v>106</v>
      </c>
      <c r="E76" s="373">
        <v>12113</v>
      </c>
      <c r="G76" s="371" t="s">
        <v>106</v>
      </c>
      <c r="H76" s="373">
        <v>17667382</v>
      </c>
      <c r="I76" s="371" t="s">
        <v>106</v>
      </c>
      <c r="J76" s="373">
        <v>7276347</v>
      </c>
    </row>
    <row r="78" spans="1:10">
      <c r="B78" s="55" t="s">
        <v>529</v>
      </c>
      <c r="G78" s="483" t="s">
        <v>447</v>
      </c>
    </row>
    <row r="79" spans="1:10">
      <c r="B79" s="30" t="s">
        <v>101</v>
      </c>
      <c r="C79" s="369" t="s">
        <v>102</v>
      </c>
      <c r="D79" s="30" t="s">
        <v>103</v>
      </c>
      <c r="E79" s="369" t="s">
        <v>104</v>
      </c>
      <c r="G79" s="30" t="s">
        <v>101</v>
      </c>
      <c r="H79" s="369" t="s">
        <v>102</v>
      </c>
      <c r="I79" s="30" t="s">
        <v>103</v>
      </c>
      <c r="J79" s="369" t="s">
        <v>104</v>
      </c>
    </row>
    <row r="80" spans="1:10">
      <c r="A80" s="13">
        <v>1</v>
      </c>
      <c r="B80" s="371" t="s">
        <v>460</v>
      </c>
      <c r="C80" s="373">
        <v>668289</v>
      </c>
      <c r="D80" s="371" t="s">
        <v>241</v>
      </c>
      <c r="E80" s="373">
        <v>499155</v>
      </c>
      <c r="G80" s="371" t="s">
        <v>248</v>
      </c>
      <c r="H80" s="373">
        <v>763697</v>
      </c>
      <c r="I80" s="371" t="s">
        <v>241</v>
      </c>
      <c r="J80" s="373">
        <v>238735</v>
      </c>
    </row>
    <row r="81" spans="1:10">
      <c r="A81" s="13">
        <v>2</v>
      </c>
      <c r="B81" s="371" t="s">
        <v>248</v>
      </c>
      <c r="C81" s="373">
        <v>635085</v>
      </c>
      <c r="D81" s="371" t="s">
        <v>10</v>
      </c>
      <c r="E81" s="373">
        <v>157313</v>
      </c>
      <c r="G81" s="371" t="s">
        <v>460</v>
      </c>
      <c r="H81" s="373">
        <v>638280</v>
      </c>
      <c r="I81" s="371" t="s">
        <v>12</v>
      </c>
      <c r="J81" s="373">
        <v>10794</v>
      </c>
    </row>
    <row r="82" spans="1:10">
      <c r="A82" s="13">
        <v>3</v>
      </c>
      <c r="B82" s="371" t="s">
        <v>15</v>
      </c>
      <c r="C82" s="373">
        <v>608665</v>
      </c>
      <c r="D82" s="371" t="s">
        <v>273</v>
      </c>
      <c r="E82" s="373">
        <v>64700</v>
      </c>
      <c r="G82" s="371" t="s">
        <v>249</v>
      </c>
      <c r="H82" s="373">
        <v>331437</v>
      </c>
      <c r="I82" s="371" t="s">
        <v>459</v>
      </c>
      <c r="J82" s="373">
        <v>8568</v>
      </c>
    </row>
    <row r="83" spans="1:10">
      <c r="A83" s="13">
        <v>4</v>
      </c>
      <c r="B83" s="371" t="s">
        <v>6</v>
      </c>
      <c r="C83" s="373">
        <v>110004</v>
      </c>
      <c r="D83" s="371" t="s">
        <v>464</v>
      </c>
      <c r="E83" s="373">
        <v>18959</v>
      </c>
      <c r="G83" s="371" t="s">
        <v>461</v>
      </c>
      <c r="H83" s="373">
        <v>297416</v>
      </c>
      <c r="I83" s="371" t="s">
        <v>465</v>
      </c>
      <c r="J83" s="373">
        <v>8422</v>
      </c>
    </row>
    <row r="84" spans="1:10">
      <c r="A84" s="13">
        <v>5</v>
      </c>
      <c r="B84" s="371" t="s">
        <v>247</v>
      </c>
      <c r="C84" s="373">
        <v>102675</v>
      </c>
      <c r="D84" s="371" t="s">
        <v>386</v>
      </c>
      <c r="E84" s="373">
        <v>91</v>
      </c>
      <c r="G84" s="371" t="s">
        <v>10</v>
      </c>
      <c r="H84" s="373">
        <v>276194</v>
      </c>
      <c r="I84" s="371" t="s">
        <v>464</v>
      </c>
      <c r="J84" s="373">
        <v>5655</v>
      </c>
    </row>
    <row r="85" spans="1:10">
      <c r="A85" s="13">
        <v>6</v>
      </c>
      <c r="B85" s="371" t="s">
        <v>299</v>
      </c>
      <c r="C85" s="373">
        <v>82608</v>
      </c>
      <c r="D85" s="371" t="s">
        <v>459</v>
      </c>
      <c r="E85" s="373">
        <v>91</v>
      </c>
      <c r="G85" s="371" t="s">
        <v>6</v>
      </c>
      <c r="H85" s="373">
        <v>234540</v>
      </c>
      <c r="I85" s="371" t="s">
        <v>234</v>
      </c>
      <c r="J85" s="373">
        <v>30</v>
      </c>
    </row>
    <row r="86" spans="1:10">
      <c r="A86" s="13">
        <v>7</v>
      </c>
      <c r="B86" s="371" t="s">
        <v>259</v>
      </c>
      <c r="C86" s="373">
        <v>79508</v>
      </c>
      <c r="D86" s="371"/>
      <c r="E86" s="373"/>
      <c r="G86" s="371" t="s">
        <v>241</v>
      </c>
      <c r="H86" s="373">
        <v>167315</v>
      </c>
      <c r="I86" s="371" t="s">
        <v>248</v>
      </c>
      <c r="J86" s="373">
        <v>21</v>
      </c>
    </row>
    <row r="87" spans="1:10">
      <c r="A87" s="13">
        <v>8</v>
      </c>
      <c r="B87" s="371" t="s">
        <v>386</v>
      </c>
      <c r="C87" s="373">
        <v>77408</v>
      </c>
      <c r="D87" s="371"/>
      <c r="E87" s="373"/>
      <c r="G87" s="371" t="s">
        <v>247</v>
      </c>
      <c r="H87" s="373">
        <v>121619</v>
      </c>
      <c r="I87" s="371" t="s">
        <v>460</v>
      </c>
      <c r="J87" s="373">
        <v>18</v>
      </c>
    </row>
    <row r="88" spans="1:10">
      <c r="A88" s="13">
        <v>9</v>
      </c>
      <c r="B88" s="371" t="s">
        <v>461</v>
      </c>
      <c r="C88" s="373">
        <v>75677</v>
      </c>
      <c r="D88" s="371"/>
      <c r="E88" s="373"/>
      <c r="G88" s="371" t="s">
        <v>258</v>
      </c>
      <c r="H88" s="373">
        <v>70842</v>
      </c>
      <c r="I88" s="371" t="s">
        <v>10</v>
      </c>
      <c r="J88" s="373">
        <v>15</v>
      </c>
    </row>
    <row r="89" spans="1:10">
      <c r="A89" s="13">
        <v>10</v>
      </c>
      <c r="B89" s="371" t="s">
        <v>10</v>
      </c>
      <c r="C89" s="373">
        <v>66616</v>
      </c>
      <c r="D89" s="371"/>
      <c r="E89" s="373"/>
      <c r="G89" s="371" t="s">
        <v>471</v>
      </c>
      <c r="H89" s="373">
        <v>68379</v>
      </c>
      <c r="I89" s="371"/>
      <c r="J89" s="373"/>
    </row>
    <row r="90" spans="1:10">
      <c r="B90" s="371" t="s">
        <v>105</v>
      </c>
      <c r="C90" s="373">
        <f>C91-SUM(C80:C89)</f>
        <v>534537</v>
      </c>
      <c r="D90" s="371" t="s">
        <v>105</v>
      </c>
      <c r="E90" s="373">
        <f>E91-SUM(E79:E89)</f>
        <v>0</v>
      </c>
      <c r="G90" s="371" t="s">
        <v>448</v>
      </c>
      <c r="H90" s="373">
        <f>H91-SUM(H79:H89)</f>
        <v>679200</v>
      </c>
      <c r="I90" s="371" t="s">
        <v>105</v>
      </c>
      <c r="J90" s="373">
        <f>J91-SUM(J79:J89)</f>
        <v>0</v>
      </c>
    </row>
    <row r="91" spans="1:10">
      <c r="B91" s="371" t="s">
        <v>106</v>
      </c>
      <c r="C91" s="373">
        <v>3041072</v>
      </c>
      <c r="D91" s="371" t="s">
        <v>106</v>
      </c>
      <c r="E91" s="373">
        <v>740309</v>
      </c>
      <c r="G91" s="371" t="s">
        <v>106</v>
      </c>
      <c r="H91" s="373">
        <v>3648919</v>
      </c>
      <c r="I91" s="371" t="s">
        <v>106</v>
      </c>
      <c r="J91" s="373">
        <v>272258</v>
      </c>
    </row>
    <row r="93" spans="1:10">
      <c r="B93" s="483" t="s">
        <v>530</v>
      </c>
      <c r="G93" s="55" t="s">
        <v>405</v>
      </c>
    </row>
    <row r="94" spans="1:10">
      <c r="B94" s="30" t="s">
        <v>101</v>
      </c>
      <c r="C94" s="369" t="s">
        <v>102</v>
      </c>
      <c r="D94" s="30" t="s">
        <v>103</v>
      </c>
      <c r="E94" s="369" t="s">
        <v>104</v>
      </c>
      <c r="G94" s="30" t="s">
        <v>101</v>
      </c>
      <c r="H94" s="369" t="s">
        <v>102</v>
      </c>
      <c r="I94" s="30" t="s">
        <v>103</v>
      </c>
      <c r="J94" s="369" t="s">
        <v>104</v>
      </c>
    </row>
    <row r="95" spans="1:10">
      <c r="A95" s="13">
        <v>1</v>
      </c>
      <c r="B95" s="375" t="s">
        <v>248</v>
      </c>
      <c r="C95" s="373">
        <v>3068198</v>
      </c>
      <c r="D95" s="374" t="s">
        <v>386</v>
      </c>
      <c r="E95" s="373">
        <v>1073429</v>
      </c>
      <c r="G95" s="371" t="s">
        <v>247</v>
      </c>
      <c r="H95" s="373">
        <v>849652</v>
      </c>
      <c r="I95" s="371" t="s">
        <v>190</v>
      </c>
      <c r="J95" s="373">
        <v>317896</v>
      </c>
    </row>
    <row r="96" spans="1:10">
      <c r="A96" s="13">
        <v>2</v>
      </c>
      <c r="B96" s="375" t="s">
        <v>460</v>
      </c>
      <c r="C96" s="373">
        <v>676614</v>
      </c>
      <c r="D96" s="374" t="s">
        <v>241</v>
      </c>
      <c r="E96" s="373">
        <v>950080</v>
      </c>
      <c r="G96" s="371" t="s">
        <v>460</v>
      </c>
      <c r="H96" s="373">
        <v>399908</v>
      </c>
      <c r="I96" s="371" t="s">
        <v>458</v>
      </c>
      <c r="J96" s="373">
        <v>211342</v>
      </c>
    </row>
    <row r="97" spans="1:15">
      <c r="A97" s="13">
        <v>3</v>
      </c>
      <c r="B97" s="375" t="s">
        <v>247</v>
      </c>
      <c r="C97" s="373">
        <v>442930</v>
      </c>
      <c r="D97" s="374" t="s">
        <v>465</v>
      </c>
      <c r="E97" s="373">
        <v>729129</v>
      </c>
      <c r="G97" s="371" t="s">
        <v>388</v>
      </c>
      <c r="H97" s="373">
        <v>114289</v>
      </c>
      <c r="I97" s="371" t="s">
        <v>167</v>
      </c>
      <c r="J97" s="373">
        <v>160105</v>
      </c>
    </row>
    <row r="98" spans="1:15">
      <c r="A98" s="13">
        <v>4</v>
      </c>
      <c r="B98" s="375" t="s">
        <v>463</v>
      </c>
      <c r="C98" s="373">
        <v>417148</v>
      </c>
      <c r="D98" s="374" t="s">
        <v>248</v>
      </c>
      <c r="E98" s="373">
        <v>37732</v>
      </c>
      <c r="G98" s="371" t="s">
        <v>241</v>
      </c>
      <c r="H98" s="373">
        <v>97264</v>
      </c>
      <c r="I98" s="371" t="s">
        <v>180</v>
      </c>
      <c r="J98" s="373">
        <v>20219</v>
      </c>
    </row>
    <row r="99" spans="1:15">
      <c r="A99" s="13">
        <v>5</v>
      </c>
      <c r="B99" s="375" t="s">
        <v>241</v>
      </c>
      <c r="C99" s="373">
        <v>369901</v>
      </c>
      <c r="D99" s="374" t="s">
        <v>251</v>
      </c>
      <c r="E99" s="373">
        <v>31317</v>
      </c>
      <c r="G99" s="371" t="s">
        <v>463</v>
      </c>
      <c r="H99" s="373">
        <v>87382</v>
      </c>
      <c r="I99" s="371" t="s">
        <v>512</v>
      </c>
      <c r="J99" s="373">
        <v>791</v>
      </c>
    </row>
    <row r="100" spans="1:15">
      <c r="A100" s="13">
        <v>6</v>
      </c>
      <c r="B100" s="375" t="s">
        <v>11</v>
      </c>
      <c r="C100" s="373">
        <v>301307</v>
      </c>
      <c r="D100" s="374" t="s">
        <v>10</v>
      </c>
      <c r="E100" s="373">
        <v>23928</v>
      </c>
      <c r="G100" s="371" t="s">
        <v>461</v>
      </c>
      <c r="H100" s="373">
        <v>78443</v>
      </c>
      <c r="I100" s="371"/>
      <c r="J100" s="373"/>
    </row>
    <row r="101" spans="1:15">
      <c r="A101" s="13">
        <v>7</v>
      </c>
      <c r="B101" s="375" t="s">
        <v>12</v>
      </c>
      <c r="C101" s="373">
        <v>251414</v>
      </c>
      <c r="D101" s="374" t="s">
        <v>472</v>
      </c>
      <c r="E101" s="373">
        <v>23321</v>
      </c>
      <c r="G101" s="371" t="s">
        <v>258</v>
      </c>
      <c r="H101" s="373">
        <v>51171</v>
      </c>
      <c r="I101" s="371"/>
      <c r="J101" s="373"/>
    </row>
    <row r="102" spans="1:15">
      <c r="A102" s="13">
        <v>8</v>
      </c>
      <c r="B102" s="375" t="s">
        <v>464</v>
      </c>
      <c r="C102" s="373">
        <v>194283</v>
      </c>
      <c r="D102" s="374" t="s">
        <v>12</v>
      </c>
      <c r="E102" s="373">
        <v>912</v>
      </c>
      <c r="G102" s="371" t="s">
        <v>248</v>
      </c>
      <c r="H102" s="373">
        <v>44208</v>
      </c>
      <c r="I102" s="375"/>
      <c r="J102" s="373"/>
    </row>
    <row r="103" spans="1:15">
      <c r="A103" s="13">
        <v>9</v>
      </c>
      <c r="B103" s="375" t="s">
        <v>6</v>
      </c>
      <c r="C103" s="373">
        <v>188356</v>
      </c>
      <c r="D103" s="374" t="s">
        <v>459</v>
      </c>
      <c r="E103" s="373">
        <v>851</v>
      </c>
      <c r="G103" s="371" t="s">
        <v>7</v>
      </c>
      <c r="H103" s="373">
        <v>42323</v>
      </c>
      <c r="I103" s="371"/>
      <c r="J103" s="373"/>
    </row>
    <row r="104" spans="1:15">
      <c r="A104" s="13">
        <v>10</v>
      </c>
      <c r="B104" s="375" t="s">
        <v>10</v>
      </c>
      <c r="C104" s="373">
        <v>175769</v>
      </c>
      <c r="D104" s="374" t="s">
        <v>469</v>
      </c>
      <c r="E104" s="373">
        <v>608</v>
      </c>
      <c r="G104" s="371" t="s">
        <v>464</v>
      </c>
      <c r="H104" s="373">
        <v>39557</v>
      </c>
      <c r="I104" s="371"/>
      <c r="J104" s="373"/>
    </row>
    <row r="105" spans="1:15">
      <c r="B105" s="371" t="s">
        <v>105</v>
      </c>
      <c r="C105" s="373">
        <f>C106-SUM(C94:C104)</f>
        <v>1229525</v>
      </c>
      <c r="D105" s="371" t="s">
        <v>105</v>
      </c>
      <c r="E105" s="373">
        <f>E106-SUM(E94:E104)</f>
        <v>61</v>
      </c>
      <c r="G105" s="374" t="s">
        <v>444</v>
      </c>
      <c r="H105" s="373">
        <f>H106-SUM(H94:H104)</f>
        <v>394674</v>
      </c>
      <c r="I105" s="371" t="s">
        <v>105</v>
      </c>
      <c r="J105" s="373">
        <f>J106-SUM(J94:J104)</f>
        <v>0</v>
      </c>
    </row>
    <row r="106" spans="1:15">
      <c r="B106" s="371" t="s">
        <v>106</v>
      </c>
      <c r="C106" s="373">
        <v>7315445</v>
      </c>
      <c r="D106" s="371" t="s">
        <v>106</v>
      </c>
      <c r="E106" s="373">
        <v>2871368</v>
      </c>
      <c r="G106" s="371" t="s">
        <v>106</v>
      </c>
      <c r="H106" s="373">
        <v>2198871</v>
      </c>
      <c r="I106" s="371" t="s">
        <v>106</v>
      </c>
      <c r="J106" s="373">
        <v>710353</v>
      </c>
    </row>
    <row r="108" spans="1:15">
      <c r="B108" s="483" t="s">
        <v>449</v>
      </c>
      <c r="G108" s="269" t="s">
        <v>450</v>
      </c>
      <c r="L108" s="5"/>
      <c r="M108" s="5"/>
      <c r="N108" s="5"/>
      <c r="O108" s="5"/>
    </row>
    <row r="109" spans="1:15">
      <c r="B109" s="30" t="s">
        <v>101</v>
      </c>
      <c r="C109" s="369" t="s">
        <v>102</v>
      </c>
      <c r="D109" s="30" t="s">
        <v>103</v>
      </c>
      <c r="E109" s="369" t="s">
        <v>104</v>
      </c>
      <c r="G109" s="30" t="s">
        <v>101</v>
      </c>
      <c r="H109" s="369" t="s">
        <v>102</v>
      </c>
      <c r="I109" s="30" t="s">
        <v>103</v>
      </c>
      <c r="J109" s="369" t="s">
        <v>104</v>
      </c>
      <c r="L109" s="5"/>
      <c r="M109" s="5"/>
      <c r="N109" s="5"/>
      <c r="O109" s="5"/>
    </row>
    <row r="110" spans="1:15">
      <c r="A110" s="13">
        <v>1</v>
      </c>
      <c r="B110" s="484" t="s">
        <v>248</v>
      </c>
      <c r="C110" s="373">
        <v>2159256</v>
      </c>
      <c r="D110" s="371" t="s">
        <v>386</v>
      </c>
      <c r="E110" s="373">
        <v>1158468</v>
      </c>
      <c r="G110" s="371" t="s">
        <v>248</v>
      </c>
      <c r="H110" s="373">
        <v>1291274</v>
      </c>
      <c r="I110" s="374" t="s">
        <v>386</v>
      </c>
      <c r="J110" s="373">
        <v>468985</v>
      </c>
      <c r="L110" s="5"/>
      <c r="M110" s="5"/>
      <c r="N110" s="5"/>
      <c r="O110" s="5"/>
    </row>
    <row r="111" spans="1:15">
      <c r="A111" s="13">
        <v>2</v>
      </c>
      <c r="B111" s="484" t="s">
        <v>241</v>
      </c>
      <c r="C111" s="373">
        <v>944724</v>
      </c>
      <c r="D111" s="371" t="s">
        <v>469</v>
      </c>
      <c r="E111" s="373">
        <v>178258</v>
      </c>
      <c r="G111" s="371" t="s">
        <v>12</v>
      </c>
      <c r="H111" s="373">
        <v>410458</v>
      </c>
      <c r="I111" s="374" t="s">
        <v>241</v>
      </c>
      <c r="J111" s="373">
        <v>189536</v>
      </c>
      <c r="L111" s="5"/>
      <c r="M111" s="5"/>
      <c r="N111" s="5"/>
      <c r="O111" s="5"/>
    </row>
    <row r="112" spans="1:15">
      <c r="A112" s="13">
        <v>3</v>
      </c>
      <c r="B112" s="484" t="s">
        <v>460</v>
      </c>
      <c r="C112" s="373">
        <v>889116</v>
      </c>
      <c r="D112" s="371" t="s">
        <v>241</v>
      </c>
      <c r="E112" s="373">
        <v>25723</v>
      </c>
      <c r="G112" s="371" t="s">
        <v>247</v>
      </c>
      <c r="H112" s="373">
        <v>359228</v>
      </c>
      <c r="I112" s="374" t="s">
        <v>12</v>
      </c>
      <c r="J112" s="373">
        <v>37671</v>
      </c>
      <c r="L112" s="5"/>
      <c r="M112" s="5"/>
      <c r="N112" s="5"/>
      <c r="O112" s="5"/>
    </row>
    <row r="113" spans="1:15">
      <c r="A113" s="13">
        <v>4</v>
      </c>
      <c r="B113" s="484" t="s">
        <v>463</v>
      </c>
      <c r="C113" s="373">
        <v>480025</v>
      </c>
      <c r="D113" s="371" t="s">
        <v>474</v>
      </c>
      <c r="E113" s="373">
        <v>8726</v>
      </c>
      <c r="G113" s="371" t="s">
        <v>463</v>
      </c>
      <c r="H113" s="373">
        <v>331195</v>
      </c>
      <c r="I113" s="374" t="s">
        <v>462</v>
      </c>
      <c r="J113" s="373">
        <v>36607</v>
      </c>
      <c r="L113" s="5"/>
      <c r="M113" s="5"/>
      <c r="N113" s="5"/>
      <c r="O113" s="5"/>
    </row>
    <row r="114" spans="1:15">
      <c r="A114" s="13">
        <v>5</v>
      </c>
      <c r="B114" s="484" t="s">
        <v>247</v>
      </c>
      <c r="C114" s="373">
        <v>363575</v>
      </c>
      <c r="D114" s="371" t="s">
        <v>459</v>
      </c>
      <c r="E114" s="373">
        <v>1672</v>
      </c>
      <c r="G114" s="371" t="s">
        <v>241</v>
      </c>
      <c r="H114" s="373">
        <v>316994</v>
      </c>
      <c r="I114" s="374" t="s">
        <v>459</v>
      </c>
      <c r="J114" s="373">
        <v>35969</v>
      </c>
      <c r="L114" s="5"/>
      <c r="M114" s="5"/>
      <c r="N114" s="5"/>
      <c r="O114" s="5"/>
    </row>
    <row r="115" spans="1:15">
      <c r="A115" s="13">
        <v>6</v>
      </c>
      <c r="B115" s="484" t="s">
        <v>9</v>
      </c>
      <c r="C115" s="373">
        <v>302158</v>
      </c>
      <c r="D115" s="371" t="s">
        <v>10</v>
      </c>
      <c r="E115" s="373">
        <v>213</v>
      </c>
      <c r="G115" s="371" t="s">
        <v>460</v>
      </c>
      <c r="H115" s="373">
        <v>276678</v>
      </c>
      <c r="I115" s="374" t="s">
        <v>469</v>
      </c>
      <c r="J115" s="373">
        <v>24870</v>
      </c>
      <c r="L115" s="5"/>
      <c r="M115" s="5"/>
      <c r="N115" s="5"/>
      <c r="O115" s="5"/>
    </row>
    <row r="116" spans="1:15">
      <c r="A116" s="13">
        <v>7</v>
      </c>
      <c r="B116" s="484" t="s">
        <v>12</v>
      </c>
      <c r="C116" s="373">
        <v>282183</v>
      </c>
      <c r="D116" s="371" t="s">
        <v>271</v>
      </c>
      <c r="E116" s="373">
        <v>122</v>
      </c>
      <c r="G116" s="371" t="s">
        <v>10</v>
      </c>
      <c r="H116" s="373">
        <v>218395</v>
      </c>
      <c r="I116" s="374" t="s">
        <v>474</v>
      </c>
      <c r="J116" s="373">
        <v>18213</v>
      </c>
      <c r="L116" s="5"/>
      <c r="M116" s="5"/>
      <c r="N116" s="5"/>
      <c r="O116" s="5"/>
    </row>
    <row r="117" spans="1:15">
      <c r="A117" s="13">
        <v>8</v>
      </c>
      <c r="B117" s="484" t="s">
        <v>11</v>
      </c>
      <c r="C117" s="373">
        <v>182335</v>
      </c>
      <c r="D117" s="371" t="s">
        <v>465</v>
      </c>
      <c r="E117" s="373">
        <v>30</v>
      </c>
      <c r="G117" s="371" t="s">
        <v>461</v>
      </c>
      <c r="H117" s="373">
        <v>128642</v>
      </c>
      <c r="I117" s="374" t="s">
        <v>460</v>
      </c>
      <c r="J117" s="373">
        <v>3679</v>
      </c>
      <c r="L117" s="5"/>
      <c r="M117" s="5"/>
      <c r="N117" s="5"/>
      <c r="O117" s="5"/>
    </row>
    <row r="118" spans="1:15">
      <c r="A118" s="13">
        <v>9</v>
      </c>
      <c r="B118" s="484" t="s">
        <v>259</v>
      </c>
      <c r="C118" s="373">
        <v>178322</v>
      </c>
      <c r="D118" s="371"/>
      <c r="E118" s="373"/>
      <c r="G118" s="371" t="s">
        <v>258</v>
      </c>
      <c r="H118" s="373">
        <v>123107</v>
      </c>
      <c r="I118" s="374" t="s">
        <v>234</v>
      </c>
      <c r="J118" s="373">
        <v>1094</v>
      </c>
      <c r="L118" s="5"/>
      <c r="M118" s="5"/>
      <c r="N118" s="5"/>
      <c r="O118" s="5"/>
    </row>
    <row r="119" spans="1:15">
      <c r="A119" s="13">
        <v>10</v>
      </c>
      <c r="B119" s="484" t="s">
        <v>249</v>
      </c>
      <c r="C119" s="373">
        <v>126725</v>
      </c>
      <c r="D119" s="371"/>
      <c r="E119" s="373"/>
      <c r="G119" s="371" t="s">
        <v>386</v>
      </c>
      <c r="H119" s="373">
        <v>114988</v>
      </c>
      <c r="I119" s="374" t="s">
        <v>465</v>
      </c>
      <c r="J119" s="373">
        <v>943</v>
      </c>
      <c r="L119" s="5"/>
      <c r="M119" s="5"/>
      <c r="N119" s="5"/>
      <c r="O119" s="5"/>
    </row>
    <row r="120" spans="1:15">
      <c r="B120" s="371" t="s">
        <v>105</v>
      </c>
      <c r="C120" s="373">
        <f>C121-SUM(C109:C119)</f>
        <v>769687</v>
      </c>
      <c r="D120" s="371" t="s">
        <v>105</v>
      </c>
      <c r="E120" s="373">
        <f>E121-SUM(E109:E119)</f>
        <v>0</v>
      </c>
      <c r="G120" s="371" t="s">
        <v>444</v>
      </c>
      <c r="H120" s="373">
        <f>H121-SUM(H109:H119)</f>
        <v>838824</v>
      </c>
      <c r="I120" s="377" t="s">
        <v>105</v>
      </c>
      <c r="J120" s="373">
        <f>J121-SUM(J109:J119)</f>
        <v>91</v>
      </c>
      <c r="L120" s="5"/>
      <c r="M120" s="5"/>
      <c r="N120" s="5"/>
      <c r="O120" s="5"/>
    </row>
    <row r="121" spans="1:15">
      <c r="B121" s="371" t="s">
        <v>106</v>
      </c>
      <c r="C121" s="373">
        <v>6678106</v>
      </c>
      <c r="D121" s="371" t="s">
        <v>106</v>
      </c>
      <c r="E121" s="373">
        <v>1373212</v>
      </c>
      <c r="G121" s="371" t="s">
        <v>106</v>
      </c>
      <c r="H121" s="373">
        <v>4409783</v>
      </c>
      <c r="I121" s="371" t="s">
        <v>106</v>
      </c>
      <c r="J121" s="373">
        <v>817658</v>
      </c>
    </row>
    <row r="122" spans="1:15">
      <c r="G122" s="5"/>
      <c r="H122" s="97"/>
      <c r="I122" s="5"/>
      <c r="J122" s="97"/>
    </row>
    <row r="123" spans="1:15">
      <c r="B123" s="483" t="s">
        <v>451</v>
      </c>
      <c r="G123" s="55" t="s">
        <v>531</v>
      </c>
    </row>
    <row r="124" spans="1:15">
      <c r="B124" s="30" t="s">
        <v>101</v>
      </c>
      <c r="C124" s="369" t="s">
        <v>102</v>
      </c>
      <c r="D124" s="30" t="s">
        <v>103</v>
      </c>
      <c r="E124" s="369" t="s">
        <v>104</v>
      </c>
      <c r="G124" s="30" t="s">
        <v>101</v>
      </c>
      <c r="H124" s="369" t="s">
        <v>102</v>
      </c>
      <c r="I124" s="30" t="s">
        <v>103</v>
      </c>
      <c r="J124" s="369" t="s">
        <v>104</v>
      </c>
    </row>
    <row r="125" spans="1:15">
      <c r="A125" s="13">
        <v>1</v>
      </c>
      <c r="B125" s="371" t="s">
        <v>260</v>
      </c>
      <c r="C125" s="373">
        <v>46701</v>
      </c>
      <c r="D125" s="374" t="s">
        <v>167</v>
      </c>
      <c r="E125" s="373">
        <v>31652</v>
      </c>
      <c r="G125" s="588" t="s">
        <v>248</v>
      </c>
      <c r="H125" s="589">
        <v>697174</v>
      </c>
      <c r="I125" s="371" t="s">
        <v>167</v>
      </c>
      <c r="J125" s="373">
        <v>370344</v>
      </c>
    </row>
    <row r="126" spans="1:15">
      <c r="A126" s="13">
        <v>2</v>
      </c>
      <c r="B126" s="371" t="s">
        <v>460</v>
      </c>
      <c r="C126" s="373">
        <v>19551</v>
      </c>
      <c r="D126" s="371" t="s">
        <v>180</v>
      </c>
      <c r="E126" s="373">
        <v>8787</v>
      </c>
      <c r="G126" s="588" t="s">
        <v>260</v>
      </c>
      <c r="H126" s="589">
        <v>160809</v>
      </c>
      <c r="I126" s="371" t="s">
        <v>180</v>
      </c>
      <c r="J126" s="373">
        <v>150319</v>
      </c>
    </row>
    <row r="127" spans="1:15">
      <c r="A127" s="13">
        <v>3</v>
      </c>
      <c r="B127" s="371" t="s">
        <v>517</v>
      </c>
      <c r="C127" s="373">
        <v>18243</v>
      </c>
      <c r="D127" s="371"/>
      <c r="E127" s="373"/>
      <c r="G127" s="588" t="s">
        <v>463</v>
      </c>
      <c r="H127" s="589">
        <v>116143</v>
      </c>
      <c r="I127" s="374" t="s">
        <v>162</v>
      </c>
      <c r="J127" s="373">
        <v>20553</v>
      </c>
    </row>
    <row r="128" spans="1:15">
      <c r="A128" s="13">
        <v>4</v>
      </c>
      <c r="B128" s="371" t="s">
        <v>259</v>
      </c>
      <c r="C128" s="373">
        <v>14807</v>
      </c>
      <c r="D128" s="371"/>
      <c r="E128" s="373"/>
      <c r="G128" s="588" t="s">
        <v>9</v>
      </c>
      <c r="H128" s="589">
        <v>92187</v>
      </c>
      <c r="I128" s="374" t="s">
        <v>161</v>
      </c>
      <c r="J128" s="373">
        <v>7297</v>
      </c>
    </row>
    <row r="129" spans="1:15">
      <c r="A129" s="13">
        <v>5</v>
      </c>
      <c r="B129" s="371" t="s">
        <v>241</v>
      </c>
      <c r="C129" s="373">
        <v>11219</v>
      </c>
      <c r="D129" s="371"/>
      <c r="E129" s="373"/>
      <c r="G129" s="588" t="s">
        <v>258</v>
      </c>
      <c r="H129" s="589">
        <v>90666</v>
      </c>
      <c r="I129" s="371"/>
      <c r="J129" s="373"/>
    </row>
    <row r="130" spans="1:15">
      <c r="A130" s="13">
        <v>6</v>
      </c>
      <c r="B130" s="371" t="s">
        <v>249</v>
      </c>
      <c r="C130" s="373">
        <v>10824</v>
      </c>
      <c r="D130" s="371"/>
      <c r="E130" s="373"/>
      <c r="G130" s="588" t="s">
        <v>241</v>
      </c>
      <c r="H130" s="589">
        <v>83065</v>
      </c>
      <c r="I130" s="371"/>
      <c r="J130" s="373"/>
    </row>
    <row r="131" spans="1:15">
      <c r="A131" s="13">
        <v>7</v>
      </c>
      <c r="B131" s="371" t="s">
        <v>248</v>
      </c>
      <c r="C131" s="373">
        <v>7357</v>
      </c>
      <c r="D131" s="371"/>
      <c r="E131" s="373"/>
      <c r="G131" s="588" t="s">
        <v>11</v>
      </c>
      <c r="H131" s="589">
        <v>81575</v>
      </c>
      <c r="I131" s="371"/>
      <c r="J131" s="373"/>
    </row>
    <row r="132" spans="1:15">
      <c r="A132" s="13">
        <v>8</v>
      </c>
      <c r="B132" s="371" t="s">
        <v>6</v>
      </c>
      <c r="C132" s="373">
        <v>6477</v>
      </c>
      <c r="D132" s="371"/>
      <c r="E132" s="373"/>
      <c r="G132" s="588" t="s">
        <v>460</v>
      </c>
      <c r="H132" s="589">
        <v>73822</v>
      </c>
      <c r="I132" s="371"/>
      <c r="J132" s="373"/>
    </row>
    <row r="133" spans="1:15">
      <c r="A133" s="13">
        <v>9</v>
      </c>
      <c r="B133" s="371" t="s">
        <v>518</v>
      </c>
      <c r="C133" s="373">
        <v>6142</v>
      </c>
      <c r="D133" s="371"/>
      <c r="E133" s="373"/>
      <c r="G133" s="588" t="s">
        <v>6</v>
      </c>
      <c r="H133" s="589">
        <v>70053</v>
      </c>
      <c r="I133" s="371"/>
      <c r="J133" s="373"/>
    </row>
    <row r="134" spans="1:15">
      <c r="A134" s="13">
        <v>10</v>
      </c>
      <c r="B134" s="371" t="s">
        <v>9</v>
      </c>
      <c r="C134" s="373">
        <v>5321</v>
      </c>
      <c r="D134" s="94"/>
      <c r="E134" s="27"/>
      <c r="G134" s="588" t="s">
        <v>461</v>
      </c>
      <c r="H134" s="589">
        <v>61264</v>
      </c>
      <c r="I134" s="371"/>
      <c r="J134" s="373"/>
    </row>
    <row r="135" spans="1:15">
      <c r="B135" s="374" t="s">
        <v>444</v>
      </c>
      <c r="C135" s="373">
        <f>C136-SUM(C125:C134)</f>
        <v>14380</v>
      </c>
      <c r="D135" s="371" t="s">
        <v>105</v>
      </c>
      <c r="E135" s="373">
        <f>E136-SUM(E125:E134)</f>
        <v>0</v>
      </c>
      <c r="G135" s="588" t="s">
        <v>105</v>
      </c>
      <c r="H135" s="589">
        <f>H136-SUM(H125:H134)</f>
        <v>342508</v>
      </c>
      <c r="I135" s="371" t="s">
        <v>105</v>
      </c>
      <c r="J135" s="373">
        <f>J136-SUM(J125:J134)</f>
        <v>0</v>
      </c>
    </row>
    <row r="136" spans="1:15">
      <c r="B136" s="371" t="s">
        <v>106</v>
      </c>
      <c r="C136" s="373">
        <v>161022</v>
      </c>
      <c r="D136" s="371" t="s">
        <v>106</v>
      </c>
      <c r="E136" s="373">
        <v>40439</v>
      </c>
      <c r="G136" s="588" t="s">
        <v>106</v>
      </c>
      <c r="H136" s="589">
        <v>1869266</v>
      </c>
      <c r="I136" s="371" t="s">
        <v>106</v>
      </c>
      <c r="J136" s="373">
        <v>548513</v>
      </c>
    </row>
    <row r="138" spans="1:15">
      <c r="B138" s="55" t="s">
        <v>452</v>
      </c>
      <c r="G138" s="483" t="s">
        <v>532</v>
      </c>
      <c r="L138" s="5"/>
      <c r="M138" s="5"/>
      <c r="N138" s="5"/>
      <c r="O138" s="5"/>
    </row>
    <row r="139" spans="1:15">
      <c r="B139" s="30" t="s">
        <v>101</v>
      </c>
      <c r="C139" s="369" t="s">
        <v>102</v>
      </c>
      <c r="D139" s="30" t="s">
        <v>103</v>
      </c>
      <c r="E139" s="369" t="s">
        <v>104</v>
      </c>
      <c r="G139" s="30" t="s">
        <v>101</v>
      </c>
      <c r="H139" s="369" t="s">
        <v>102</v>
      </c>
      <c r="I139" s="30" t="s">
        <v>103</v>
      </c>
      <c r="J139" s="369" t="s">
        <v>104</v>
      </c>
      <c r="L139" s="5"/>
      <c r="M139" s="5"/>
      <c r="N139" s="5"/>
      <c r="O139" s="5"/>
    </row>
    <row r="140" spans="1:15">
      <c r="A140" s="13">
        <v>1</v>
      </c>
      <c r="B140" s="374" t="s">
        <v>248</v>
      </c>
      <c r="C140" s="373">
        <v>1108271</v>
      </c>
      <c r="D140" s="371" t="s">
        <v>241</v>
      </c>
      <c r="E140" s="373">
        <v>1036602</v>
      </c>
      <c r="G140" s="371" t="s">
        <v>248</v>
      </c>
      <c r="H140" s="373">
        <v>846094</v>
      </c>
      <c r="I140" s="371" t="s">
        <v>241</v>
      </c>
      <c r="J140" s="373">
        <v>1122151</v>
      </c>
      <c r="L140" s="5"/>
      <c r="M140" s="5"/>
      <c r="N140" s="5"/>
      <c r="O140" s="5"/>
    </row>
    <row r="141" spans="1:15">
      <c r="A141" s="13">
        <v>2</v>
      </c>
      <c r="B141" s="374" t="s">
        <v>247</v>
      </c>
      <c r="C141" s="373">
        <v>757859</v>
      </c>
      <c r="D141" s="371" t="s">
        <v>464</v>
      </c>
      <c r="E141" s="373">
        <v>45910</v>
      </c>
      <c r="G141" s="371" t="s">
        <v>461</v>
      </c>
      <c r="H141" s="373">
        <v>254789</v>
      </c>
      <c r="I141" s="371" t="s">
        <v>464</v>
      </c>
      <c r="J141" s="373">
        <v>256827</v>
      </c>
      <c r="L141" s="5"/>
      <c r="M141" s="5"/>
      <c r="N141" s="5"/>
      <c r="O141" s="5"/>
    </row>
    <row r="142" spans="1:15">
      <c r="A142" s="13">
        <v>3</v>
      </c>
      <c r="B142" s="374" t="s">
        <v>460</v>
      </c>
      <c r="C142" s="373">
        <v>521952</v>
      </c>
      <c r="D142" s="371" t="s">
        <v>459</v>
      </c>
      <c r="E142" s="373">
        <v>12800</v>
      </c>
      <c r="G142" s="371" t="s">
        <v>11</v>
      </c>
      <c r="H142" s="373">
        <v>202554</v>
      </c>
      <c r="I142" s="371" t="s">
        <v>466</v>
      </c>
      <c r="J142" s="373">
        <v>149680</v>
      </c>
      <c r="L142" s="5"/>
      <c r="M142" s="5"/>
      <c r="N142" s="5"/>
      <c r="O142" s="5"/>
    </row>
    <row r="143" spans="1:15">
      <c r="A143" s="13">
        <v>4</v>
      </c>
      <c r="B143" s="374" t="s">
        <v>9</v>
      </c>
      <c r="C143" s="373">
        <v>451687</v>
      </c>
      <c r="D143" s="371" t="s">
        <v>460</v>
      </c>
      <c r="E143" s="373">
        <v>1763</v>
      </c>
      <c r="G143" s="371" t="s">
        <v>460</v>
      </c>
      <c r="H143" s="373">
        <v>197811</v>
      </c>
      <c r="I143" s="371" t="s">
        <v>459</v>
      </c>
      <c r="J143" s="373">
        <v>140377</v>
      </c>
      <c r="L143" s="5"/>
      <c r="M143" s="5"/>
      <c r="N143" s="5"/>
      <c r="O143" s="5"/>
    </row>
    <row r="144" spans="1:15">
      <c r="A144" s="13">
        <v>5</v>
      </c>
      <c r="B144" s="374" t="s">
        <v>241</v>
      </c>
      <c r="C144" s="373">
        <v>260170</v>
      </c>
      <c r="D144" s="371" t="s">
        <v>511</v>
      </c>
      <c r="E144" s="373">
        <v>122</v>
      </c>
      <c r="G144" s="371" t="s">
        <v>258</v>
      </c>
      <c r="H144" s="373">
        <v>190362</v>
      </c>
      <c r="I144" s="371" t="s">
        <v>460</v>
      </c>
      <c r="J144" s="373">
        <v>9334</v>
      </c>
      <c r="L144" s="5"/>
      <c r="M144" s="5"/>
      <c r="N144" s="5"/>
      <c r="O144" s="5"/>
    </row>
    <row r="145" spans="1:15">
      <c r="A145" s="13">
        <v>6</v>
      </c>
      <c r="B145" s="374" t="s">
        <v>269</v>
      </c>
      <c r="C145" s="373">
        <v>190331</v>
      </c>
      <c r="D145" s="371" t="s">
        <v>10</v>
      </c>
      <c r="E145" s="373">
        <v>30</v>
      </c>
      <c r="G145" s="371" t="s">
        <v>247</v>
      </c>
      <c r="H145" s="373">
        <v>175008</v>
      </c>
      <c r="I145" s="371" t="s">
        <v>10</v>
      </c>
      <c r="J145" s="373">
        <v>395</v>
      </c>
      <c r="L145" s="5"/>
      <c r="M145" s="5"/>
      <c r="N145" s="5"/>
      <c r="O145" s="5"/>
    </row>
    <row r="146" spans="1:15">
      <c r="A146" s="13">
        <v>7</v>
      </c>
      <c r="B146" s="374" t="s">
        <v>258</v>
      </c>
      <c r="C146" s="373">
        <v>164062</v>
      </c>
      <c r="D146" s="371"/>
      <c r="E146" s="373"/>
      <c r="G146" s="371" t="s">
        <v>463</v>
      </c>
      <c r="H146" s="373">
        <v>160445</v>
      </c>
      <c r="I146" s="371"/>
      <c r="J146" s="373"/>
      <c r="L146" s="5"/>
      <c r="M146" s="5"/>
      <c r="N146" s="5"/>
      <c r="O146" s="5"/>
    </row>
    <row r="147" spans="1:15">
      <c r="A147" s="13">
        <v>8</v>
      </c>
      <c r="B147" s="374" t="s">
        <v>463</v>
      </c>
      <c r="C147" s="373">
        <v>160778</v>
      </c>
      <c r="D147" s="371"/>
      <c r="E147" s="373"/>
      <c r="G147" s="371" t="s">
        <v>6</v>
      </c>
      <c r="H147" s="373">
        <v>149712</v>
      </c>
      <c r="I147" s="371"/>
      <c r="J147" s="373"/>
      <c r="L147" s="5"/>
      <c r="M147" s="5"/>
      <c r="N147" s="5"/>
      <c r="O147" s="5"/>
    </row>
    <row r="148" spans="1:15">
      <c r="A148" s="13">
        <v>9</v>
      </c>
      <c r="B148" s="374" t="s">
        <v>260</v>
      </c>
      <c r="C148" s="373">
        <v>135725</v>
      </c>
      <c r="D148" s="371"/>
      <c r="E148" s="373"/>
      <c r="G148" s="371" t="s">
        <v>9</v>
      </c>
      <c r="H148" s="373">
        <v>110460</v>
      </c>
      <c r="I148" s="371"/>
      <c r="J148" s="373"/>
      <c r="L148" s="5"/>
      <c r="M148" s="5"/>
      <c r="N148" s="5"/>
      <c r="O148" s="5"/>
    </row>
    <row r="149" spans="1:15">
      <c r="A149" s="13">
        <v>10</v>
      </c>
      <c r="B149" s="374" t="s">
        <v>464</v>
      </c>
      <c r="C149" s="373">
        <v>125600</v>
      </c>
      <c r="D149" s="371"/>
      <c r="E149" s="373"/>
      <c r="G149" s="371" t="s">
        <v>241</v>
      </c>
      <c r="H149" s="373">
        <v>100820</v>
      </c>
      <c r="I149" s="371"/>
      <c r="J149" s="373"/>
      <c r="L149" s="5"/>
      <c r="M149" s="5"/>
      <c r="N149" s="5"/>
      <c r="O149" s="5"/>
    </row>
    <row r="150" spans="1:15">
      <c r="B150" s="371" t="s">
        <v>434</v>
      </c>
      <c r="C150" s="373">
        <f>C151-SUM(C139:C149)</f>
        <v>860721</v>
      </c>
      <c r="D150" s="371" t="s">
        <v>105</v>
      </c>
      <c r="E150" s="373">
        <f>E151-SUM(E140:E149)</f>
        <v>0</v>
      </c>
      <c r="G150" s="371" t="s">
        <v>434</v>
      </c>
      <c r="H150" s="373">
        <f>H151-SUM(H140:H149)</f>
        <v>701791</v>
      </c>
      <c r="I150" s="371" t="s">
        <v>105</v>
      </c>
      <c r="J150" s="373">
        <f>J151-SUM(J140:J149)</f>
        <v>0</v>
      </c>
      <c r="L150" s="5"/>
      <c r="M150" s="5"/>
      <c r="N150" s="5"/>
      <c r="O150" s="5"/>
    </row>
    <row r="151" spans="1:15">
      <c r="B151" s="371" t="s">
        <v>106</v>
      </c>
      <c r="C151" s="373">
        <v>4737156</v>
      </c>
      <c r="D151" s="371" t="s">
        <v>106</v>
      </c>
      <c r="E151" s="373">
        <v>1097227</v>
      </c>
      <c r="G151" s="371" t="s">
        <v>106</v>
      </c>
      <c r="H151" s="373">
        <v>3089846</v>
      </c>
      <c r="I151" s="371" t="s">
        <v>106</v>
      </c>
      <c r="J151" s="373">
        <v>1678764</v>
      </c>
      <c r="L151" s="5"/>
      <c r="M151" s="5"/>
      <c r="N151" s="5"/>
      <c r="O151" s="5"/>
    </row>
    <row r="153" spans="1:15">
      <c r="B153" s="483" t="s">
        <v>453</v>
      </c>
      <c r="G153" s="483" t="s">
        <v>454</v>
      </c>
    </row>
    <row r="154" spans="1:15">
      <c r="B154" s="30" t="s">
        <v>101</v>
      </c>
      <c r="C154" s="369" t="s">
        <v>102</v>
      </c>
      <c r="D154" s="30" t="s">
        <v>103</v>
      </c>
      <c r="E154" s="369" t="s">
        <v>104</v>
      </c>
      <c r="G154" s="30" t="s">
        <v>101</v>
      </c>
      <c r="H154" s="369" t="s">
        <v>102</v>
      </c>
      <c r="I154" s="30" t="s">
        <v>103</v>
      </c>
      <c r="J154" s="369" t="s">
        <v>104</v>
      </c>
    </row>
    <row r="155" spans="1:15">
      <c r="A155" s="13">
        <v>1</v>
      </c>
      <c r="B155" s="371" t="s">
        <v>460</v>
      </c>
      <c r="C155" s="373">
        <v>619701</v>
      </c>
      <c r="D155" s="484" t="s">
        <v>464</v>
      </c>
      <c r="E155" s="373">
        <v>597868</v>
      </c>
      <c r="G155" s="371" t="s">
        <v>460</v>
      </c>
      <c r="H155" s="373">
        <v>539100</v>
      </c>
      <c r="I155" s="374" t="s">
        <v>180</v>
      </c>
      <c r="J155" s="373">
        <v>68105</v>
      </c>
    </row>
    <row r="156" spans="1:15">
      <c r="A156" s="13">
        <v>2</v>
      </c>
      <c r="B156" s="371" t="s">
        <v>248</v>
      </c>
      <c r="C156" s="373">
        <v>398085</v>
      </c>
      <c r="D156" s="484" t="s">
        <v>241</v>
      </c>
      <c r="E156" s="373">
        <v>241223</v>
      </c>
      <c r="G156" s="371" t="s">
        <v>386</v>
      </c>
      <c r="H156" s="373">
        <v>44238</v>
      </c>
      <c r="I156" s="374" t="s">
        <v>167</v>
      </c>
      <c r="J156" s="373">
        <v>61502</v>
      </c>
    </row>
    <row r="157" spans="1:15">
      <c r="A157" s="13">
        <v>3</v>
      </c>
      <c r="B157" s="371" t="s">
        <v>6</v>
      </c>
      <c r="C157" s="373">
        <v>385952</v>
      </c>
      <c r="D157" s="484" t="s">
        <v>468</v>
      </c>
      <c r="E157" s="373">
        <v>125116</v>
      </c>
      <c r="G157" s="371" t="s">
        <v>388</v>
      </c>
      <c r="H157" s="373">
        <v>17148</v>
      </c>
      <c r="I157" s="371" t="s">
        <v>468</v>
      </c>
      <c r="J157" s="373">
        <v>4487</v>
      </c>
    </row>
    <row r="158" spans="1:15">
      <c r="A158" s="13">
        <v>4</v>
      </c>
      <c r="B158" s="371" t="s">
        <v>241</v>
      </c>
      <c r="C158" s="373">
        <v>303375</v>
      </c>
      <c r="D158" s="484" t="s">
        <v>248</v>
      </c>
      <c r="E158" s="373">
        <v>30283</v>
      </c>
      <c r="G158" s="371" t="s">
        <v>247</v>
      </c>
      <c r="H158" s="373">
        <v>13347</v>
      </c>
      <c r="I158" s="371"/>
      <c r="J158" s="373"/>
    </row>
    <row r="159" spans="1:15">
      <c r="A159" s="13">
        <v>5</v>
      </c>
      <c r="B159" s="371" t="s">
        <v>10</v>
      </c>
      <c r="C159" s="373">
        <v>279385</v>
      </c>
      <c r="D159" s="484" t="s">
        <v>10</v>
      </c>
      <c r="E159" s="373">
        <v>12496</v>
      </c>
      <c r="G159" s="371" t="s">
        <v>241</v>
      </c>
      <c r="H159" s="373">
        <v>8848</v>
      </c>
      <c r="I159" s="371"/>
      <c r="J159" s="373"/>
    </row>
    <row r="160" spans="1:15">
      <c r="A160" s="13">
        <v>6</v>
      </c>
      <c r="B160" s="371" t="s">
        <v>9</v>
      </c>
      <c r="C160" s="373">
        <v>240044</v>
      </c>
      <c r="D160" s="484" t="s">
        <v>386</v>
      </c>
      <c r="E160" s="373">
        <v>3253</v>
      </c>
      <c r="G160" s="371" t="s">
        <v>251</v>
      </c>
      <c r="H160" s="373">
        <v>3953</v>
      </c>
      <c r="I160" s="371"/>
      <c r="J160" s="373"/>
    </row>
    <row r="161" spans="1:10">
      <c r="A161" s="13">
        <v>7</v>
      </c>
      <c r="B161" s="371" t="s">
        <v>388</v>
      </c>
      <c r="C161" s="373">
        <v>225176</v>
      </c>
      <c r="D161" s="484" t="s">
        <v>474</v>
      </c>
      <c r="E161" s="373">
        <v>2189</v>
      </c>
      <c r="G161" s="371" t="s">
        <v>462</v>
      </c>
      <c r="H161" s="373">
        <v>2767</v>
      </c>
      <c r="I161" s="371"/>
      <c r="J161" s="373"/>
    </row>
    <row r="162" spans="1:10">
      <c r="A162" s="13">
        <v>8</v>
      </c>
      <c r="B162" s="371" t="s">
        <v>462</v>
      </c>
      <c r="C162" s="373">
        <v>213408</v>
      </c>
      <c r="D162" s="484" t="s">
        <v>469</v>
      </c>
      <c r="E162" s="373">
        <v>851</v>
      </c>
      <c r="G162" s="371" t="s">
        <v>263</v>
      </c>
      <c r="H162" s="373">
        <v>2432</v>
      </c>
      <c r="I162" s="371"/>
      <c r="J162" s="373"/>
    </row>
    <row r="163" spans="1:10">
      <c r="A163" s="13">
        <v>9</v>
      </c>
      <c r="B163" s="371" t="s">
        <v>279</v>
      </c>
      <c r="C163" s="373">
        <v>117725</v>
      </c>
      <c r="D163" s="484" t="s">
        <v>249</v>
      </c>
      <c r="E163" s="373">
        <v>608</v>
      </c>
      <c r="G163" s="371" t="s">
        <v>6</v>
      </c>
      <c r="H163" s="373">
        <v>2310</v>
      </c>
      <c r="I163" s="371"/>
      <c r="J163" s="373"/>
    </row>
    <row r="164" spans="1:10">
      <c r="A164" s="13">
        <v>10</v>
      </c>
      <c r="B164" s="371" t="s">
        <v>386</v>
      </c>
      <c r="C164" s="373">
        <v>102159</v>
      </c>
      <c r="D164" s="484" t="s">
        <v>462</v>
      </c>
      <c r="E164" s="373">
        <v>152</v>
      </c>
      <c r="G164" s="371" t="s">
        <v>10</v>
      </c>
      <c r="H164" s="373">
        <v>1277</v>
      </c>
      <c r="I164" s="371"/>
      <c r="J164" s="373"/>
    </row>
    <row r="165" spans="1:10">
      <c r="B165" s="371" t="s">
        <v>455</v>
      </c>
      <c r="C165" s="373">
        <f>C166-SUM(C155:C164)</f>
        <v>728364</v>
      </c>
      <c r="D165" s="371" t="s">
        <v>105</v>
      </c>
      <c r="E165" s="373">
        <f>E166-SUM(E155:E164)</f>
        <v>61</v>
      </c>
      <c r="G165" s="371" t="s">
        <v>105</v>
      </c>
      <c r="H165" s="373">
        <f>H166-SUM(H155:H164)</f>
        <v>4895</v>
      </c>
      <c r="I165" s="371" t="s">
        <v>105</v>
      </c>
      <c r="J165" s="373">
        <f>J166-SUM(J155:J164)</f>
        <v>0</v>
      </c>
    </row>
    <row r="166" spans="1:10">
      <c r="B166" s="371" t="s">
        <v>106</v>
      </c>
      <c r="C166" s="373">
        <v>3613374</v>
      </c>
      <c r="D166" s="371" t="s">
        <v>106</v>
      </c>
      <c r="E166" s="373">
        <v>1014100</v>
      </c>
      <c r="G166" s="371" t="s">
        <v>106</v>
      </c>
      <c r="H166" s="373">
        <v>640315</v>
      </c>
      <c r="I166" s="371" t="s">
        <v>106</v>
      </c>
      <c r="J166" s="373">
        <v>134094</v>
      </c>
    </row>
    <row r="167" spans="1:10" ht="12" customHeight="1">
      <c r="B167" s="376"/>
    </row>
    <row r="168" spans="1:10">
      <c r="B168" s="54" t="s">
        <v>456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opLeftCell="A19" zoomScaleNormal="100" workbookViewId="0">
      <selection activeCell="E31" sqref="E31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3.25" style="5" customWidth="1"/>
    <col min="6" max="6" width="13.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9" t="s">
        <v>481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415</v>
      </c>
      <c r="B3" s="133"/>
      <c r="C3" s="134"/>
      <c r="D3" s="135"/>
      <c r="E3" s="133"/>
      <c r="F3" s="136"/>
      <c r="G3" s="137"/>
    </row>
    <row r="4" spans="1:7">
      <c r="A4" s="138" t="s">
        <v>480</v>
      </c>
      <c r="B4" s="68"/>
      <c r="C4" s="139"/>
      <c r="D4" s="140"/>
      <c r="E4" s="68"/>
      <c r="F4" s="141"/>
      <c r="G4" s="142"/>
    </row>
    <row r="5" spans="1:7">
      <c r="A5" s="567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68"/>
      <c r="B6" s="561" t="s">
        <v>521</v>
      </c>
      <c r="C6" s="562" t="s">
        <v>524</v>
      </c>
      <c r="D6" s="563" t="s">
        <v>523</v>
      </c>
      <c r="E6" s="561" t="s">
        <v>521</v>
      </c>
      <c r="F6" s="562" t="s">
        <v>524</v>
      </c>
      <c r="G6" s="563" t="s">
        <v>523</v>
      </c>
    </row>
    <row r="7" spans="1:7">
      <c r="A7" s="31">
        <v>1</v>
      </c>
      <c r="B7" s="378">
        <v>52420</v>
      </c>
      <c r="C7" s="384">
        <v>74922</v>
      </c>
      <c r="D7" s="492">
        <f>IFERROR((B7-C7)/C7,0)</f>
        <v>-0.30033901924668321</v>
      </c>
      <c r="E7" s="493">
        <v>48431613</v>
      </c>
      <c r="F7" s="384">
        <v>84131970</v>
      </c>
      <c r="G7" s="492">
        <f>IFERROR((E7-F7)/F7,0)</f>
        <v>-0.42433758534359767</v>
      </c>
    </row>
    <row r="8" spans="1:7">
      <c r="A8" s="31">
        <v>2</v>
      </c>
      <c r="B8" s="378"/>
      <c r="C8" s="384"/>
      <c r="D8" s="492">
        <f>IFERROR((B8-C8)/C8,0)</f>
        <v>0</v>
      </c>
      <c r="E8" s="493"/>
      <c r="F8" s="384"/>
      <c r="G8" s="492">
        <f t="shared" ref="G8:G18" si="0">IFERROR((E8-F8)/F8,0)</f>
        <v>0</v>
      </c>
    </row>
    <row r="9" spans="1:7">
      <c r="A9" s="31">
        <v>3</v>
      </c>
      <c r="B9" s="378"/>
      <c r="C9" s="384"/>
      <c r="D9" s="492">
        <f t="shared" ref="D9:D18" si="1">IFERROR((B9-C9)/C9,0)</f>
        <v>0</v>
      </c>
      <c r="E9" s="493"/>
      <c r="F9" s="384"/>
      <c r="G9" s="492">
        <f t="shared" si="0"/>
        <v>0</v>
      </c>
    </row>
    <row r="10" spans="1:7">
      <c r="A10" s="31">
        <v>4</v>
      </c>
      <c r="B10" s="382"/>
      <c r="C10" s="381"/>
      <c r="D10" s="492">
        <f t="shared" si="1"/>
        <v>0</v>
      </c>
      <c r="E10" s="493"/>
      <c r="F10" s="381"/>
      <c r="G10" s="492">
        <f t="shared" si="0"/>
        <v>0</v>
      </c>
    </row>
    <row r="11" spans="1:7">
      <c r="A11" s="31">
        <v>5</v>
      </c>
      <c r="B11" s="378"/>
      <c r="C11" s="384"/>
      <c r="D11" s="492">
        <f t="shared" si="1"/>
        <v>0</v>
      </c>
      <c r="E11" s="493"/>
      <c r="F11" s="384"/>
      <c r="G11" s="492">
        <f t="shared" si="0"/>
        <v>0</v>
      </c>
    </row>
    <row r="12" spans="1:7">
      <c r="A12" s="31">
        <v>6</v>
      </c>
      <c r="B12" s="378"/>
      <c r="C12" s="384"/>
      <c r="D12" s="492">
        <f t="shared" si="1"/>
        <v>0</v>
      </c>
      <c r="E12" s="493"/>
      <c r="F12" s="384"/>
      <c r="G12" s="492">
        <f t="shared" si="0"/>
        <v>0</v>
      </c>
    </row>
    <row r="13" spans="1:7">
      <c r="A13" s="31">
        <v>7</v>
      </c>
      <c r="B13" s="378"/>
      <c r="C13" s="384"/>
      <c r="D13" s="492">
        <f t="shared" si="1"/>
        <v>0</v>
      </c>
      <c r="E13" s="493"/>
      <c r="F13" s="384"/>
      <c r="G13" s="492">
        <f t="shared" si="0"/>
        <v>0</v>
      </c>
    </row>
    <row r="14" spans="1:7">
      <c r="A14" s="31">
        <v>8</v>
      </c>
      <c r="B14" s="378"/>
      <c r="C14" s="384"/>
      <c r="D14" s="492">
        <f t="shared" si="1"/>
        <v>0</v>
      </c>
      <c r="E14" s="493"/>
      <c r="F14" s="384"/>
      <c r="G14" s="492">
        <f t="shared" si="0"/>
        <v>0</v>
      </c>
    </row>
    <row r="15" spans="1:7">
      <c r="A15" s="31">
        <v>9</v>
      </c>
      <c r="B15" s="27"/>
      <c r="C15" s="90"/>
      <c r="D15" s="492">
        <f t="shared" si="1"/>
        <v>0</v>
      </c>
      <c r="E15" s="493"/>
      <c r="F15" s="90"/>
      <c r="G15" s="492">
        <f t="shared" si="0"/>
        <v>0</v>
      </c>
    </row>
    <row r="16" spans="1:7">
      <c r="A16" s="31">
        <v>10</v>
      </c>
      <c r="B16" s="27"/>
      <c r="C16" s="90"/>
      <c r="D16" s="492">
        <f t="shared" si="1"/>
        <v>0</v>
      </c>
      <c r="E16" s="493"/>
      <c r="F16" s="90"/>
      <c r="G16" s="492">
        <f t="shared" si="0"/>
        <v>0</v>
      </c>
    </row>
    <row r="17" spans="1:7">
      <c r="A17" s="31">
        <v>11</v>
      </c>
      <c r="B17" s="27"/>
      <c r="C17" s="90"/>
      <c r="D17" s="492">
        <f t="shared" si="1"/>
        <v>0</v>
      </c>
      <c r="E17" s="493"/>
      <c r="F17" s="90"/>
      <c r="G17" s="492">
        <f t="shared" si="0"/>
        <v>0</v>
      </c>
    </row>
    <row r="18" spans="1:7">
      <c r="A18" s="31">
        <v>12</v>
      </c>
      <c r="B18" s="27"/>
      <c r="C18" s="90"/>
      <c r="D18" s="492">
        <f t="shared" si="1"/>
        <v>0</v>
      </c>
      <c r="E18" s="493"/>
      <c r="F18" s="90"/>
      <c r="G18" s="492">
        <f t="shared" si="0"/>
        <v>0</v>
      </c>
    </row>
    <row r="19" spans="1:7" s="115" customFormat="1">
      <c r="A19" s="32" t="s">
        <v>50</v>
      </c>
      <c r="B19" s="33">
        <f>SUM(B7:B18)</f>
        <v>52420</v>
      </c>
      <c r="C19" s="90">
        <f>SUM(C7:C18)</f>
        <v>74922</v>
      </c>
      <c r="D19" s="492">
        <f>(B19-C19)/C19</f>
        <v>-0.30033901924668321</v>
      </c>
      <c r="E19" s="33">
        <f>SUM(E7:E18)</f>
        <v>48431613</v>
      </c>
      <c r="F19" s="90">
        <f>SUM(F7:F18)</f>
        <v>84131970</v>
      </c>
      <c r="G19" s="148">
        <f>(E19-F19)/F19</f>
        <v>-0.42433758534359767</v>
      </c>
    </row>
    <row r="20" spans="1:7" s="115" customFormat="1">
      <c r="A20" s="38"/>
      <c r="B20" s="39"/>
      <c r="C20" s="494"/>
      <c r="D20" s="149"/>
      <c r="E20" s="39"/>
      <c r="F20" s="494"/>
      <c r="G20" s="149"/>
    </row>
    <row r="21" spans="1:7" ht="19.5">
      <c r="A21" s="1" t="s">
        <v>519</v>
      </c>
      <c r="B21" s="129"/>
      <c r="C21" s="130"/>
      <c r="D21" s="131"/>
      <c r="E21" s="129"/>
      <c r="F21" s="130"/>
      <c r="G21" s="131"/>
    </row>
    <row r="22" spans="1:7">
      <c r="B22" s="97"/>
      <c r="C22" s="150"/>
      <c r="D22" s="151"/>
      <c r="E22" s="97"/>
      <c r="F22" s="150"/>
      <c r="G22" s="151"/>
    </row>
    <row r="23" spans="1:7" s="122" customFormat="1">
      <c r="A23" s="152" t="s">
        <v>457</v>
      </c>
      <c r="B23" s="153"/>
      <c r="C23" s="154"/>
      <c r="D23" s="155"/>
      <c r="E23" s="153"/>
      <c r="F23" s="156"/>
      <c r="G23" s="157"/>
    </row>
    <row r="24" spans="1:7">
      <c r="A24" s="138" t="s">
        <v>520</v>
      </c>
      <c r="B24" s="158"/>
      <c r="C24" s="159"/>
      <c r="D24" s="160"/>
      <c r="E24" s="158"/>
      <c r="F24" s="161"/>
      <c r="G24" s="162"/>
    </row>
    <row r="25" spans="1:7">
      <c r="A25" s="567" t="s">
        <v>51</v>
      </c>
      <c r="B25" s="163" t="s">
        <v>52</v>
      </c>
      <c r="C25" s="164"/>
      <c r="D25" s="165"/>
      <c r="E25" s="166" t="s">
        <v>53</v>
      </c>
      <c r="F25" s="164"/>
      <c r="G25" s="165"/>
    </row>
    <row r="26" spans="1:7">
      <c r="A26" s="568"/>
      <c r="B26" s="561" t="s">
        <v>521</v>
      </c>
      <c r="C26" s="562" t="s">
        <v>522</v>
      </c>
      <c r="D26" s="563" t="s">
        <v>523</v>
      </c>
      <c r="E26" s="561" t="s">
        <v>521</v>
      </c>
      <c r="F26" s="562" t="s">
        <v>522</v>
      </c>
      <c r="G26" s="563" t="s">
        <v>523</v>
      </c>
    </row>
    <row r="27" spans="1:7">
      <c r="A27" s="31">
        <v>1</v>
      </c>
      <c r="B27" s="495">
        <v>1271</v>
      </c>
      <c r="C27" s="384">
        <v>1098</v>
      </c>
      <c r="D27" s="492">
        <f>IFERROR((B27-C27)/C27,0)</f>
        <v>0.15755919854280509</v>
      </c>
      <c r="E27" s="493">
        <v>706443</v>
      </c>
      <c r="F27" s="384">
        <v>559193</v>
      </c>
      <c r="G27" s="492">
        <f>IFERROR((E27-F27)/F27,0)</f>
        <v>0.26332590000232475</v>
      </c>
    </row>
    <row r="28" spans="1:7">
      <c r="A28" s="31">
        <v>2</v>
      </c>
      <c r="B28" s="495"/>
      <c r="C28" s="384"/>
      <c r="D28" s="492">
        <f>IFERROR((B28-C28)/C28,0)</f>
        <v>0</v>
      </c>
      <c r="E28" s="493"/>
      <c r="F28" s="384"/>
      <c r="G28" s="492">
        <f t="shared" ref="G28:G39" si="2">IFERROR((E28-F28)/F28,0)</f>
        <v>0</v>
      </c>
    </row>
    <row r="29" spans="1:7">
      <c r="A29" s="31">
        <v>3</v>
      </c>
      <c r="B29" s="495"/>
      <c r="C29" s="384"/>
      <c r="D29" s="492">
        <f t="shared" ref="D29:D39" si="3">IFERROR((B29-C29)/C29,0)</f>
        <v>0</v>
      </c>
      <c r="E29" s="493"/>
      <c r="F29" s="384"/>
      <c r="G29" s="492">
        <f t="shared" si="2"/>
        <v>0</v>
      </c>
    </row>
    <row r="30" spans="1:7">
      <c r="A30" s="31">
        <v>4</v>
      </c>
      <c r="B30" s="495"/>
      <c r="C30" s="496"/>
      <c r="D30" s="492">
        <f t="shared" si="3"/>
        <v>0</v>
      </c>
      <c r="E30" s="383"/>
      <c r="F30" s="381"/>
      <c r="G30" s="492">
        <f t="shared" si="2"/>
        <v>0</v>
      </c>
    </row>
    <row r="31" spans="1:7">
      <c r="A31" s="31">
        <v>5</v>
      </c>
      <c r="B31" s="495"/>
      <c r="C31" s="384"/>
      <c r="D31" s="492">
        <f t="shared" si="3"/>
        <v>0</v>
      </c>
      <c r="E31" s="493"/>
      <c r="F31" s="384"/>
      <c r="G31" s="492">
        <f t="shared" si="2"/>
        <v>0</v>
      </c>
    </row>
    <row r="32" spans="1:7">
      <c r="A32" s="31">
        <v>6</v>
      </c>
      <c r="B32" s="495"/>
      <c r="C32" s="384"/>
      <c r="D32" s="492">
        <f t="shared" si="3"/>
        <v>0</v>
      </c>
      <c r="E32" s="493"/>
      <c r="F32" s="384"/>
      <c r="G32" s="492">
        <f t="shared" si="2"/>
        <v>0</v>
      </c>
    </row>
    <row r="33" spans="1:12">
      <c r="A33" s="31">
        <v>7</v>
      </c>
      <c r="B33" s="495"/>
      <c r="C33" s="384"/>
      <c r="D33" s="492">
        <f t="shared" si="3"/>
        <v>0</v>
      </c>
      <c r="E33" s="493"/>
      <c r="F33" s="384"/>
      <c r="G33" s="492">
        <f t="shared" si="2"/>
        <v>0</v>
      </c>
    </row>
    <row r="34" spans="1:12">
      <c r="A34" s="31">
        <v>8</v>
      </c>
      <c r="B34" s="495"/>
      <c r="C34" s="384"/>
      <c r="D34" s="492">
        <f t="shared" si="3"/>
        <v>0</v>
      </c>
      <c r="E34" s="493"/>
      <c r="F34" s="384"/>
      <c r="G34" s="492">
        <f t="shared" si="2"/>
        <v>0</v>
      </c>
    </row>
    <row r="35" spans="1:12">
      <c r="A35" s="31">
        <v>9</v>
      </c>
      <c r="B35" s="497"/>
      <c r="C35" s="90"/>
      <c r="D35" s="492">
        <f t="shared" si="3"/>
        <v>0</v>
      </c>
      <c r="E35" s="27"/>
      <c r="F35" s="90"/>
      <c r="G35" s="492">
        <f t="shared" si="2"/>
        <v>0</v>
      </c>
    </row>
    <row r="36" spans="1:12">
      <c r="A36" s="31">
        <v>10</v>
      </c>
      <c r="B36" s="497"/>
      <c r="C36" s="90"/>
      <c r="D36" s="492">
        <f t="shared" si="3"/>
        <v>0</v>
      </c>
      <c r="E36" s="27"/>
      <c r="F36" s="90"/>
      <c r="G36" s="492">
        <f t="shared" si="2"/>
        <v>0</v>
      </c>
    </row>
    <row r="37" spans="1:12">
      <c r="A37" s="31">
        <v>11</v>
      </c>
      <c r="B37" s="497"/>
      <c r="C37" s="90"/>
      <c r="D37" s="492">
        <f t="shared" si="3"/>
        <v>0</v>
      </c>
      <c r="E37" s="27"/>
      <c r="F37" s="90"/>
      <c r="G37" s="492">
        <f t="shared" si="2"/>
        <v>0</v>
      </c>
      <c r="I37" s="488"/>
      <c r="J37" s="488"/>
      <c r="K37" s="488"/>
      <c r="L37" s="488"/>
    </row>
    <row r="38" spans="1:12">
      <c r="A38" s="31">
        <v>12</v>
      </c>
      <c r="B38" s="33"/>
      <c r="C38" s="90"/>
      <c r="D38" s="492">
        <f t="shared" si="3"/>
        <v>0</v>
      </c>
      <c r="E38" s="33"/>
      <c r="F38" s="90"/>
      <c r="G38" s="492">
        <f t="shared" si="2"/>
        <v>0</v>
      </c>
      <c r="I38" s="488"/>
      <c r="J38" s="488"/>
      <c r="K38" s="488"/>
      <c r="L38" s="488"/>
    </row>
    <row r="39" spans="1:12" s="115" customFormat="1">
      <c r="A39" s="32" t="s">
        <v>50</v>
      </c>
      <c r="B39" s="33">
        <f>SUM(B27:B38)</f>
        <v>1271</v>
      </c>
      <c r="C39" s="90">
        <f>SUM(C27:C38)</f>
        <v>1098</v>
      </c>
      <c r="D39" s="492">
        <f t="shared" si="3"/>
        <v>0.15755919854280509</v>
      </c>
      <c r="E39" s="33">
        <f>SUM(E27:E38)</f>
        <v>706443</v>
      </c>
      <c r="F39" s="90">
        <f>SUM(F27:F38)</f>
        <v>559193</v>
      </c>
      <c r="G39" s="492">
        <f t="shared" si="2"/>
        <v>0.26332590000232475</v>
      </c>
    </row>
    <row r="40" spans="1:12" s="115" customFormat="1" ht="10.5" customHeight="1">
      <c r="A40" s="38"/>
      <c r="B40" s="39"/>
      <c r="C40" s="494"/>
      <c r="D40" s="149"/>
      <c r="E40" s="39"/>
      <c r="F40" s="494"/>
      <c r="G40" s="167"/>
    </row>
    <row r="41" spans="1:12" s="13" customFormat="1">
      <c r="A41" s="55" t="s">
        <v>492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81" priority="11" operator="lessThan">
      <formula>0</formula>
    </cfRule>
  </conditionalFormatting>
  <conditionalFormatting sqref="B27:C29 B30 B31:C34">
    <cfRule type="cellIs" dxfId="80" priority="8" operator="lessThan">
      <formula>0</formula>
    </cfRule>
    <cfRule type="cellIs" dxfId="79" priority="9" operator="lessThan">
      <formula>0</formula>
    </cfRule>
  </conditionalFormatting>
  <conditionalFormatting sqref="E10:E18">
    <cfRule type="cellIs" dxfId="78" priority="1" operator="lessThan">
      <formula>0</formula>
    </cfRule>
  </conditionalFormatting>
  <conditionalFormatting sqref="E7:F9 F11:F14">
    <cfRule type="cellIs" dxfId="77" priority="10" operator="lessThan">
      <formula>0</formula>
    </cfRule>
  </conditionalFormatting>
  <conditionalFormatting sqref="E27:F29">
    <cfRule type="cellIs" dxfId="76" priority="6" operator="lessThan">
      <formula>0</formula>
    </cfRule>
    <cfRule type="cellIs" dxfId="75" priority="7" operator="lessThan">
      <formula>0</formula>
    </cfRule>
  </conditionalFormatting>
  <conditionalFormatting sqref="E31:F34">
    <cfRule type="cellIs" dxfId="74" priority="2" operator="lessThan">
      <formula>0</formula>
    </cfRule>
    <cfRule type="cellIs" dxfId="73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topLeftCell="A45" zoomScale="80" zoomScaleNormal="80" workbookViewId="0">
      <selection activeCell="F48" activeCellId="3" sqref="F8:F10 F42:F45 F13:F40 F48:F66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482</v>
      </c>
      <c r="B1" s="1"/>
      <c r="C1" s="57"/>
      <c r="D1" s="58"/>
      <c r="E1" s="1"/>
      <c r="F1" s="57"/>
      <c r="G1" s="58"/>
    </row>
    <row r="2" spans="1:10" ht="10.5" customHeight="1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483</v>
      </c>
      <c r="B4" s="8" t="s">
        <v>484</v>
      </c>
      <c r="C4" s="71" t="s">
        <v>485</v>
      </c>
      <c r="D4" s="72" t="s">
        <v>157</v>
      </c>
      <c r="E4" s="8" t="s">
        <v>484</v>
      </c>
      <c r="F4" s="545" t="s">
        <v>485</v>
      </c>
      <c r="G4" s="74" t="s">
        <v>158</v>
      </c>
      <c r="H4" s="8" t="s">
        <v>484</v>
      </c>
      <c r="I4" s="71" t="s">
        <v>485</v>
      </c>
      <c r="J4" s="75" t="s">
        <v>158</v>
      </c>
    </row>
    <row r="5" spans="1:10">
      <c r="A5" s="14"/>
      <c r="B5" s="8" t="s">
        <v>32</v>
      </c>
      <c r="C5" s="76" t="s">
        <v>32</v>
      </c>
      <c r="D5" s="451" t="s">
        <v>1</v>
      </c>
      <c r="E5" s="77" t="s">
        <v>33</v>
      </c>
      <c r="F5" s="546" t="s">
        <v>33</v>
      </c>
      <c r="G5" s="451" t="s">
        <v>1</v>
      </c>
      <c r="H5" s="78" t="s">
        <v>108</v>
      </c>
      <c r="I5" s="79" t="s">
        <v>109</v>
      </c>
      <c r="J5" s="451" t="s">
        <v>1</v>
      </c>
    </row>
    <row r="6" spans="1:10">
      <c r="A6" s="80" t="s">
        <v>4</v>
      </c>
      <c r="B6" s="17"/>
      <c r="C6" s="81"/>
      <c r="D6" s="82"/>
      <c r="E6" s="17"/>
      <c r="F6" s="547"/>
      <c r="G6" s="82"/>
      <c r="H6" s="83"/>
      <c r="I6" s="84"/>
      <c r="J6" s="82"/>
    </row>
    <row r="7" spans="1:10">
      <c r="A7" s="80" t="s">
        <v>5</v>
      </c>
      <c r="B7" s="22">
        <f>SUM(B8:B10)</f>
        <v>22628</v>
      </c>
      <c r="C7" s="85">
        <f>SUM(C8:C10)</f>
        <v>27895</v>
      </c>
      <c r="D7" s="515">
        <f>IF(C7,(B7-C7)/C7,0)</f>
        <v>-0.18881519985660514</v>
      </c>
      <c r="E7" s="22">
        <f>SUM(E8:E10)</f>
        <v>15524350</v>
      </c>
      <c r="F7" s="548">
        <f>SUM(F8:F10)</f>
        <v>28357488</v>
      </c>
      <c r="G7" s="515">
        <f>IF(F7,(E7-F7)/F7,0)</f>
        <v>-0.45254847679032784</v>
      </c>
      <c r="H7" s="87">
        <f>IF(B7,E7/B7,0)</f>
        <v>686.068145660244</v>
      </c>
      <c r="I7" s="88">
        <f>IF(C7,F7/C7,0)</f>
        <v>1016.5796020792257</v>
      </c>
      <c r="J7" s="515">
        <f>IF(I7,(H7-I7)/I7,0)</f>
        <v>-0.32512107831298365</v>
      </c>
    </row>
    <row r="8" spans="1:10">
      <c r="A8" s="454" t="s">
        <v>199</v>
      </c>
      <c r="B8" s="28">
        <f>整車!E8</f>
        <v>21360</v>
      </c>
      <c r="C8" s="89">
        <f>VLOOKUP(A8,[2]進出口值表查詢結果!$A$10:$C$57,3,0)</f>
        <v>26185</v>
      </c>
      <c r="D8" s="515">
        <f t="shared" ref="D8:D67" si="0">IF(C8,(B8-C8)/C8,0)</f>
        <v>-0.18426580103112469</v>
      </c>
      <c r="E8" s="27">
        <f>整車!G8</f>
        <v>14358586</v>
      </c>
      <c r="F8" s="549">
        <f>VLOOKUP(A8,[2]進出口值表查詢結果!$A$10:$C$57,2,0)</f>
        <v>26070018</v>
      </c>
      <c r="G8" s="515">
        <f t="shared" ref="G8:G67" si="1">IF(F8,(E8-F8)/F8,0)</f>
        <v>-0.44922991614351782</v>
      </c>
      <c r="H8" s="87">
        <f t="shared" ref="H8:H10" si="2">IF(B8,E8/B8,0)</f>
        <v>672.21844569288385</v>
      </c>
      <c r="I8" s="88">
        <f t="shared" ref="I8:I10" si="3">IF(C8,F8/C8,0)</f>
        <v>995.60886003437088</v>
      </c>
      <c r="J8" s="515">
        <f t="shared" ref="J8:J67" si="4">IF(I8,(H8-I8)/I8,0)</f>
        <v>-0.32481673006638651</v>
      </c>
    </row>
    <row r="9" spans="1:10">
      <c r="A9" s="455" t="s">
        <v>6</v>
      </c>
      <c r="B9" s="28">
        <f>整車!E9</f>
        <v>1025</v>
      </c>
      <c r="C9" s="89">
        <f>VLOOKUP(A9,[2]進出口值表查詢結果!$A$10:$C$57,3,0)</f>
        <v>1426</v>
      </c>
      <c r="D9" s="515">
        <f t="shared" si="0"/>
        <v>-0.2812061711079944</v>
      </c>
      <c r="E9" s="27">
        <f>整車!G9</f>
        <v>934174</v>
      </c>
      <c r="F9" s="549">
        <f>VLOOKUP(A9,[2]進出口值表查詢結果!$A$10:$C$57,2,0)</f>
        <v>1953440</v>
      </c>
      <c r="G9" s="515">
        <f t="shared" si="1"/>
        <v>-0.52178003931525918</v>
      </c>
      <c r="H9" s="87">
        <f t="shared" si="2"/>
        <v>911.38926829268291</v>
      </c>
      <c r="I9" s="88">
        <f t="shared" si="3"/>
        <v>1369.8737727910238</v>
      </c>
      <c r="J9" s="515">
        <f t="shared" si="4"/>
        <v>-0.33469105957420459</v>
      </c>
    </row>
    <row r="10" spans="1:10">
      <c r="A10" s="455" t="s">
        <v>7</v>
      </c>
      <c r="B10" s="28">
        <f>整車!E10</f>
        <v>243</v>
      </c>
      <c r="C10" s="89">
        <f>VLOOKUP(A10,[2]進出口值表查詢結果!$A$10:$C$57,3,0)</f>
        <v>284</v>
      </c>
      <c r="D10" s="515">
        <f t="shared" si="0"/>
        <v>-0.14436619718309859</v>
      </c>
      <c r="E10" s="27">
        <f>整車!G10</f>
        <v>231590</v>
      </c>
      <c r="F10" s="549">
        <f>VLOOKUP(A10,[2]進出口值表查詢結果!$A$10:$C$57,2,0)</f>
        <v>334030</v>
      </c>
      <c r="G10" s="515">
        <f t="shared" si="1"/>
        <v>-0.30667904080471814</v>
      </c>
      <c r="H10" s="87">
        <f t="shared" si="2"/>
        <v>953.04526748971193</v>
      </c>
      <c r="I10" s="88">
        <f t="shared" si="3"/>
        <v>1176.161971830986</v>
      </c>
      <c r="J10" s="515">
        <f t="shared" si="4"/>
        <v>-0.18969896126971178</v>
      </c>
    </row>
    <row r="11" spans="1:10">
      <c r="A11" s="30"/>
      <c r="B11" s="28"/>
      <c r="C11" s="90"/>
      <c r="D11" s="515"/>
      <c r="E11" s="27"/>
      <c r="F11" s="550"/>
      <c r="G11" s="515"/>
      <c r="H11" s="87"/>
      <c r="I11" s="88"/>
      <c r="J11" s="515"/>
    </row>
    <row r="12" spans="1:10">
      <c r="A12" s="32" t="s">
        <v>8</v>
      </c>
      <c r="B12" s="33">
        <f>SUM(B13:B39)</f>
        <v>13209</v>
      </c>
      <c r="C12" s="91">
        <f>SUM(C13:C39)</f>
        <v>22447</v>
      </c>
      <c r="D12" s="515">
        <f t="shared" si="0"/>
        <v>-0.41154720007127904</v>
      </c>
      <c r="E12" s="33">
        <f>SUM(E13:E39)</f>
        <v>15318880</v>
      </c>
      <c r="F12" s="551">
        <f>SUM(F13:F39)</f>
        <v>26768152</v>
      </c>
      <c r="G12" s="515">
        <f t="shared" si="1"/>
        <v>-0.42771992627656924</v>
      </c>
      <c r="H12" s="87">
        <f t="shared" ref="H12:H66" si="5">IF(B12,E12/B12,0)</f>
        <v>1159.7304867893104</v>
      </c>
      <c r="I12" s="88">
        <f t="shared" ref="I12:I66" si="6">IF(C12,F12/C12,0)</f>
        <v>1192.5046554105227</v>
      </c>
      <c r="J12" s="515">
        <f t="shared" si="4"/>
        <v>-2.7483472263619569E-2</v>
      </c>
    </row>
    <row r="13" spans="1:10">
      <c r="A13" s="454" t="s">
        <v>200</v>
      </c>
      <c r="B13" s="27">
        <f>整車!E13</f>
        <v>5925</v>
      </c>
      <c r="C13" s="89">
        <f>VLOOKUP(A13,[2]進出口值表查詢結果!$A$10:$C$57,3,0)</f>
        <v>8380</v>
      </c>
      <c r="D13" s="515">
        <f t="shared" si="0"/>
        <v>-0.29295942720763724</v>
      </c>
      <c r="E13" s="27">
        <f>整車!G13</f>
        <v>10165275</v>
      </c>
      <c r="F13" s="549">
        <f>VLOOKUP(A13,[2]進出口值表查詢結果!$A$10:$C$57,2,0)</f>
        <v>14711985</v>
      </c>
      <c r="G13" s="515">
        <f t="shared" si="1"/>
        <v>-0.30904803124799268</v>
      </c>
      <c r="H13" s="87">
        <f t="shared" si="5"/>
        <v>1715.6582278481012</v>
      </c>
      <c r="I13" s="88">
        <f t="shared" si="6"/>
        <v>1755.6068019093079</v>
      </c>
      <c r="J13" s="515">
        <f t="shared" si="4"/>
        <v>-2.2754852634291861E-2</v>
      </c>
    </row>
    <row r="14" spans="1:10">
      <c r="A14" s="454" t="s">
        <v>201</v>
      </c>
      <c r="B14" s="27">
        <f>整車!E14</f>
        <v>3259</v>
      </c>
      <c r="C14" s="89">
        <f>VLOOKUP(A14,[2]進出口值表查詢結果!$A$10:$C$57,3,0)</f>
        <v>6312</v>
      </c>
      <c r="D14" s="515">
        <f t="shared" si="0"/>
        <v>-0.48368187579214195</v>
      </c>
      <c r="E14" s="27">
        <f>整車!G14</f>
        <v>1530831</v>
      </c>
      <c r="F14" s="549">
        <f>VLOOKUP(A14,[2]進出口值表查詢結果!$A$10:$C$57,2,0)</f>
        <v>4259478</v>
      </c>
      <c r="G14" s="515">
        <f t="shared" si="1"/>
        <v>-0.64060596157557337</v>
      </c>
      <c r="H14" s="87">
        <f t="shared" si="5"/>
        <v>469.72414851181344</v>
      </c>
      <c r="I14" s="88">
        <f t="shared" si="6"/>
        <v>674.82224334600755</v>
      </c>
      <c r="J14" s="515">
        <f t="shared" si="4"/>
        <v>-0.30392906703437211</v>
      </c>
    </row>
    <row r="15" spans="1:10">
      <c r="A15" s="455" t="s">
        <v>9</v>
      </c>
      <c r="B15" s="27">
        <f>整車!E15</f>
        <v>587</v>
      </c>
      <c r="C15" s="89">
        <f>VLOOKUP(A15,[2]進出口值表查詢結果!$A$10:$C$57,3,0)</f>
        <v>754</v>
      </c>
      <c r="D15" s="515">
        <f t="shared" si="0"/>
        <v>-0.22148541114058357</v>
      </c>
      <c r="E15" s="27">
        <f>整車!G15</f>
        <v>1108513</v>
      </c>
      <c r="F15" s="549">
        <f>VLOOKUP(A15,[2]進出口值表查詢結果!$A$10:$C$57,2,0)</f>
        <v>1181266</v>
      </c>
      <c r="G15" s="515">
        <f t="shared" si="1"/>
        <v>-6.1589007048370135E-2</v>
      </c>
      <c r="H15" s="87">
        <f t="shared" si="5"/>
        <v>1888.4378194207836</v>
      </c>
      <c r="I15" s="88">
        <f t="shared" si="6"/>
        <v>1566.6657824933686</v>
      </c>
      <c r="J15" s="515">
        <f t="shared" si="4"/>
        <v>0.20538652246257061</v>
      </c>
    </row>
    <row r="16" spans="1:10">
      <c r="A16" s="454" t="s">
        <v>202</v>
      </c>
      <c r="B16" s="27">
        <f>整車!E16</f>
        <v>429</v>
      </c>
      <c r="C16" s="89">
        <f>VLOOKUP(A16,[2]進出口值表查詢結果!$A$10:$C$57,3,0)</f>
        <v>1158</v>
      </c>
      <c r="D16" s="515">
        <f t="shared" si="0"/>
        <v>-0.6295336787564767</v>
      </c>
      <c r="E16" s="27">
        <f>整車!G16</f>
        <v>626148</v>
      </c>
      <c r="F16" s="549">
        <f>VLOOKUP(A16,[2]進出口值表查詢結果!$A$10:$C$57,2,0)</f>
        <v>2158098</v>
      </c>
      <c r="G16" s="515">
        <f t="shared" si="1"/>
        <v>-0.70986118331975656</v>
      </c>
      <c r="H16" s="87">
        <f t="shared" si="5"/>
        <v>1459.5524475524476</v>
      </c>
      <c r="I16" s="88">
        <f t="shared" si="6"/>
        <v>1863.6424870466321</v>
      </c>
      <c r="J16" s="515">
        <f t="shared" si="4"/>
        <v>-0.21682808924074148</v>
      </c>
    </row>
    <row r="17" spans="1:10">
      <c r="A17" s="455" t="s">
        <v>10</v>
      </c>
      <c r="B17" s="27">
        <f>整車!E17</f>
        <v>314</v>
      </c>
      <c r="C17" s="89">
        <f>VLOOKUP(A17,[2]進出口值表查詢結果!$A$10:$C$57,3,0)</f>
        <v>712</v>
      </c>
      <c r="D17" s="515">
        <f t="shared" si="0"/>
        <v>-0.5589887640449438</v>
      </c>
      <c r="E17" s="27">
        <f>整車!G17</f>
        <v>441015</v>
      </c>
      <c r="F17" s="549">
        <f>VLOOKUP(A17,[2]進出口值表查詢結果!$A$10:$C$57,2,0)</f>
        <v>1157808</v>
      </c>
      <c r="G17" s="515">
        <f t="shared" si="1"/>
        <v>-0.6190948758343352</v>
      </c>
      <c r="H17" s="87">
        <f t="shared" si="5"/>
        <v>1404.5063694267517</v>
      </c>
      <c r="I17" s="88">
        <f t="shared" si="6"/>
        <v>1626.1348314606741</v>
      </c>
      <c r="J17" s="515">
        <f t="shared" si="4"/>
        <v>-0.13629156558613587</v>
      </c>
    </row>
    <row r="18" spans="1:10">
      <c r="A18" s="455" t="s">
        <v>11</v>
      </c>
      <c r="B18" s="27">
        <f>整車!E18</f>
        <v>476</v>
      </c>
      <c r="C18" s="89">
        <f>VLOOKUP(A18,[2]進出口值表查詢結果!$A$10:$C$57,3,0)</f>
        <v>1311</v>
      </c>
      <c r="D18" s="515">
        <f t="shared" si="0"/>
        <v>-0.6369183829138062</v>
      </c>
      <c r="E18" s="27">
        <f>整車!G18</f>
        <v>659928</v>
      </c>
      <c r="F18" s="549">
        <f>VLOOKUP(A18,[2]進出口值表查詢結果!$A$10:$C$57,2,0)</f>
        <v>1084574</v>
      </c>
      <c r="G18" s="515">
        <f t="shared" si="1"/>
        <v>-0.39153252797872712</v>
      </c>
      <c r="H18" s="87">
        <f t="shared" si="5"/>
        <v>1386.4033613445379</v>
      </c>
      <c r="I18" s="88">
        <f t="shared" si="6"/>
        <v>827.28756674294436</v>
      </c>
      <c r="J18" s="515">
        <f t="shared" si="4"/>
        <v>0.67584213407539651</v>
      </c>
    </row>
    <row r="19" spans="1:10">
      <c r="A19" s="454" t="s">
        <v>203</v>
      </c>
      <c r="B19" s="27">
        <f>整車!E19</f>
        <v>220</v>
      </c>
      <c r="C19" s="89">
        <v>0</v>
      </c>
      <c r="D19" s="515">
        <f t="shared" si="0"/>
        <v>0</v>
      </c>
      <c r="E19" s="27">
        <f>整車!G19</f>
        <v>27303</v>
      </c>
      <c r="F19" s="549">
        <v>0</v>
      </c>
      <c r="G19" s="515">
        <f t="shared" si="1"/>
        <v>0</v>
      </c>
      <c r="H19" s="87">
        <f t="shared" si="5"/>
        <v>124.10454545454546</v>
      </c>
      <c r="I19" s="88">
        <f t="shared" si="6"/>
        <v>0</v>
      </c>
      <c r="J19" s="515">
        <f t="shared" si="4"/>
        <v>0</v>
      </c>
    </row>
    <row r="20" spans="1:10">
      <c r="A20" s="455" t="s">
        <v>204</v>
      </c>
      <c r="B20" s="27">
        <f>整車!E20</f>
        <v>0</v>
      </c>
      <c r="C20" s="89">
        <f>VLOOKUP(A20,[2]進出口值表查詢結果!$A$10:$C$57,3,0)</f>
        <v>3</v>
      </c>
      <c r="D20" s="515">
        <f t="shared" si="0"/>
        <v>-1</v>
      </c>
      <c r="E20" s="27">
        <f>整車!G20</f>
        <v>0</v>
      </c>
      <c r="F20" s="549">
        <f>VLOOKUP(A20,[2]進出口值表查詢結果!$A$10:$C$57,2,0)</f>
        <v>7294</v>
      </c>
      <c r="G20" s="515">
        <f t="shared" si="1"/>
        <v>-1</v>
      </c>
      <c r="H20" s="87">
        <f t="shared" si="5"/>
        <v>0</v>
      </c>
      <c r="I20" s="88">
        <f t="shared" si="6"/>
        <v>2431.3333333333335</v>
      </c>
      <c r="J20" s="515">
        <f t="shared" si="4"/>
        <v>-1</v>
      </c>
    </row>
    <row r="21" spans="1:10">
      <c r="A21" s="454" t="s">
        <v>205</v>
      </c>
      <c r="B21" s="27">
        <f>整車!E21</f>
        <v>0</v>
      </c>
      <c r="C21" s="89">
        <v>0</v>
      </c>
      <c r="D21" s="515">
        <f t="shared" si="0"/>
        <v>0</v>
      </c>
      <c r="E21" s="27">
        <f>整車!G21</f>
        <v>0</v>
      </c>
      <c r="F21" s="549">
        <v>0</v>
      </c>
      <c r="G21" s="515">
        <f t="shared" si="1"/>
        <v>0</v>
      </c>
      <c r="H21" s="87">
        <f t="shared" si="5"/>
        <v>0</v>
      </c>
      <c r="I21" s="88">
        <f t="shared" si="6"/>
        <v>0</v>
      </c>
      <c r="J21" s="515">
        <f t="shared" si="4"/>
        <v>0</v>
      </c>
    </row>
    <row r="22" spans="1:10">
      <c r="A22" s="455" t="s">
        <v>13</v>
      </c>
      <c r="B22" s="27">
        <f>整車!E22</f>
        <v>0</v>
      </c>
      <c r="C22" s="89">
        <v>0</v>
      </c>
      <c r="D22" s="515">
        <f t="shared" si="0"/>
        <v>0</v>
      </c>
      <c r="E22" s="27">
        <f>整車!G22</f>
        <v>0</v>
      </c>
      <c r="F22" s="549">
        <f>_xlfn.IFNA(VLOOKUP(A22,[3]出同!$C$3:$H$107,3,0),-[4]整車!$B$22)</f>
        <v>0</v>
      </c>
      <c r="G22" s="515">
        <f t="shared" si="1"/>
        <v>0</v>
      </c>
      <c r="H22" s="87">
        <f t="shared" si="5"/>
        <v>0</v>
      </c>
      <c r="I22" s="88">
        <f t="shared" si="6"/>
        <v>0</v>
      </c>
      <c r="J22" s="515">
        <f t="shared" si="4"/>
        <v>0</v>
      </c>
    </row>
    <row r="23" spans="1:10">
      <c r="A23" s="455" t="s">
        <v>14</v>
      </c>
      <c r="B23" s="27">
        <f>整車!E23</f>
        <v>0</v>
      </c>
      <c r="C23" s="89">
        <v>0</v>
      </c>
      <c r="D23" s="515">
        <f t="shared" si="0"/>
        <v>0</v>
      </c>
      <c r="E23" s="27">
        <f>整車!G23</f>
        <v>0</v>
      </c>
      <c r="F23" s="549">
        <v>0</v>
      </c>
      <c r="G23" s="515">
        <f t="shared" si="1"/>
        <v>0</v>
      </c>
      <c r="H23" s="87">
        <f t="shared" si="5"/>
        <v>0</v>
      </c>
      <c r="I23" s="88">
        <f t="shared" si="6"/>
        <v>0</v>
      </c>
      <c r="J23" s="515">
        <f t="shared" si="4"/>
        <v>0</v>
      </c>
    </row>
    <row r="24" spans="1:10">
      <c r="A24" s="455" t="s">
        <v>15</v>
      </c>
      <c r="B24" s="27">
        <f>整車!E24</f>
        <v>0</v>
      </c>
      <c r="C24" s="89">
        <f>VLOOKUP(A24,[2]進出口值表查詢結果!$A$10:$C$57,3,0)</f>
        <v>1</v>
      </c>
      <c r="D24" s="515">
        <f t="shared" si="0"/>
        <v>-1</v>
      </c>
      <c r="E24" s="27">
        <f>整車!G24</f>
        <v>0</v>
      </c>
      <c r="F24" s="549">
        <f>VLOOKUP(A24,[2]進出口值表查詢結果!$A$10:$C$57,2,0)</f>
        <v>611</v>
      </c>
      <c r="G24" s="515">
        <f t="shared" si="1"/>
        <v>-1</v>
      </c>
      <c r="H24" s="87">
        <f t="shared" si="5"/>
        <v>0</v>
      </c>
      <c r="I24" s="88">
        <f t="shared" si="6"/>
        <v>611</v>
      </c>
      <c r="J24" s="515">
        <f t="shared" si="4"/>
        <v>-1</v>
      </c>
    </row>
    <row r="25" spans="1:10">
      <c r="A25" s="454" t="s">
        <v>206</v>
      </c>
      <c r="B25" s="27">
        <f>整車!E25</f>
        <v>0</v>
      </c>
      <c r="C25" s="89">
        <f>VLOOKUP(A25,[2]進出口值表查詢結果!$A$10:$C$57,3,0)</f>
        <v>1820</v>
      </c>
      <c r="D25" s="515">
        <f t="shared" si="0"/>
        <v>-1</v>
      </c>
      <c r="E25" s="27">
        <f>整車!G25</f>
        <v>0</v>
      </c>
      <c r="F25" s="549">
        <f>VLOOKUP(A25,[2]進出口值表查詢結果!$A$10:$C$57,2,0)</f>
        <v>790038</v>
      </c>
      <c r="G25" s="515">
        <f t="shared" si="1"/>
        <v>-1</v>
      </c>
      <c r="H25" s="87">
        <f t="shared" si="5"/>
        <v>0</v>
      </c>
      <c r="I25" s="88">
        <f t="shared" si="6"/>
        <v>434.08681318681317</v>
      </c>
      <c r="J25" s="515">
        <f t="shared" si="4"/>
        <v>-1</v>
      </c>
    </row>
    <row r="26" spans="1:10">
      <c r="A26" s="454" t="s">
        <v>207</v>
      </c>
      <c r="B26" s="27">
        <f>整車!E26</f>
        <v>0</v>
      </c>
      <c r="C26" s="89">
        <v>0</v>
      </c>
      <c r="D26" s="515">
        <f t="shared" si="0"/>
        <v>0</v>
      </c>
      <c r="E26" s="27">
        <f>整車!G26</f>
        <v>0</v>
      </c>
      <c r="F26" s="549">
        <v>0</v>
      </c>
      <c r="G26" s="515">
        <f t="shared" si="1"/>
        <v>0</v>
      </c>
      <c r="H26" s="87">
        <f t="shared" si="5"/>
        <v>0</v>
      </c>
      <c r="I26" s="88">
        <f t="shared" si="6"/>
        <v>0</v>
      </c>
      <c r="J26" s="515">
        <f t="shared" si="4"/>
        <v>0</v>
      </c>
    </row>
    <row r="27" spans="1:10">
      <c r="A27" s="456" t="s">
        <v>208</v>
      </c>
      <c r="B27" s="27">
        <f>整車!E27</f>
        <v>1171</v>
      </c>
      <c r="C27" s="89">
        <f>VLOOKUP(A27,[2]進出口值表查詢結果!$A$10:$C$57,3,0)</f>
        <v>770</v>
      </c>
      <c r="D27" s="515">
        <f t="shared" si="0"/>
        <v>0.52077922077922079</v>
      </c>
      <c r="E27" s="27">
        <f>整車!G27</f>
        <v>540468</v>
      </c>
      <c r="F27" s="549">
        <f>VLOOKUP(A27,[2]進出口值表查詢結果!$A$10:$C$57,2,0)</f>
        <v>676607</v>
      </c>
      <c r="G27" s="515">
        <f t="shared" si="1"/>
        <v>-0.20120838241401581</v>
      </c>
      <c r="H27" s="87">
        <f t="shared" si="5"/>
        <v>461.54397950469684</v>
      </c>
      <c r="I27" s="88">
        <f t="shared" si="6"/>
        <v>878.7103896103896</v>
      </c>
      <c r="J27" s="515">
        <f t="shared" si="4"/>
        <v>-0.47474846665994208</v>
      </c>
    </row>
    <row r="28" spans="1:10">
      <c r="A28" s="456" t="s">
        <v>209</v>
      </c>
      <c r="B28" s="27">
        <f>整車!E28</f>
        <v>551</v>
      </c>
      <c r="C28" s="89">
        <f>VLOOKUP(A28,[2]進出口值表查詢結果!$A$10:$C$57,3,0)</f>
        <v>1098</v>
      </c>
      <c r="D28" s="515">
        <f t="shared" si="0"/>
        <v>-0.4981785063752277</v>
      </c>
      <c r="E28" s="27">
        <f>整車!G28</f>
        <v>127820</v>
      </c>
      <c r="F28" s="549">
        <f>VLOOKUP(A28,[2]進出口值表查詢結果!$A$10:$C$57,2,0)</f>
        <v>723234</v>
      </c>
      <c r="G28" s="515">
        <f t="shared" si="1"/>
        <v>-0.82326605220440408</v>
      </c>
      <c r="H28" s="87">
        <f t="shared" si="5"/>
        <v>231.97822141560798</v>
      </c>
      <c r="I28" s="88">
        <f t="shared" si="6"/>
        <v>658.68306010928961</v>
      </c>
      <c r="J28" s="515">
        <f t="shared" si="4"/>
        <v>-0.64781510947447496</v>
      </c>
    </row>
    <row r="29" spans="1:10">
      <c r="A29" s="455" t="s">
        <v>210</v>
      </c>
      <c r="B29" s="27">
        <f>整車!E29</f>
        <v>0</v>
      </c>
      <c r="C29" s="89">
        <v>0</v>
      </c>
      <c r="D29" s="515">
        <f t="shared" si="0"/>
        <v>0</v>
      </c>
      <c r="E29" s="27">
        <f>整車!G29</f>
        <v>0</v>
      </c>
      <c r="F29" s="549">
        <v>0</v>
      </c>
      <c r="G29" s="515">
        <f t="shared" si="1"/>
        <v>0</v>
      </c>
      <c r="H29" s="87">
        <f t="shared" si="5"/>
        <v>0</v>
      </c>
      <c r="I29" s="88">
        <f t="shared" si="6"/>
        <v>0</v>
      </c>
      <c r="J29" s="515">
        <f t="shared" si="4"/>
        <v>0</v>
      </c>
    </row>
    <row r="30" spans="1:10">
      <c r="A30" s="455" t="s">
        <v>211</v>
      </c>
      <c r="B30" s="27">
        <f>整車!E30</f>
        <v>0</v>
      </c>
      <c r="C30" s="89">
        <v>0</v>
      </c>
      <c r="D30" s="515">
        <f t="shared" si="0"/>
        <v>0</v>
      </c>
      <c r="E30" s="27">
        <f>整車!G30</f>
        <v>0</v>
      </c>
      <c r="F30" s="549">
        <v>0</v>
      </c>
      <c r="G30" s="515">
        <f t="shared" si="1"/>
        <v>0</v>
      </c>
      <c r="H30" s="87">
        <f t="shared" si="5"/>
        <v>0</v>
      </c>
      <c r="I30" s="88">
        <f t="shared" si="6"/>
        <v>0</v>
      </c>
      <c r="J30" s="515">
        <f t="shared" si="4"/>
        <v>0</v>
      </c>
    </row>
    <row r="31" spans="1:10">
      <c r="A31" s="455" t="s">
        <v>16</v>
      </c>
      <c r="B31" s="27">
        <f>整車!E31</f>
        <v>0</v>
      </c>
      <c r="C31" s="89">
        <v>0</v>
      </c>
      <c r="D31" s="515">
        <f t="shared" si="0"/>
        <v>0</v>
      </c>
      <c r="E31" s="390">
        <f>整車!G31</f>
        <v>0</v>
      </c>
      <c r="F31" s="549">
        <v>0</v>
      </c>
      <c r="G31" s="515">
        <f t="shared" si="1"/>
        <v>0</v>
      </c>
      <c r="H31" s="87">
        <f t="shared" si="5"/>
        <v>0</v>
      </c>
      <c r="I31" s="88">
        <f t="shared" si="6"/>
        <v>0</v>
      </c>
      <c r="J31" s="515">
        <f t="shared" si="4"/>
        <v>0</v>
      </c>
    </row>
    <row r="32" spans="1:10">
      <c r="A32" s="455" t="s">
        <v>17</v>
      </c>
      <c r="B32" s="27">
        <f>整車!E32</f>
        <v>0</v>
      </c>
      <c r="C32" s="89">
        <v>0</v>
      </c>
      <c r="D32" s="515">
        <f t="shared" si="0"/>
        <v>0</v>
      </c>
      <c r="E32" s="27">
        <f>整車!G32</f>
        <v>0</v>
      </c>
      <c r="F32" s="549">
        <v>0</v>
      </c>
      <c r="G32" s="515">
        <f t="shared" si="1"/>
        <v>0</v>
      </c>
      <c r="H32" s="87">
        <f t="shared" si="5"/>
        <v>0</v>
      </c>
      <c r="I32" s="88">
        <f t="shared" si="6"/>
        <v>0</v>
      </c>
      <c r="J32" s="515">
        <f t="shared" si="4"/>
        <v>0</v>
      </c>
    </row>
    <row r="33" spans="1:10">
      <c r="A33" s="455" t="s">
        <v>212</v>
      </c>
      <c r="B33" s="27">
        <f>整車!E33</f>
        <v>277</v>
      </c>
      <c r="C33" s="89">
        <v>0</v>
      </c>
      <c r="D33" s="515">
        <f t="shared" si="0"/>
        <v>0</v>
      </c>
      <c r="E33" s="27">
        <f>整車!G33</f>
        <v>91579</v>
      </c>
      <c r="F33" s="549">
        <v>0</v>
      </c>
      <c r="G33" s="515">
        <f t="shared" si="1"/>
        <v>0</v>
      </c>
      <c r="H33" s="87">
        <f t="shared" si="5"/>
        <v>330.61010830324909</v>
      </c>
      <c r="I33" s="88">
        <f t="shared" si="6"/>
        <v>0</v>
      </c>
      <c r="J33" s="515">
        <f t="shared" si="4"/>
        <v>0</v>
      </c>
    </row>
    <row r="34" spans="1:10">
      <c r="A34" s="455" t="s">
        <v>213</v>
      </c>
      <c r="B34" s="27">
        <f>整車!E34</f>
        <v>0</v>
      </c>
      <c r="C34" s="89">
        <v>0</v>
      </c>
      <c r="D34" s="515">
        <f t="shared" si="0"/>
        <v>0</v>
      </c>
      <c r="E34" s="27">
        <f>整車!G34</f>
        <v>0</v>
      </c>
      <c r="F34" s="549">
        <v>0</v>
      </c>
      <c r="G34" s="515">
        <f t="shared" si="1"/>
        <v>0</v>
      </c>
      <c r="H34" s="87">
        <f t="shared" si="5"/>
        <v>0</v>
      </c>
      <c r="I34" s="88">
        <f t="shared" si="6"/>
        <v>0</v>
      </c>
      <c r="J34" s="515">
        <f t="shared" si="4"/>
        <v>0</v>
      </c>
    </row>
    <row r="35" spans="1:10">
      <c r="A35" s="455" t="s">
        <v>214</v>
      </c>
      <c r="B35" s="27">
        <f>整車!E35</f>
        <v>0</v>
      </c>
      <c r="C35" s="89">
        <v>0</v>
      </c>
      <c r="D35" s="515">
        <f t="shared" si="0"/>
        <v>0</v>
      </c>
      <c r="E35" s="27">
        <f>整車!G35</f>
        <v>0</v>
      </c>
      <c r="F35" s="549">
        <v>0</v>
      </c>
      <c r="G35" s="515">
        <f t="shared" si="1"/>
        <v>0</v>
      </c>
      <c r="H35" s="87">
        <f t="shared" si="5"/>
        <v>0</v>
      </c>
      <c r="I35" s="88">
        <f t="shared" si="6"/>
        <v>0</v>
      </c>
      <c r="J35" s="515">
        <f t="shared" si="4"/>
        <v>0</v>
      </c>
    </row>
    <row r="36" spans="1:10">
      <c r="A36" s="455" t="s">
        <v>215</v>
      </c>
      <c r="B36" s="27">
        <f>整車!E36</f>
        <v>0</v>
      </c>
      <c r="C36" s="89">
        <f>VLOOKUP(A36,[2]進出口值表查詢結果!$A$10:$C$57,3,0)</f>
        <v>128</v>
      </c>
      <c r="D36" s="515">
        <f t="shared" si="0"/>
        <v>-1</v>
      </c>
      <c r="E36" s="27">
        <f>整車!G36</f>
        <v>0</v>
      </c>
      <c r="F36" s="549">
        <f>VLOOKUP(A36,[2]進出口值表查詢結果!$A$10:$C$57,2,0)</f>
        <v>17159</v>
      </c>
      <c r="G36" s="515">
        <f t="shared" si="1"/>
        <v>-1</v>
      </c>
      <c r="H36" s="87">
        <f t="shared" si="5"/>
        <v>0</v>
      </c>
      <c r="I36" s="88">
        <f t="shared" si="6"/>
        <v>134.0546875</v>
      </c>
      <c r="J36" s="515">
        <f t="shared" si="4"/>
        <v>-1</v>
      </c>
    </row>
    <row r="37" spans="1:10">
      <c r="A37" s="455" t="s">
        <v>216</v>
      </c>
      <c r="B37" s="27">
        <f>整車!E37</f>
        <v>0</v>
      </c>
      <c r="C37" s="89">
        <v>0</v>
      </c>
      <c r="D37" s="515">
        <f t="shared" si="0"/>
        <v>0</v>
      </c>
      <c r="E37" s="27">
        <f>整車!G37</f>
        <v>0</v>
      </c>
      <c r="F37" s="549">
        <v>0</v>
      </c>
      <c r="G37" s="515">
        <f t="shared" si="1"/>
        <v>0</v>
      </c>
      <c r="H37" s="87">
        <f t="shared" si="5"/>
        <v>0</v>
      </c>
      <c r="I37" s="88">
        <f t="shared" si="6"/>
        <v>0</v>
      </c>
      <c r="J37" s="515">
        <f t="shared" si="4"/>
        <v>0</v>
      </c>
    </row>
    <row r="38" spans="1:10">
      <c r="A38" s="455" t="s">
        <v>217</v>
      </c>
      <c r="B38" s="27">
        <f>整車!E38</f>
        <v>0</v>
      </c>
      <c r="C38" s="89">
        <v>0</v>
      </c>
      <c r="D38" s="515">
        <f t="shared" si="0"/>
        <v>0</v>
      </c>
      <c r="E38" s="27">
        <f>整車!G38</f>
        <v>0</v>
      </c>
      <c r="F38" s="549">
        <v>0</v>
      </c>
      <c r="G38" s="515">
        <f t="shared" si="1"/>
        <v>0</v>
      </c>
      <c r="H38" s="87">
        <f t="shared" si="5"/>
        <v>0</v>
      </c>
      <c r="I38" s="88">
        <f t="shared" si="6"/>
        <v>0</v>
      </c>
      <c r="J38" s="515">
        <f t="shared" si="4"/>
        <v>0</v>
      </c>
    </row>
    <row r="39" spans="1:10">
      <c r="A39" s="455" t="s">
        <v>18</v>
      </c>
      <c r="B39" s="27">
        <f>整車!E39</f>
        <v>0</v>
      </c>
      <c r="C39" s="89">
        <v>0</v>
      </c>
      <c r="D39" s="515">
        <f t="shared" si="0"/>
        <v>0</v>
      </c>
      <c r="E39" s="27">
        <f>整車!G39</f>
        <v>0</v>
      </c>
      <c r="F39" s="549">
        <v>0</v>
      </c>
      <c r="G39" s="515">
        <f t="shared" si="1"/>
        <v>0</v>
      </c>
      <c r="H39" s="87">
        <f t="shared" si="5"/>
        <v>0</v>
      </c>
      <c r="I39" s="88">
        <f t="shared" si="6"/>
        <v>0</v>
      </c>
      <c r="J39" s="515">
        <f t="shared" si="4"/>
        <v>0</v>
      </c>
    </row>
    <row r="40" spans="1:10">
      <c r="A40" s="30"/>
      <c r="B40" s="27"/>
      <c r="C40" s="90"/>
      <c r="D40" s="515"/>
      <c r="E40" s="27"/>
      <c r="F40" s="550"/>
      <c r="G40" s="515"/>
      <c r="H40" s="87"/>
      <c r="I40" s="88"/>
      <c r="J40" s="515"/>
    </row>
    <row r="41" spans="1:10" ht="16.149999999999999" customHeight="1">
      <c r="A41" s="36" t="s">
        <v>19</v>
      </c>
      <c r="B41" s="33">
        <f>SUM(B42:B45)</f>
        <v>2286</v>
      </c>
      <c r="C41" s="91">
        <f>SUM(C42:C45)</f>
        <v>2311</v>
      </c>
      <c r="D41" s="515">
        <f t="shared" si="0"/>
        <v>-1.0817827780181739E-2</v>
      </c>
      <c r="E41" s="33">
        <f>SUM(E42:E45)</f>
        <v>1216632</v>
      </c>
      <c r="F41" s="551">
        <f>SUM(F42:F45)</f>
        <v>2747172</v>
      </c>
      <c r="G41" s="515">
        <f t="shared" si="1"/>
        <v>-0.55713293525123286</v>
      </c>
      <c r="H41" s="87">
        <f t="shared" si="5"/>
        <v>532.20997375328079</v>
      </c>
      <c r="I41" s="88">
        <f t="shared" si="6"/>
        <v>1188.7373431414971</v>
      </c>
      <c r="J41" s="515">
        <f t="shared" si="4"/>
        <v>-0.55228968213718255</v>
      </c>
    </row>
    <row r="42" spans="1:10">
      <c r="A42" s="454" t="s">
        <v>218</v>
      </c>
      <c r="B42" s="27">
        <f>整車!E42</f>
        <v>1316</v>
      </c>
      <c r="C42" s="89">
        <f>VLOOKUP(A42,[2]進出口值表查詢結果!$A$10:$C$57,3,0)</f>
        <v>1231</v>
      </c>
      <c r="D42" s="515">
        <f t="shared" si="0"/>
        <v>6.9049553208773359E-2</v>
      </c>
      <c r="E42" s="27">
        <f>整車!G42</f>
        <v>775160</v>
      </c>
      <c r="F42" s="549">
        <f>VLOOKUP(A42,[2]進出口值表查詢結果!$A$10:$C$57,2,0)</f>
        <v>2056877</v>
      </c>
      <c r="G42" s="515">
        <f t="shared" si="1"/>
        <v>-0.62313740685514984</v>
      </c>
      <c r="H42" s="87">
        <f t="shared" si="5"/>
        <v>589.02735562310033</v>
      </c>
      <c r="I42" s="88">
        <f t="shared" si="6"/>
        <v>1670.8992688870837</v>
      </c>
      <c r="J42" s="515">
        <f t="shared" si="4"/>
        <v>-0.64747883574368503</v>
      </c>
    </row>
    <row r="43" spans="1:10">
      <c r="A43" s="454" t="s">
        <v>219</v>
      </c>
      <c r="B43" s="27">
        <f>整車!E43</f>
        <v>330</v>
      </c>
      <c r="C43" s="89">
        <f>VLOOKUP(A43,[2]進出口值表查詢結果!$A$10:$C$57,3,0)</f>
        <v>1080</v>
      </c>
      <c r="D43" s="515">
        <f t="shared" si="0"/>
        <v>-0.69444444444444442</v>
      </c>
      <c r="E43" s="27">
        <f>整車!G43</f>
        <v>346154</v>
      </c>
      <c r="F43" s="549">
        <f>VLOOKUP(A43,[2]進出口值表查詢結果!$A$10:$C$57,2,0)</f>
        <v>690295</v>
      </c>
      <c r="G43" s="515">
        <f t="shared" si="1"/>
        <v>-0.4985419277265517</v>
      </c>
      <c r="H43" s="87">
        <f t="shared" si="5"/>
        <v>1048.9515151515152</v>
      </c>
      <c r="I43" s="88">
        <f t="shared" si="6"/>
        <v>639.16203703703707</v>
      </c>
      <c r="J43" s="515">
        <f t="shared" si="4"/>
        <v>0.64113550925855811</v>
      </c>
    </row>
    <row r="44" spans="1:10">
      <c r="A44" s="454" t="s">
        <v>220</v>
      </c>
      <c r="B44" s="27">
        <f>整車!E44</f>
        <v>640</v>
      </c>
      <c r="C44" s="89">
        <v>0</v>
      </c>
      <c r="D44" s="515">
        <f t="shared" si="0"/>
        <v>0</v>
      </c>
      <c r="E44" s="27">
        <f>整車!G44</f>
        <v>95318</v>
      </c>
      <c r="F44" s="549">
        <v>0</v>
      </c>
      <c r="G44" s="515">
        <f t="shared" si="1"/>
        <v>0</v>
      </c>
      <c r="H44" s="87">
        <f t="shared" si="5"/>
        <v>148.93437499999999</v>
      </c>
      <c r="I44" s="88">
        <f t="shared" si="6"/>
        <v>0</v>
      </c>
      <c r="J44" s="515">
        <f t="shared" si="4"/>
        <v>0</v>
      </c>
    </row>
    <row r="45" spans="1:10">
      <c r="A45" s="30" t="s">
        <v>20</v>
      </c>
      <c r="B45" s="27">
        <f>整車!E45</f>
        <v>0</v>
      </c>
      <c r="C45" s="89">
        <v>0</v>
      </c>
      <c r="D45" s="515">
        <f t="shared" si="0"/>
        <v>0</v>
      </c>
      <c r="E45" s="27">
        <f>整車!G45</f>
        <v>0</v>
      </c>
      <c r="F45" s="549">
        <v>0</v>
      </c>
      <c r="G45" s="515">
        <f t="shared" si="1"/>
        <v>0</v>
      </c>
      <c r="H45" s="87">
        <f t="shared" si="5"/>
        <v>0</v>
      </c>
      <c r="I45" s="88">
        <f t="shared" si="6"/>
        <v>0</v>
      </c>
      <c r="J45" s="515">
        <f t="shared" si="4"/>
        <v>0</v>
      </c>
    </row>
    <row r="46" spans="1:10" ht="17.45" customHeight="1">
      <c r="A46" s="30"/>
      <c r="B46" s="27"/>
      <c r="C46" s="90"/>
      <c r="D46" s="515"/>
      <c r="E46" s="27"/>
      <c r="F46" s="550"/>
      <c r="G46" s="515"/>
      <c r="H46" s="87"/>
      <c r="I46" s="88"/>
      <c r="J46" s="515"/>
    </row>
    <row r="47" spans="1:10">
      <c r="A47" s="36" t="s">
        <v>21</v>
      </c>
      <c r="B47" s="33">
        <f>SUM(B48:B65)</f>
        <v>12487</v>
      </c>
      <c r="C47" s="91">
        <f>SUM(C48:C65)</f>
        <v>21162</v>
      </c>
      <c r="D47" s="515">
        <f t="shared" si="0"/>
        <v>-0.40993289859181553</v>
      </c>
      <c r="E47" s="33">
        <f>SUM(E48:E65)</f>
        <v>14023015</v>
      </c>
      <c r="F47" s="551">
        <f>SUM(F48:F65)</f>
        <v>24614138</v>
      </c>
      <c r="G47" s="515">
        <f t="shared" si="1"/>
        <v>-0.43028616317987656</v>
      </c>
      <c r="H47" s="87">
        <f t="shared" si="5"/>
        <v>1123.0091294946744</v>
      </c>
      <c r="I47" s="88">
        <f t="shared" si="6"/>
        <v>1163.1290993289858</v>
      </c>
      <c r="J47" s="515">
        <f t="shared" si="4"/>
        <v>-3.449313567810898E-2</v>
      </c>
    </row>
    <row r="48" spans="1:10">
      <c r="A48" s="486" t="s">
        <v>161</v>
      </c>
      <c r="B48" s="27">
        <f>整車!E48</f>
        <v>3877</v>
      </c>
      <c r="C48" s="89">
        <f>VLOOKUP(A48,[2]進出口值表查詢結果!$A$10:$C$57,3,0)</f>
        <v>3229</v>
      </c>
      <c r="D48" s="515">
        <f>IF(C48,(B48-C48)/C48,0)</f>
        <v>0.2006813254877671</v>
      </c>
      <c r="E48" s="27">
        <f>整車!G48</f>
        <v>3605262</v>
      </c>
      <c r="F48" s="549">
        <f>VLOOKUP(A48,[2]進出口值表查詢結果!$A$10:$C$57,2,0)</f>
        <v>4135119</v>
      </c>
      <c r="G48" s="515">
        <f t="shared" si="1"/>
        <v>-0.12813585292224963</v>
      </c>
      <c r="H48" s="87">
        <f t="shared" si="5"/>
        <v>929.91023987619292</v>
      </c>
      <c r="I48" s="88">
        <f>IF(C48,F48/C48,0)</f>
        <v>1280.6190771136576</v>
      </c>
      <c r="J48" s="515">
        <f t="shared" si="4"/>
        <v>-0.27385882617641072</v>
      </c>
    </row>
    <row r="49" spans="1:10">
      <c r="A49" s="454" t="s">
        <v>221</v>
      </c>
      <c r="B49" s="27">
        <f>整車!E49</f>
        <v>1374</v>
      </c>
      <c r="C49" s="89">
        <f>VLOOKUP(A49,[2]進出口值表查詢結果!$A$10:$C$57,3,0)</f>
        <v>3683</v>
      </c>
      <c r="D49" s="515">
        <f>IF(C49,(B49-C49)/C49,0)</f>
        <v>-0.62693456421395599</v>
      </c>
      <c r="E49" s="27">
        <f>整車!G49</f>
        <v>883489</v>
      </c>
      <c r="F49" s="549">
        <f>VLOOKUP(A49,[2]進出口值表查詢結果!$A$10:$C$57,2,0)</f>
        <v>3425193</v>
      </c>
      <c r="G49" s="515">
        <f t="shared" si="1"/>
        <v>-0.7420615422255038</v>
      </c>
      <c r="H49" s="87">
        <f t="shared" si="5"/>
        <v>643.00509461426498</v>
      </c>
      <c r="I49" s="88">
        <f>IF(C49,F49/C49,0)</f>
        <v>930.00081455335328</v>
      </c>
      <c r="J49" s="515">
        <f t="shared" si="4"/>
        <v>-0.30859727803240933</v>
      </c>
    </row>
    <row r="50" spans="1:10">
      <c r="A50" s="291" t="s">
        <v>222</v>
      </c>
      <c r="B50" s="27">
        <f>整車!E50</f>
        <v>315</v>
      </c>
      <c r="C50" s="89">
        <f>VLOOKUP(A50,[2]進出口值表查詢結果!$A$10:$C$57,3,0)</f>
        <v>199</v>
      </c>
      <c r="D50" s="515">
        <f t="shared" si="0"/>
        <v>0.58291457286432158</v>
      </c>
      <c r="E50" s="27">
        <f>整車!G50</f>
        <v>172271</v>
      </c>
      <c r="F50" s="549">
        <f>VLOOKUP(A50,[2]進出口值表查詢結果!$A$10:$C$57,2,0)</f>
        <v>155077</v>
      </c>
      <c r="G50" s="515">
        <f t="shared" si="1"/>
        <v>0.11087395293950747</v>
      </c>
      <c r="H50" s="87">
        <f t="shared" si="5"/>
        <v>546.89206349206347</v>
      </c>
      <c r="I50" s="88">
        <f t="shared" si="6"/>
        <v>779.2814070351759</v>
      </c>
      <c r="J50" s="515">
        <f t="shared" si="4"/>
        <v>-0.29820978846043816</v>
      </c>
    </row>
    <row r="51" spans="1:10">
      <c r="A51" s="454" t="s">
        <v>223</v>
      </c>
      <c r="B51" s="27">
        <f>整車!E51</f>
        <v>124</v>
      </c>
      <c r="C51" s="89">
        <v>0</v>
      </c>
      <c r="D51" s="515">
        <f t="shared" si="0"/>
        <v>0</v>
      </c>
      <c r="E51" s="27">
        <f>整車!G51</f>
        <v>214685</v>
      </c>
      <c r="F51" s="549">
        <v>0</v>
      </c>
      <c r="G51" s="515">
        <f t="shared" si="1"/>
        <v>0</v>
      </c>
      <c r="H51" s="87">
        <f t="shared" si="5"/>
        <v>1731.3306451612902</v>
      </c>
      <c r="I51" s="88">
        <f t="shared" si="6"/>
        <v>0</v>
      </c>
      <c r="J51" s="515">
        <f t="shared" si="4"/>
        <v>0</v>
      </c>
    </row>
    <row r="52" spans="1:10">
      <c r="A52" s="455" t="s">
        <v>22</v>
      </c>
      <c r="B52" s="27">
        <f>整車!E52</f>
        <v>40</v>
      </c>
      <c r="C52" s="89">
        <f>VLOOKUP(A52,[2]進出口值表查詢結果!$A$10:$C$57,3,0)</f>
        <v>182</v>
      </c>
      <c r="D52" s="515">
        <f t="shared" si="0"/>
        <v>-0.78021978021978022</v>
      </c>
      <c r="E52" s="27">
        <f>整車!G52</f>
        <v>8240</v>
      </c>
      <c r="F52" s="549">
        <f>VLOOKUP(A52,[2]進出口值表查詢結果!$A$10:$C$57,2,0)</f>
        <v>265585</v>
      </c>
      <c r="G52" s="515">
        <f t="shared" si="1"/>
        <v>-0.9689741514016228</v>
      </c>
      <c r="H52" s="87">
        <f t="shared" si="5"/>
        <v>206</v>
      </c>
      <c r="I52" s="88">
        <f t="shared" si="6"/>
        <v>1459.2582417582419</v>
      </c>
      <c r="J52" s="515">
        <f t="shared" si="4"/>
        <v>-0.85883238887738389</v>
      </c>
    </row>
    <row r="53" spans="1:10">
      <c r="A53" s="454" t="s">
        <v>224</v>
      </c>
      <c r="B53" s="27">
        <f>整車!E53</f>
        <v>109</v>
      </c>
      <c r="C53" s="89">
        <f>VLOOKUP(A53,[2]進出口值表查詢結果!$A$10:$C$57,3,0)</f>
        <v>69</v>
      </c>
      <c r="D53" s="515">
        <f t="shared" si="0"/>
        <v>0.57971014492753625</v>
      </c>
      <c r="E53" s="27">
        <f>整車!G53</f>
        <v>147066</v>
      </c>
      <c r="F53" s="549">
        <f>VLOOKUP(A53,[2]進出口值表查詢結果!$A$10:$C$57,2,0)</f>
        <v>48683</v>
      </c>
      <c r="G53" s="515">
        <f t="shared" si="1"/>
        <v>2.0208902491629521</v>
      </c>
      <c r="H53" s="87">
        <f t="shared" si="5"/>
        <v>1349.2293577981652</v>
      </c>
      <c r="I53" s="88">
        <f t="shared" si="6"/>
        <v>705.55072463768113</v>
      </c>
      <c r="J53" s="515">
        <f t="shared" si="4"/>
        <v>0.91230667148847444</v>
      </c>
    </row>
    <row r="54" spans="1:10">
      <c r="A54" s="455" t="s">
        <v>225</v>
      </c>
      <c r="B54" s="27">
        <f>整車!E54</f>
        <v>2689</v>
      </c>
      <c r="C54" s="89">
        <f>VLOOKUP(A54,[2]進出口值表查詢結果!$A$10:$C$57,3,0)</f>
        <v>1755</v>
      </c>
      <c r="D54" s="515">
        <f t="shared" si="0"/>
        <v>0.53219373219373223</v>
      </c>
      <c r="E54" s="27">
        <f>整車!G54</f>
        <v>2445817</v>
      </c>
      <c r="F54" s="549">
        <f>VLOOKUP(A54,[2]進出口值表查詢結果!$A$10:$C$57,2,0)</f>
        <v>2578278</v>
      </c>
      <c r="G54" s="515">
        <f t="shared" si="1"/>
        <v>-5.1375763203192211E-2</v>
      </c>
      <c r="H54" s="87">
        <f t="shared" si="5"/>
        <v>909.56377835626631</v>
      </c>
      <c r="I54" s="88">
        <f t="shared" si="6"/>
        <v>1469.1042735042736</v>
      </c>
      <c r="J54" s="515">
        <f t="shared" si="4"/>
        <v>-0.3808718722281898</v>
      </c>
    </row>
    <row r="55" spans="1:10">
      <c r="A55" s="455" t="s">
        <v>23</v>
      </c>
      <c r="B55" s="27">
        <f>整車!E55</f>
        <v>222</v>
      </c>
      <c r="C55" s="89">
        <v>0</v>
      </c>
      <c r="D55" s="515">
        <f t="shared" si="0"/>
        <v>0</v>
      </c>
      <c r="E55" s="27">
        <f>整車!G55</f>
        <v>212101</v>
      </c>
      <c r="F55" s="549">
        <v>0</v>
      </c>
      <c r="G55" s="515">
        <f t="shared" si="1"/>
        <v>0</v>
      </c>
      <c r="H55" s="87">
        <f t="shared" si="5"/>
        <v>955.40990990990986</v>
      </c>
      <c r="I55" s="88">
        <f t="shared" si="6"/>
        <v>0</v>
      </c>
      <c r="J55" s="515">
        <f t="shared" si="4"/>
        <v>0</v>
      </c>
    </row>
    <row r="56" spans="1:10">
      <c r="A56" s="455" t="s">
        <v>226</v>
      </c>
      <c r="B56" s="27">
        <f>整車!E56</f>
        <v>2160</v>
      </c>
      <c r="C56" s="89">
        <f>VLOOKUP(A56,[2]進出口值表查詢結果!$A$10:$C$57,3,0)</f>
        <v>10880</v>
      </c>
      <c r="D56" s="515">
        <f t="shared" si="0"/>
        <v>-0.80147058823529416</v>
      </c>
      <c r="E56" s="27">
        <f>整車!G56</f>
        <v>3722377</v>
      </c>
      <c r="F56" s="549">
        <f>VLOOKUP(A56,[2]進出口值表查詢結果!$A$10:$C$57,2,0)</f>
        <v>12111955</v>
      </c>
      <c r="G56" s="515">
        <f t="shared" si="1"/>
        <v>-0.69266918511503717</v>
      </c>
      <c r="H56" s="87">
        <f t="shared" si="5"/>
        <v>1723.3226851851853</v>
      </c>
      <c r="I56" s="88">
        <f t="shared" si="6"/>
        <v>1113.2311580882354</v>
      </c>
      <c r="J56" s="515">
        <f t="shared" si="4"/>
        <v>0.54803669719833126</v>
      </c>
    </row>
    <row r="57" spans="1:10">
      <c r="A57" s="457" t="s">
        <v>227</v>
      </c>
      <c r="B57" s="27">
        <f>整車!E57</f>
        <v>1113</v>
      </c>
      <c r="C57" s="89">
        <f>VLOOKUP(A57,[2]進出口值表查詢結果!$A$10:$C$57,3,0)</f>
        <v>754</v>
      </c>
      <c r="D57" s="515">
        <f t="shared" si="0"/>
        <v>0.47612732095490717</v>
      </c>
      <c r="E57" s="27">
        <f>整車!G57</f>
        <v>1956341</v>
      </c>
      <c r="F57" s="549">
        <f>VLOOKUP(A57,[2]進出口值表查詢結果!$A$10:$C$57,2,0)</f>
        <v>1399647</v>
      </c>
      <c r="G57" s="515">
        <f t="shared" si="1"/>
        <v>0.39773885844073542</v>
      </c>
      <c r="H57" s="87">
        <f t="shared" si="5"/>
        <v>1757.7187780772686</v>
      </c>
      <c r="I57" s="88">
        <f t="shared" si="6"/>
        <v>1856.2957559681697</v>
      </c>
      <c r="J57" s="515">
        <f t="shared" si="4"/>
        <v>-5.3104133634937579E-2</v>
      </c>
    </row>
    <row r="58" spans="1:10">
      <c r="A58" s="455" t="s">
        <v>24</v>
      </c>
      <c r="B58" s="27">
        <f>整車!E58</f>
        <v>0</v>
      </c>
      <c r="C58" s="89">
        <v>0</v>
      </c>
      <c r="D58" s="515">
        <f t="shared" si="0"/>
        <v>0</v>
      </c>
      <c r="E58" s="27">
        <f>整車!G58</f>
        <v>0</v>
      </c>
      <c r="F58" s="549">
        <v>0</v>
      </c>
      <c r="G58" s="515">
        <f t="shared" si="1"/>
        <v>0</v>
      </c>
      <c r="H58" s="87">
        <f t="shared" si="5"/>
        <v>0</v>
      </c>
      <c r="I58" s="88">
        <f t="shared" si="6"/>
        <v>0</v>
      </c>
      <c r="J58" s="515">
        <f t="shared" si="4"/>
        <v>0</v>
      </c>
    </row>
    <row r="59" spans="1:10">
      <c r="A59" s="455" t="s">
        <v>25</v>
      </c>
      <c r="B59" s="27">
        <f>整車!E59</f>
        <v>0</v>
      </c>
      <c r="C59" s="89">
        <f>VLOOKUP(A59,[2]進出口值表查詢結果!$A$10:$C$57,3,0)</f>
        <v>90</v>
      </c>
      <c r="D59" s="515">
        <f t="shared" si="0"/>
        <v>-1</v>
      </c>
      <c r="E59" s="27">
        <f>整車!G59</f>
        <v>0</v>
      </c>
      <c r="F59" s="549">
        <f>VLOOKUP(A59,[2]進出口值表查詢結果!$A$10:$C$57,2,0)</f>
        <v>16677</v>
      </c>
      <c r="G59" s="515">
        <f t="shared" si="1"/>
        <v>-1</v>
      </c>
      <c r="H59" s="87">
        <f t="shared" si="5"/>
        <v>0</v>
      </c>
      <c r="I59" s="88">
        <f t="shared" si="6"/>
        <v>185.3</v>
      </c>
      <c r="J59" s="515">
        <f t="shared" si="4"/>
        <v>-1</v>
      </c>
    </row>
    <row r="60" spans="1:10">
      <c r="A60" s="455" t="s">
        <v>26</v>
      </c>
      <c r="B60" s="27">
        <f>整車!E60</f>
        <v>131</v>
      </c>
      <c r="C60" s="89">
        <f>VLOOKUP(A60,[2]進出口值表查詢結果!$A$10:$C$57,3,0)</f>
        <v>202</v>
      </c>
      <c r="D60" s="515">
        <f t="shared" si="0"/>
        <v>-0.35148514851485146</v>
      </c>
      <c r="E60" s="27">
        <f>整車!G60</f>
        <v>179750</v>
      </c>
      <c r="F60" s="549">
        <f>VLOOKUP(A60,[2]進出口值表查詢結果!$A$10:$C$57,2,0)</f>
        <v>272397</v>
      </c>
      <c r="G60" s="515">
        <f t="shared" si="1"/>
        <v>-0.34011754901852809</v>
      </c>
      <c r="H60" s="87">
        <f t="shared" si="5"/>
        <v>1372.1374045801526</v>
      </c>
      <c r="I60" s="88">
        <f t="shared" si="6"/>
        <v>1348.5</v>
      </c>
      <c r="J60" s="515">
        <f t="shared" si="4"/>
        <v>1.7528664872193275E-2</v>
      </c>
    </row>
    <row r="61" spans="1:10">
      <c r="A61" s="456" t="s">
        <v>228</v>
      </c>
      <c r="B61" s="27">
        <f>整車!E61</f>
        <v>172</v>
      </c>
      <c r="C61" s="89">
        <v>0</v>
      </c>
      <c r="D61" s="515">
        <f t="shared" si="0"/>
        <v>0</v>
      </c>
      <c r="E61" s="27">
        <f>整車!G61</f>
        <v>237549</v>
      </c>
      <c r="F61" s="549">
        <v>0</v>
      </c>
      <c r="G61" s="515">
        <f t="shared" si="1"/>
        <v>0</v>
      </c>
      <c r="H61" s="87">
        <f t="shared" si="5"/>
        <v>1381.0988372093022</v>
      </c>
      <c r="I61" s="88">
        <f t="shared" si="6"/>
        <v>0</v>
      </c>
      <c r="J61" s="515">
        <f t="shared" si="4"/>
        <v>0</v>
      </c>
    </row>
    <row r="62" spans="1:10">
      <c r="A62" s="455" t="s">
        <v>27</v>
      </c>
      <c r="B62" s="27">
        <f>整車!E62</f>
        <v>103</v>
      </c>
      <c r="C62" s="89">
        <f>VLOOKUP(A62,[2]進出口值表查詢結果!$A$10:$C$57,3,0)</f>
        <v>15</v>
      </c>
      <c r="D62" s="515">
        <f t="shared" si="0"/>
        <v>5.8666666666666663</v>
      </c>
      <c r="E62" s="27">
        <f>整車!G62</f>
        <v>150471</v>
      </c>
      <c r="F62" s="549">
        <f>VLOOKUP(A62,[2]進出口值表查詢結果!$A$10:$C$57,2,0)</f>
        <v>2249</v>
      </c>
      <c r="G62" s="515">
        <f t="shared" si="1"/>
        <v>65.905735882614493</v>
      </c>
      <c r="H62" s="87">
        <f t="shared" si="5"/>
        <v>1460.8834951456311</v>
      </c>
      <c r="I62" s="88">
        <f t="shared" si="6"/>
        <v>149.93333333333334</v>
      </c>
      <c r="J62" s="515">
        <f t="shared" si="4"/>
        <v>8.7435537693127898</v>
      </c>
    </row>
    <row r="63" spans="1:10">
      <c r="A63" s="294" t="s">
        <v>229</v>
      </c>
      <c r="B63" s="27">
        <f>整車!E63</f>
        <v>0</v>
      </c>
      <c r="C63" s="89">
        <v>0</v>
      </c>
      <c r="D63" s="515">
        <f t="shared" si="0"/>
        <v>0</v>
      </c>
      <c r="E63" s="27">
        <f>整車!G63</f>
        <v>0</v>
      </c>
      <c r="F63" s="549">
        <v>0</v>
      </c>
      <c r="G63" s="515">
        <f t="shared" si="1"/>
        <v>0</v>
      </c>
      <c r="H63" s="87">
        <f t="shared" si="5"/>
        <v>0</v>
      </c>
      <c r="I63" s="88">
        <f t="shared" si="6"/>
        <v>0</v>
      </c>
      <c r="J63" s="515">
        <f t="shared" si="4"/>
        <v>0</v>
      </c>
    </row>
    <row r="64" spans="1:10">
      <c r="A64" s="455" t="s">
        <v>28</v>
      </c>
      <c r="B64" s="27">
        <f>整車!E64</f>
        <v>1</v>
      </c>
      <c r="C64" s="89">
        <f>VLOOKUP(A64,[2]進出口值表查詢結果!$A$10:$C$57,3,0)</f>
        <v>38</v>
      </c>
      <c r="D64" s="515">
        <f t="shared" si="0"/>
        <v>-0.97368421052631582</v>
      </c>
      <c r="E64" s="27">
        <f>整車!G64</f>
        <v>15689</v>
      </c>
      <c r="F64" s="549">
        <f>VLOOKUP(A64,[2]進出口值表查詢結果!$A$10:$C$57,2,0)</f>
        <v>87178</v>
      </c>
      <c r="G64" s="515">
        <f t="shared" si="1"/>
        <v>-0.8200348711830967</v>
      </c>
      <c r="H64" s="87">
        <f t="shared" si="5"/>
        <v>15689</v>
      </c>
      <c r="I64" s="88">
        <f t="shared" si="6"/>
        <v>2294.1578947368421</v>
      </c>
      <c r="J64" s="515">
        <f t="shared" si="4"/>
        <v>5.8386748950423275</v>
      </c>
    </row>
    <row r="65" spans="1:10">
      <c r="A65" s="294" t="s">
        <v>230</v>
      </c>
      <c r="B65" s="27">
        <f>整車!E65</f>
        <v>57</v>
      </c>
      <c r="C65" s="89">
        <f>VLOOKUP(A65,[2]進出口值表查詢結果!$A$10:$C$57,3,0)</f>
        <v>66</v>
      </c>
      <c r="D65" s="515">
        <f t="shared" si="0"/>
        <v>-0.13636363636363635</v>
      </c>
      <c r="E65" s="27">
        <f>整車!G65</f>
        <v>71907</v>
      </c>
      <c r="F65" s="549">
        <f>VLOOKUP(A65,[2]進出口值表查詢結果!$A$10:$C$57,2,0)</f>
        <v>116100</v>
      </c>
      <c r="G65" s="515">
        <f t="shared" si="1"/>
        <v>-0.38064599483204137</v>
      </c>
      <c r="H65" s="87">
        <f t="shared" si="5"/>
        <v>1261.5263157894738</v>
      </c>
      <c r="I65" s="88">
        <f t="shared" si="6"/>
        <v>1759.090909090909</v>
      </c>
      <c r="J65" s="515">
        <f t="shared" si="4"/>
        <v>-0.28285325717394255</v>
      </c>
    </row>
    <row r="66" spans="1:10">
      <c r="A66" s="30" t="s">
        <v>29</v>
      </c>
      <c r="B66" s="27">
        <f>B67-B47-B41-B12-B7</f>
        <v>1810</v>
      </c>
      <c r="C66" s="90">
        <f>C67-C47-C41-C12-C7</f>
        <v>1107</v>
      </c>
      <c r="D66" s="515">
        <f t="shared" si="0"/>
        <v>0.63504968383017169</v>
      </c>
      <c r="E66" s="27">
        <f>E67-E47-E41-E12-E7</f>
        <v>2348736</v>
      </c>
      <c r="F66" s="550">
        <f>F67-F47-F41-F12-F7</f>
        <v>1645020</v>
      </c>
      <c r="G66" s="515">
        <f t="shared" si="1"/>
        <v>0.42778568041725934</v>
      </c>
      <c r="H66" s="87">
        <f t="shared" si="5"/>
        <v>1297.6441988950276</v>
      </c>
      <c r="I66" s="88">
        <f t="shared" si="6"/>
        <v>1486.0162601626016</v>
      </c>
      <c r="J66" s="515">
        <f t="shared" si="4"/>
        <v>-0.12676312252933367</v>
      </c>
    </row>
    <row r="67" spans="1:10">
      <c r="A67" s="32" t="s">
        <v>402</v>
      </c>
      <c r="B67" s="33">
        <f>整車!E67</f>
        <v>52420</v>
      </c>
      <c r="C67" s="89">
        <f>VLOOKUP(A67,[2]進出口值表查詢結果!$A$10:$C$57,3,0)</f>
        <v>74922</v>
      </c>
      <c r="D67" s="515">
        <f t="shared" si="0"/>
        <v>-0.30033901924668321</v>
      </c>
      <c r="E67" s="33">
        <f>整車!G67</f>
        <v>48431613</v>
      </c>
      <c r="F67" s="549">
        <f>VLOOKUP(A67,[2]進出口值表查詢結果!$A$10:$C$57,2,0)</f>
        <v>84131970</v>
      </c>
      <c r="G67" s="515">
        <f t="shared" si="1"/>
        <v>-0.42433758534359767</v>
      </c>
      <c r="H67" s="87">
        <f t="shared" ref="H67:I67" si="7">E67/B67</f>
        <v>923.91478443342237</v>
      </c>
      <c r="I67" s="88">
        <f t="shared" si="7"/>
        <v>1122.9274445423241</v>
      </c>
      <c r="J67" s="515">
        <f t="shared" si="4"/>
        <v>-0.17722664191364038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152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483</v>
      </c>
      <c r="B70" s="8" t="s">
        <v>484</v>
      </c>
      <c r="C70" s="71" t="s">
        <v>485</v>
      </c>
      <c r="D70" s="72" t="s">
        <v>157</v>
      </c>
      <c r="E70" s="8" t="s">
        <v>484</v>
      </c>
      <c r="F70" s="71" t="s">
        <v>486</v>
      </c>
      <c r="G70" s="74" t="s">
        <v>158</v>
      </c>
      <c r="H70" s="8" t="s">
        <v>484</v>
      </c>
      <c r="I70" s="71" t="s">
        <v>486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51" t="s">
        <v>1</v>
      </c>
      <c r="E71" s="48" t="s">
        <v>33</v>
      </c>
      <c r="F71" s="107" t="s">
        <v>33</v>
      </c>
      <c r="G71" s="452" t="s">
        <v>1</v>
      </c>
      <c r="H71" s="78" t="s">
        <v>34</v>
      </c>
      <c r="I71" s="79" t="s">
        <v>110</v>
      </c>
      <c r="J71" s="451" t="s">
        <v>1</v>
      </c>
    </row>
    <row r="72" spans="1:10">
      <c r="A72" s="32" t="s">
        <v>30</v>
      </c>
      <c r="B72" s="33">
        <f>整車!E72</f>
        <v>1271</v>
      </c>
      <c r="C72" s="89">
        <v>1098</v>
      </c>
      <c r="D72" s="86">
        <f>(B72-C72)/C72</f>
        <v>0.15755919854280509</v>
      </c>
      <c r="E72" s="33">
        <f>整車!G72</f>
        <v>706443</v>
      </c>
      <c r="F72" s="89">
        <v>559193</v>
      </c>
      <c r="G72" s="93">
        <f>(E72-F72)/F72</f>
        <v>0.26332590000232475</v>
      </c>
      <c r="H72" s="87">
        <f>E72/B72</f>
        <v>555.81667977970108</v>
      </c>
      <c r="I72" s="524">
        <f>F72/C72</f>
        <v>509.28324225865208</v>
      </c>
      <c r="J72" s="92">
        <f>(H72-I72)/I72</f>
        <v>9.1370447051575751E-2</v>
      </c>
    </row>
    <row r="73" spans="1:10" ht="7.5" customHeight="1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60" t="s">
        <v>492</v>
      </c>
      <c r="B74" s="13"/>
      <c r="C74" s="59"/>
      <c r="D74" s="60"/>
      <c r="E74" s="13"/>
      <c r="F74" s="59"/>
      <c r="G74" s="60"/>
      <c r="H74" s="5"/>
      <c r="I74" s="5"/>
      <c r="J74" s="5"/>
    </row>
  </sheetData>
  <phoneticPr fontId="3" type="noConversion"/>
  <conditionalFormatting sqref="D1:D4 D72:D1048576">
    <cfRule type="cellIs" dxfId="72" priority="9" operator="greaterThanOrEqual">
      <formula>0</formula>
    </cfRule>
    <cfRule type="cellIs" dxfId="71" priority="10" operator="lessThan">
      <formula>0</formula>
    </cfRule>
  </conditionalFormatting>
  <conditionalFormatting sqref="D6:J70">
    <cfRule type="cellIs" dxfId="70" priority="1" operator="greaterThanOrEqual">
      <formula>0</formula>
    </cfRule>
    <cfRule type="cellIs" dxfId="69" priority="2" operator="lessThan">
      <formula>0</formula>
    </cfRule>
  </conditionalFormatting>
  <conditionalFormatting sqref="G1:G4 G72:G1048576">
    <cfRule type="cellIs" dxfId="68" priority="7" operator="greaterThanOrEqual">
      <formula>0</formula>
    </cfRule>
    <cfRule type="cellIs" dxfId="67" priority="8" operator="lessThan">
      <formula>0</formula>
    </cfRule>
  </conditionalFormatting>
  <conditionalFormatting sqref="J1:J3 J72:J1048576">
    <cfRule type="cellIs" dxfId="66" priority="5" operator="greaterThanOrEqual">
      <formula>0</formula>
    </cfRule>
    <cfRule type="cellIs" dxfId="65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91" t="s">
        <v>151</v>
      </c>
      <c r="B1" s="392"/>
      <c r="C1" s="392"/>
      <c r="D1" s="392"/>
      <c r="E1" s="392"/>
      <c r="F1" s="392"/>
      <c r="G1" s="392"/>
      <c r="H1" s="392"/>
      <c r="I1" s="392"/>
      <c r="J1" s="393"/>
      <c r="K1" s="394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</row>
    <row r="2" spans="1:27">
      <c r="A2" s="395" t="s">
        <v>231</v>
      </c>
      <c r="B2" s="392"/>
      <c r="C2" s="392"/>
      <c r="D2" s="392"/>
      <c r="E2" s="392"/>
      <c r="F2" s="392"/>
      <c r="G2" s="392"/>
      <c r="H2" s="392"/>
      <c r="I2" s="392"/>
      <c r="J2" s="393"/>
      <c r="K2" s="394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</row>
    <row r="3" spans="1:27">
      <c r="A3" s="396" t="s">
        <v>120</v>
      </c>
      <c r="B3" s="392"/>
      <c r="C3" s="392"/>
      <c r="D3" s="392"/>
      <c r="E3" s="392"/>
      <c r="F3" s="392"/>
      <c r="G3" s="392"/>
      <c r="H3" s="392"/>
      <c r="I3" s="392"/>
      <c r="J3" s="393"/>
      <c r="K3" s="394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</row>
    <row r="4" spans="1:27">
      <c r="A4" s="396" t="s">
        <v>121</v>
      </c>
      <c r="B4" s="392"/>
      <c r="C4" s="392"/>
      <c r="D4" s="392"/>
      <c r="E4" s="392"/>
      <c r="F4" s="392"/>
      <c r="G4" s="392"/>
      <c r="H4" s="392"/>
      <c r="I4" s="392"/>
      <c r="J4" s="393"/>
      <c r="K4" s="394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</row>
    <row r="5" spans="1:27">
      <c r="A5" s="397" t="s">
        <v>122</v>
      </c>
      <c r="B5" s="392"/>
      <c r="C5" s="392"/>
      <c r="D5" s="392"/>
      <c r="E5" s="392"/>
      <c r="F5" s="392"/>
      <c r="G5" s="392"/>
      <c r="H5" s="392"/>
      <c r="I5" s="392"/>
      <c r="J5" s="393"/>
      <c r="K5" s="394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</row>
    <row r="6" spans="1:27">
      <c r="A6" s="398"/>
      <c r="B6" s="399" t="s">
        <v>123</v>
      </c>
      <c r="C6" s="400"/>
      <c r="D6" s="399" t="s">
        <v>124</v>
      </c>
      <c r="E6" s="400"/>
      <c r="F6" s="399" t="s">
        <v>125</v>
      </c>
      <c r="G6" s="400"/>
      <c r="H6" s="399" t="s">
        <v>126</v>
      </c>
      <c r="I6" s="400"/>
      <c r="J6" s="401" t="s">
        <v>127</v>
      </c>
      <c r="K6" s="402"/>
      <c r="L6" s="399" t="s">
        <v>128</v>
      </c>
      <c r="M6" s="400"/>
      <c r="N6" s="399" t="s">
        <v>129</v>
      </c>
      <c r="O6" s="400"/>
      <c r="P6" s="399" t="s">
        <v>130</v>
      </c>
      <c r="Q6" s="400"/>
      <c r="R6" s="399" t="s">
        <v>131</v>
      </c>
      <c r="S6" s="400"/>
      <c r="T6" s="399" t="s">
        <v>132</v>
      </c>
      <c r="U6" s="400"/>
      <c r="V6" s="399" t="s">
        <v>133</v>
      </c>
      <c r="W6" s="400"/>
      <c r="X6" s="399" t="s">
        <v>134</v>
      </c>
      <c r="Y6" s="400"/>
      <c r="Z6" s="399" t="s">
        <v>106</v>
      </c>
      <c r="AA6" s="400"/>
    </row>
    <row r="7" spans="1:27">
      <c r="A7" s="403" t="s">
        <v>135</v>
      </c>
      <c r="B7" s="404" t="s">
        <v>136</v>
      </c>
      <c r="C7" s="404" t="s">
        <v>137</v>
      </c>
      <c r="D7" s="404" t="s">
        <v>138</v>
      </c>
      <c r="E7" s="404" t="s">
        <v>139</v>
      </c>
      <c r="F7" s="404" t="s">
        <v>138</v>
      </c>
      <c r="G7" s="404" t="s">
        <v>139</v>
      </c>
      <c r="H7" s="404" t="s">
        <v>138</v>
      </c>
      <c r="I7" s="404" t="s">
        <v>139</v>
      </c>
      <c r="J7" s="405" t="s">
        <v>138</v>
      </c>
      <c r="K7" s="406" t="s">
        <v>139</v>
      </c>
      <c r="L7" s="404" t="s">
        <v>138</v>
      </c>
      <c r="M7" s="404" t="s">
        <v>139</v>
      </c>
      <c r="N7" s="404" t="s">
        <v>138</v>
      </c>
      <c r="O7" s="404" t="s">
        <v>139</v>
      </c>
      <c r="P7" s="404" t="s">
        <v>138</v>
      </c>
      <c r="Q7" s="404" t="s">
        <v>139</v>
      </c>
      <c r="R7" s="404" t="s">
        <v>138</v>
      </c>
      <c r="S7" s="404" t="s">
        <v>139</v>
      </c>
      <c r="T7" s="404" t="s">
        <v>138</v>
      </c>
      <c r="U7" s="404" t="s">
        <v>139</v>
      </c>
      <c r="V7" s="404" t="s">
        <v>138</v>
      </c>
      <c r="W7" s="404" t="s">
        <v>139</v>
      </c>
      <c r="X7" s="404" t="s">
        <v>138</v>
      </c>
      <c r="Y7" s="404" t="s">
        <v>139</v>
      </c>
      <c r="Z7" s="404" t="s">
        <v>138</v>
      </c>
      <c r="AA7" s="404" t="s">
        <v>139</v>
      </c>
    </row>
    <row r="8" spans="1:27">
      <c r="A8" s="407"/>
      <c r="B8" s="408"/>
      <c r="C8" s="408"/>
      <c r="D8" s="408"/>
      <c r="E8" s="408"/>
      <c r="F8" s="408"/>
      <c r="G8" s="408"/>
      <c r="H8" s="408"/>
      <c r="I8" s="408"/>
      <c r="J8" s="409"/>
      <c r="K8" s="410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</row>
    <row r="9" spans="1:27">
      <c r="A9" s="411" t="s">
        <v>106</v>
      </c>
      <c r="B9" s="412">
        <f t="shared" ref="B9:Y9" si="0">B11+B36+B85+B97+B102+B136+B151+B189</f>
        <v>149387</v>
      </c>
      <c r="C9" s="412">
        <f t="shared" si="0"/>
        <v>83642274</v>
      </c>
      <c r="D9" s="412">
        <f t="shared" si="0"/>
        <v>134859</v>
      </c>
      <c r="E9" s="412">
        <f t="shared" si="0"/>
        <v>77838400</v>
      </c>
      <c r="F9" s="412">
        <f t="shared" si="0"/>
        <v>116197</v>
      </c>
      <c r="G9" s="412">
        <f t="shared" si="0"/>
        <v>70981672</v>
      </c>
      <c r="H9" s="412">
        <f>H11+H36+H85+H97+H102+H136+H151+H189</f>
        <v>96180</v>
      </c>
      <c r="I9" s="412">
        <f t="shared" si="0"/>
        <v>53927495</v>
      </c>
      <c r="J9" s="413">
        <f t="shared" si="0"/>
        <v>135293</v>
      </c>
      <c r="K9" s="414">
        <f t="shared" si="0"/>
        <v>86108621</v>
      </c>
      <c r="L9" s="412">
        <f t="shared" si="0"/>
        <v>137464</v>
      </c>
      <c r="M9" s="412">
        <f t="shared" si="0"/>
        <v>97259100</v>
      </c>
      <c r="N9" s="412">
        <f t="shared" si="0"/>
        <v>135636</v>
      </c>
      <c r="O9" s="412">
        <f>O11+O36+O85+O97+O102+O136+O151+O189</f>
        <v>113137191</v>
      </c>
      <c r="P9" s="412">
        <f t="shared" ref="P9:Q9" si="1">P11+P36+P85+P97+P102+P136+P151+P189</f>
        <v>180175</v>
      </c>
      <c r="Q9" s="412">
        <f t="shared" si="1"/>
        <v>130469911</v>
      </c>
      <c r="R9" s="412">
        <f t="shared" si="0"/>
        <v>138272</v>
      </c>
      <c r="S9" s="412">
        <f t="shared" si="0"/>
        <v>91374787</v>
      </c>
      <c r="T9" s="412">
        <f t="shared" si="0"/>
        <v>158604</v>
      </c>
      <c r="U9" s="412">
        <f t="shared" si="0"/>
        <v>99046159</v>
      </c>
      <c r="V9" s="412">
        <f>V11+V36+V85+V97+V102+V136+V151+V189</f>
        <v>154200</v>
      </c>
      <c r="W9" s="412">
        <f>W11+W36+W85+W97+W102+W136+W151+W189</f>
        <v>91747985</v>
      </c>
      <c r="X9" s="412">
        <f t="shared" si="0"/>
        <v>162659</v>
      </c>
      <c r="Y9" s="412">
        <f t="shared" si="0"/>
        <v>102455347</v>
      </c>
      <c r="Z9" s="412">
        <f>SUM(B9,D9,F9,H9,J9,L9,N9,P9,R9,T9,V9,X9)</f>
        <v>1698926</v>
      </c>
      <c r="AA9" s="412">
        <f>SUM(C9,E9,G9,I9,K9,M9,O9,Q9,S9,U9,W9,Y9)</f>
        <v>1097988942</v>
      </c>
    </row>
    <row r="10" spans="1:27">
      <c r="A10" s="415"/>
      <c r="B10" s="416"/>
      <c r="C10" s="416"/>
      <c r="D10" s="416"/>
      <c r="E10" s="416"/>
      <c r="F10" s="416"/>
      <c r="G10" s="416"/>
      <c r="H10" s="416"/>
      <c r="I10" s="416"/>
      <c r="J10" s="409"/>
      <c r="K10" s="410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</row>
    <row r="11" spans="1:27">
      <c r="A11" s="417" t="s">
        <v>140</v>
      </c>
      <c r="B11" s="418">
        <f t="shared" ref="B11:Y11" si="2">SUM(B12:B34)</f>
        <v>9822</v>
      </c>
      <c r="C11" s="418">
        <f t="shared" si="2"/>
        <v>7689072</v>
      </c>
      <c r="D11" s="418">
        <f t="shared" si="2"/>
        <v>13182</v>
      </c>
      <c r="E11" s="418">
        <f t="shared" si="2"/>
        <v>9988636</v>
      </c>
      <c r="F11" s="418">
        <f t="shared" si="2"/>
        <v>12924</v>
      </c>
      <c r="G11" s="418">
        <f t="shared" si="2"/>
        <v>10303881</v>
      </c>
      <c r="H11" s="418">
        <f t="shared" si="2"/>
        <v>8794</v>
      </c>
      <c r="I11" s="418">
        <f t="shared" si="2"/>
        <v>7937732</v>
      </c>
      <c r="J11" s="419">
        <f t="shared" si="2"/>
        <v>14153</v>
      </c>
      <c r="K11" s="420">
        <f>SUM(K12:K34)</f>
        <v>9985367</v>
      </c>
      <c r="L11" s="418">
        <f t="shared" si="2"/>
        <v>13721</v>
      </c>
      <c r="M11" s="418">
        <f t="shared" si="2"/>
        <v>10777159</v>
      </c>
      <c r="N11" s="418">
        <f t="shared" si="2"/>
        <v>17223</v>
      </c>
      <c r="O11" s="418">
        <f t="shared" si="2"/>
        <v>14149868</v>
      </c>
      <c r="P11" s="418">
        <f t="shared" si="2"/>
        <v>16854</v>
      </c>
      <c r="Q11" s="418">
        <f t="shared" si="2"/>
        <v>16948467</v>
      </c>
      <c r="R11" s="418">
        <f t="shared" si="2"/>
        <v>13693</v>
      </c>
      <c r="S11" s="418">
        <f t="shared" si="2"/>
        <v>11152146</v>
      </c>
      <c r="T11" s="418">
        <f t="shared" si="2"/>
        <v>11159</v>
      </c>
      <c r="U11" s="418">
        <f t="shared" si="2"/>
        <v>10364638</v>
      </c>
      <c r="V11" s="418">
        <f>SUM(V12:V34)</f>
        <v>11101</v>
      </c>
      <c r="W11" s="418">
        <f>SUM(W12:W34)</f>
        <v>10615154</v>
      </c>
      <c r="X11" s="418">
        <f t="shared" si="2"/>
        <v>15058</v>
      </c>
      <c r="Y11" s="418">
        <f t="shared" si="2"/>
        <v>14072707</v>
      </c>
      <c r="Z11" s="418">
        <f t="shared" ref="Z11:Z34" si="3">SUM(B11,D11,F11,H11,J11,L11,N11,P11,R11,T11,V11,X11)</f>
        <v>157684</v>
      </c>
      <c r="AA11" s="418">
        <f t="shared" ref="AA11:AA34" si="4">SUM(C11,E11,G11,I11,K11,M11,O11,Q11,S11,U11,W11,Y11)</f>
        <v>133984827</v>
      </c>
    </row>
    <row r="12" spans="1:27">
      <c r="A12" s="421" t="s">
        <v>221</v>
      </c>
      <c r="B12" s="422">
        <v>6052</v>
      </c>
      <c r="C12" s="422">
        <v>4259214</v>
      </c>
      <c r="D12" s="422">
        <v>7754</v>
      </c>
      <c r="E12" s="422">
        <v>4910425</v>
      </c>
      <c r="F12" s="422">
        <v>5600</v>
      </c>
      <c r="G12" s="422">
        <v>3312180</v>
      </c>
      <c r="H12" s="422">
        <v>3341</v>
      </c>
      <c r="I12" s="422">
        <v>2434783</v>
      </c>
      <c r="J12" s="423">
        <v>6917</v>
      </c>
      <c r="K12" s="424">
        <v>3550152</v>
      </c>
      <c r="L12" s="422">
        <v>4508</v>
      </c>
      <c r="M12" s="422">
        <v>3172221</v>
      </c>
      <c r="N12" s="422">
        <v>8345</v>
      </c>
      <c r="O12" s="422">
        <v>5467381</v>
      </c>
      <c r="P12" s="422">
        <v>6542</v>
      </c>
      <c r="Q12" s="422">
        <v>5892377</v>
      </c>
      <c r="R12" s="422">
        <v>4607</v>
      </c>
      <c r="S12" s="422">
        <v>2424966</v>
      </c>
      <c r="T12" s="422">
        <v>3933</v>
      </c>
      <c r="U12" s="422">
        <v>2807435</v>
      </c>
      <c r="V12" s="422">
        <f>_xlfn.IFNA(VLOOKUP(A12,[5]進出口值表查詢結果!$C$11:$F$68,4,0),-[4]整車!$B$22)</f>
        <v>4019</v>
      </c>
      <c r="W12" s="422">
        <f>_xlfn.IFNA(VLOOKUP(A12,[5]進出口值表查詢結果!$C$11:$F$68,3,0),-[4]整車!$B$22)</f>
        <v>3259963</v>
      </c>
      <c r="X12" s="422">
        <f>_xlfn.IFNA(VLOOKUP(A12,[6]進出口值表查詢結果!$C$11:$F$68,4,0),-[4]整車!$B$22)</f>
        <v>5220</v>
      </c>
      <c r="Y12" s="422">
        <f>_xlfn.IFNA(VLOOKUP(A12,[6]進出口值表查詢結果!$C$11:$F$68,3,0),-[4]整車!$B$22)</f>
        <v>3196394</v>
      </c>
      <c r="Z12" s="416">
        <f t="shared" si="3"/>
        <v>66838</v>
      </c>
      <c r="AA12" s="416">
        <f t="shared" si="4"/>
        <v>44687491</v>
      </c>
    </row>
    <row r="13" spans="1:27">
      <c r="A13" s="421" t="s">
        <v>232</v>
      </c>
      <c r="B13" s="422">
        <v>179</v>
      </c>
      <c r="C13" s="422">
        <v>131656</v>
      </c>
      <c r="D13" s="422">
        <v>274</v>
      </c>
      <c r="E13" s="422">
        <v>366955</v>
      </c>
      <c r="F13" s="422">
        <v>379</v>
      </c>
      <c r="G13" s="422">
        <v>326020</v>
      </c>
      <c r="H13" s="422">
        <v>412</v>
      </c>
      <c r="I13" s="422">
        <v>690860</v>
      </c>
      <c r="J13" s="423">
        <v>564</v>
      </c>
      <c r="K13" s="424">
        <v>591178</v>
      </c>
      <c r="L13" s="422">
        <v>419</v>
      </c>
      <c r="M13" s="422">
        <v>628920</v>
      </c>
      <c r="N13" s="422">
        <v>900</v>
      </c>
      <c r="O13" s="422">
        <v>1147430</v>
      </c>
      <c r="P13" s="422">
        <v>1146</v>
      </c>
      <c r="Q13" s="422">
        <v>1244090</v>
      </c>
      <c r="R13" s="422">
        <v>1102</v>
      </c>
      <c r="S13" s="422">
        <v>984782</v>
      </c>
      <c r="T13" s="422">
        <v>754</v>
      </c>
      <c r="U13" s="422">
        <v>962823</v>
      </c>
      <c r="V13" s="422">
        <f>_xlfn.IFNA(VLOOKUP(A13,[5]進出口值表查詢結果!$C$11:$F$68,4,0),-[4]整車!$B$22)</f>
        <v>856</v>
      </c>
      <c r="W13" s="422">
        <f>_xlfn.IFNA(VLOOKUP(A13,[5]進出口值表查詢結果!$C$11:$F$68,3,0),-[4]整車!$B$22)</f>
        <v>955426</v>
      </c>
      <c r="X13" s="422">
        <f>_xlfn.IFNA(VLOOKUP(A13,[6]進出口值表查詢結果!$C$11:$F$68,4,0),-[4]整車!$B$22)</f>
        <v>1391</v>
      </c>
      <c r="Y13" s="422">
        <f>_xlfn.IFNA(VLOOKUP(A13,[6]進出口值表查詢結果!$C$11:$F$68,3,0),-[4]整車!$B$22)</f>
        <v>1781279</v>
      </c>
      <c r="Z13" s="416">
        <f t="shared" si="3"/>
        <v>8376</v>
      </c>
      <c r="AA13" s="416">
        <f t="shared" si="4"/>
        <v>9811419</v>
      </c>
    </row>
    <row r="14" spans="1:27">
      <c r="A14" s="458" t="s">
        <v>233</v>
      </c>
      <c r="B14" s="422">
        <v>524</v>
      </c>
      <c r="C14" s="422">
        <v>127658</v>
      </c>
      <c r="D14" s="422">
        <v>549</v>
      </c>
      <c r="E14" s="422">
        <v>126180</v>
      </c>
      <c r="F14" s="422">
        <v>710</v>
      </c>
      <c r="G14" s="422">
        <v>174742</v>
      </c>
      <c r="H14" s="422">
        <v>864</v>
      </c>
      <c r="I14" s="422">
        <v>362370</v>
      </c>
      <c r="J14" s="423">
        <v>1603</v>
      </c>
      <c r="K14" s="424">
        <v>677515</v>
      </c>
      <c r="L14" s="422">
        <v>1216</v>
      </c>
      <c r="M14" s="422">
        <v>120579</v>
      </c>
      <c r="N14" s="422">
        <v>1021</v>
      </c>
      <c r="O14" s="422">
        <v>611528</v>
      </c>
      <c r="P14" s="422">
        <v>1131</v>
      </c>
      <c r="Q14" s="422">
        <v>586618</v>
      </c>
      <c r="R14" s="422">
        <v>1515</v>
      </c>
      <c r="S14" s="422">
        <v>914097</v>
      </c>
      <c r="T14" s="422">
        <v>818</v>
      </c>
      <c r="U14" s="422">
        <v>265715</v>
      </c>
      <c r="V14" s="422">
        <f>_xlfn.IFNA(VLOOKUP(A14,[5]進出口值表查詢結果!$C$11:$F$68,4,0),-[4]整車!$B$22)</f>
        <v>695</v>
      </c>
      <c r="W14" s="422">
        <f>_xlfn.IFNA(VLOOKUP(A14,[5]進出口值表查詢結果!$C$11:$F$68,3,0),-[4]整車!$B$22)</f>
        <v>379724</v>
      </c>
      <c r="X14" s="422">
        <f>_xlfn.IFNA(VLOOKUP(A14,[6]進出口值表查詢結果!$C$11:$F$68,4,0),-[4]整車!$B$22)</f>
        <v>456</v>
      </c>
      <c r="Y14" s="422">
        <f>_xlfn.IFNA(VLOOKUP(A14,[6]進出口值表查詢結果!$C$11:$F$68,3,0),-[4]整車!$B$22)</f>
        <v>425334</v>
      </c>
      <c r="Z14" s="416">
        <f t="shared" si="3"/>
        <v>11102</v>
      </c>
      <c r="AA14" s="416">
        <f t="shared" si="4"/>
        <v>4772060</v>
      </c>
    </row>
    <row r="15" spans="1:27">
      <c r="A15" s="458" t="s">
        <v>170</v>
      </c>
      <c r="B15" s="422">
        <v>65</v>
      </c>
      <c r="C15" s="422">
        <v>102167</v>
      </c>
      <c r="D15" s="422">
        <v>153</v>
      </c>
      <c r="E15" s="422">
        <v>198502</v>
      </c>
      <c r="F15" s="422">
        <v>171</v>
      </c>
      <c r="G15" s="422">
        <v>186525</v>
      </c>
      <c r="H15" s="422">
        <v>62</v>
      </c>
      <c r="I15" s="422">
        <v>69195</v>
      </c>
      <c r="J15" s="423">
        <v>111</v>
      </c>
      <c r="K15" s="424">
        <v>71668</v>
      </c>
      <c r="L15" s="422">
        <v>156</v>
      </c>
      <c r="M15" s="422">
        <v>125402</v>
      </c>
      <c r="N15" s="422">
        <v>167</v>
      </c>
      <c r="O15" s="422">
        <v>258485</v>
      </c>
      <c r="P15" s="422">
        <v>211</v>
      </c>
      <c r="Q15" s="422">
        <v>238597</v>
      </c>
      <c r="R15" s="422">
        <v>601</v>
      </c>
      <c r="S15" s="422">
        <v>371230</v>
      </c>
      <c r="T15" s="422">
        <v>212</v>
      </c>
      <c r="U15" s="422">
        <v>237659</v>
      </c>
      <c r="V15" s="422">
        <f>_xlfn.IFNA(VLOOKUP(A15,[5]進出口值表查詢結果!$C$11:$F$68,4,0),-[4]整車!$B$22)</f>
        <v>156</v>
      </c>
      <c r="W15" s="422">
        <f>_xlfn.IFNA(VLOOKUP(A15,[5]進出口值表查詢結果!$C$11:$F$68,3,0),-[4]整車!$B$22)</f>
        <v>243778</v>
      </c>
      <c r="X15" s="422">
        <f>_xlfn.IFNA(VLOOKUP(A15,[6]進出口值表查詢結果!$C$11:$F$68,4,0),-[4]整車!$B$22)</f>
        <v>452</v>
      </c>
      <c r="Y15" s="422">
        <f>_xlfn.IFNA(VLOOKUP(A15,[6]進出口值表查詢結果!$C$11:$F$68,3,0),-[4]整車!$B$22)</f>
        <v>279986</v>
      </c>
      <c r="Z15" s="416">
        <f t="shared" si="3"/>
        <v>2517</v>
      </c>
      <c r="AA15" s="416">
        <f t="shared" si="4"/>
        <v>2383194</v>
      </c>
    </row>
    <row r="16" spans="1:27">
      <c r="A16" s="459" t="s">
        <v>176</v>
      </c>
      <c r="B16" s="422">
        <v>1307</v>
      </c>
      <c r="C16" s="422">
        <v>1817059</v>
      </c>
      <c r="D16" s="422">
        <v>1950</v>
      </c>
      <c r="E16" s="422">
        <v>2185577</v>
      </c>
      <c r="F16" s="422">
        <v>2367</v>
      </c>
      <c r="G16" s="422">
        <v>2674246</v>
      </c>
      <c r="H16" s="422">
        <v>2201</v>
      </c>
      <c r="I16" s="422">
        <v>1979400</v>
      </c>
      <c r="J16" s="423">
        <v>2682</v>
      </c>
      <c r="K16" s="424">
        <v>2461078</v>
      </c>
      <c r="L16" s="422">
        <v>2380</v>
      </c>
      <c r="M16" s="422">
        <v>2624768</v>
      </c>
      <c r="N16" s="422">
        <v>2747</v>
      </c>
      <c r="O16" s="422">
        <v>2999359</v>
      </c>
      <c r="P16" s="422">
        <v>3612</v>
      </c>
      <c r="Q16" s="422">
        <v>4516165</v>
      </c>
      <c r="R16" s="422">
        <v>2996</v>
      </c>
      <c r="S16" s="422">
        <v>3713824</v>
      </c>
      <c r="T16" s="422">
        <v>2056</v>
      </c>
      <c r="U16" s="422">
        <v>2891152</v>
      </c>
      <c r="V16" s="422">
        <f>_xlfn.IFNA(VLOOKUP(A16,[5]進出口值表查詢結果!$C$11:$F$68,4,0),-[4]整車!$B$22)</f>
        <v>1790</v>
      </c>
      <c r="W16" s="422">
        <f>_xlfn.IFNA(VLOOKUP(A16,[5]進出口值表查詢結果!$C$11:$F$68,3,0),-[4]整車!$B$22)</f>
        <v>2212342</v>
      </c>
      <c r="X16" s="422">
        <f>_xlfn.IFNA(VLOOKUP(A16,[6]進出口值表查詢結果!$C$11:$F$68,4,0),-[4]整車!$B$22)</f>
        <v>1546</v>
      </c>
      <c r="Y16" s="422">
        <f>_xlfn.IFNA(VLOOKUP(A16,[6]進出口值表查詢結果!$C$11:$F$68,3,0),-[4]整車!$B$22)</f>
        <v>1984044</v>
      </c>
      <c r="Z16" s="416">
        <f t="shared" si="3"/>
        <v>27634</v>
      </c>
      <c r="AA16" s="416">
        <f t="shared" si="4"/>
        <v>32059014</v>
      </c>
    </row>
    <row r="17" spans="1:27">
      <c r="A17" s="458" t="s">
        <v>179</v>
      </c>
      <c r="B17" s="422">
        <v>196</v>
      </c>
      <c r="C17" s="422">
        <v>159614</v>
      </c>
      <c r="D17" s="422">
        <v>25</v>
      </c>
      <c r="E17" s="422">
        <v>14125</v>
      </c>
      <c r="F17" s="422">
        <v>272</v>
      </c>
      <c r="G17" s="422">
        <v>324659</v>
      </c>
      <c r="H17" s="422">
        <v>6</v>
      </c>
      <c r="I17" s="422">
        <v>198</v>
      </c>
      <c r="J17" s="423">
        <v>392</v>
      </c>
      <c r="K17" s="424">
        <v>442301</v>
      </c>
      <c r="L17" s="422">
        <v>213</v>
      </c>
      <c r="M17" s="422">
        <v>334619</v>
      </c>
      <c r="N17" s="422">
        <v>471</v>
      </c>
      <c r="O17" s="422">
        <v>520823</v>
      </c>
      <c r="P17" s="422">
        <v>373</v>
      </c>
      <c r="Q17" s="422">
        <v>455099</v>
      </c>
      <c r="R17" s="422">
        <v>34</v>
      </c>
      <c r="S17" s="422">
        <v>38452</v>
      </c>
      <c r="T17" s="422">
        <v>10</v>
      </c>
      <c r="U17" s="422">
        <v>4200</v>
      </c>
      <c r="V17" s="422">
        <f>_xlfn.IFNA(VLOOKUP(A17,[5]進出口值表查詢結果!$C$11:$F$68,4,0),-[4]整車!$B$22)</f>
        <v>34</v>
      </c>
      <c r="W17" s="422">
        <f>_xlfn.IFNA(VLOOKUP(A17,[5]進出口值表查詢結果!$C$11:$F$68,3,0),-[4]整車!$B$22)</f>
        <v>42910</v>
      </c>
      <c r="X17" s="422">
        <f>_xlfn.IFNA(VLOOKUP(A17,[6]進出口值表查詢結果!$C$11:$F$68,4,0),-[4]整車!$B$22)</f>
        <v>823</v>
      </c>
      <c r="Y17" s="422">
        <f>_xlfn.IFNA(VLOOKUP(A17,[6]進出口值表查詢結果!$C$11:$F$68,3,0),-[4]整車!$B$22)</f>
        <v>958153</v>
      </c>
      <c r="Z17" s="416">
        <f t="shared" si="3"/>
        <v>2849</v>
      </c>
      <c r="AA17" s="416">
        <f t="shared" si="4"/>
        <v>3295153</v>
      </c>
    </row>
    <row r="18" spans="1:27">
      <c r="A18" s="458" t="s">
        <v>181</v>
      </c>
      <c r="B18" s="422">
        <v>246</v>
      </c>
      <c r="C18" s="422">
        <v>218428</v>
      </c>
      <c r="D18" s="422">
        <v>112</v>
      </c>
      <c r="E18" s="422">
        <v>127248</v>
      </c>
      <c r="F18" s="422">
        <v>145</v>
      </c>
      <c r="G18" s="422">
        <v>175938</v>
      </c>
      <c r="H18" s="422">
        <v>76</v>
      </c>
      <c r="I18" s="422">
        <v>84167</v>
      </c>
      <c r="J18" s="423">
        <v>231</v>
      </c>
      <c r="K18" s="424">
        <v>292647</v>
      </c>
      <c r="L18" s="422">
        <v>225</v>
      </c>
      <c r="M18" s="422">
        <v>233311</v>
      </c>
      <c r="N18" s="422">
        <v>442</v>
      </c>
      <c r="O18" s="422">
        <v>515923</v>
      </c>
      <c r="P18" s="422">
        <v>635</v>
      </c>
      <c r="Q18" s="422">
        <v>666047</v>
      </c>
      <c r="R18" s="422">
        <v>372</v>
      </c>
      <c r="S18" s="422">
        <v>415965</v>
      </c>
      <c r="T18" s="422">
        <v>793</v>
      </c>
      <c r="U18" s="422">
        <v>698930</v>
      </c>
      <c r="V18" s="422">
        <f>_xlfn.IFNA(VLOOKUP(A18,[5]進出口值表查詢結果!$C$11:$F$68,4,0),-[4]整車!$B$22)</f>
        <v>332</v>
      </c>
      <c r="W18" s="422">
        <f>_xlfn.IFNA(VLOOKUP(A18,[5]進出口值表查詢結果!$C$11:$F$68,3,0),-[4]整車!$B$22)</f>
        <v>417088</v>
      </c>
      <c r="X18" s="422">
        <f>_xlfn.IFNA(VLOOKUP(A18,[6]進出口值表查詢結果!$C$11:$F$68,4,0),-[4]整車!$B$22)</f>
        <v>830</v>
      </c>
      <c r="Y18" s="422">
        <f>_xlfn.IFNA(VLOOKUP(A18,[6]進出口值表查詢結果!$C$11:$F$68,3,0),-[4]整車!$B$22)</f>
        <v>1167495</v>
      </c>
      <c r="Z18" s="416">
        <f t="shared" si="3"/>
        <v>4439</v>
      </c>
      <c r="AA18" s="416">
        <f t="shared" si="4"/>
        <v>5013187</v>
      </c>
    </row>
    <row r="19" spans="1:27">
      <c r="A19" s="458" t="s">
        <v>180</v>
      </c>
      <c r="B19" s="422">
        <v>38</v>
      </c>
      <c r="C19" s="422">
        <v>34255</v>
      </c>
      <c r="D19" s="422">
        <v>114</v>
      </c>
      <c r="E19" s="422">
        <v>142072</v>
      </c>
      <c r="F19" s="422">
        <v>47</v>
      </c>
      <c r="G19" s="422">
        <v>88748</v>
      </c>
      <c r="H19" s="422">
        <v>116</v>
      </c>
      <c r="I19" s="422">
        <v>179464</v>
      </c>
      <c r="J19" s="423">
        <v>134</v>
      </c>
      <c r="K19" s="424">
        <v>160240</v>
      </c>
      <c r="L19" s="422">
        <v>114</v>
      </c>
      <c r="M19" s="422">
        <v>167091</v>
      </c>
      <c r="N19" s="422">
        <v>103</v>
      </c>
      <c r="O19" s="422">
        <v>156524</v>
      </c>
      <c r="P19" s="422">
        <v>60</v>
      </c>
      <c r="Q19" s="422">
        <v>89867</v>
      </c>
      <c r="R19" s="422">
        <v>291</v>
      </c>
      <c r="S19" s="422">
        <v>452957</v>
      </c>
      <c r="T19" s="422">
        <v>157</v>
      </c>
      <c r="U19" s="422">
        <v>198796</v>
      </c>
      <c r="V19" s="422">
        <f>_xlfn.IFNA(VLOOKUP(A19,[5]進出口值表查詢結果!$C$11:$F$68,4,0),-[4]整車!$B$22)</f>
        <v>161</v>
      </c>
      <c r="W19" s="422">
        <f>_xlfn.IFNA(VLOOKUP(A19,[5]進出口值表查詢結果!$C$11:$F$68,3,0),-[4]整車!$B$22)</f>
        <v>332513</v>
      </c>
      <c r="X19" s="422">
        <f>_xlfn.IFNA(VLOOKUP(A19,[6]進出口值表查詢結果!$C$11:$F$68,4,0),-[4]整車!$B$22)</f>
        <v>82</v>
      </c>
      <c r="Y19" s="422">
        <f>_xlfn.IFNA(VLOOKUP(A19,[6]進出口值表查詢結果!$C$11:$F$68,3,0),-[4]整車!$B$22)</f>
        <v>135445</v>
      </c>
      <c r="Z19" s="416">
        <f t="shared" si="3"/>
        <v>1417</v>
      </c>
      <c r="AA19" s="416">
        <f t="shared" si="4"/>
        <v>2137972</v>
      </c>
    </row>
    <row r="20" spans="1:27">
      <c r="A20" s="458" t="s">
        <v>235</v>
      </c>
      <c r="B20" s="422">
        <v>0</v>
      </c>
      <c r="C20" s="422">
        <v>0</v>
      </c>
      <c r="D20" s="422">
        <v>62</v>
      </c>
      <c r="E20" s="422">
        <v>80913</v>
      </c>
      <c r="F20" s="422">
        <v>0</v>
      </c>
      <c r="G20" s="422"/>
      <c r="H20" s="422">
        <v>0</v>
      </c>
      <c r="I20" s="422">
        <v>0</v>
      </c>
      <c r="J20" s="423">
        <v>14</v>
      </c>
      <c r="K20" s="424">
        <v>18143</v>
      </c>
      <c r="L20" s="422">
        <v>0</v>
      </c>
      <c r="M20" s="422">
        <v>0</v>
      </c>
      <c r="N20" s="422">
        <v>0</v>
      </c>
      <c r="O20" s="422">
        <v>0</v>
      </c>
      <c r="P20" s="422">
        <v>0</v>
      </c>
      <c r="Q20" s="422">
        <v>0</v>
      </c>
      <c r="R20" s="422">
        <v>0</v>
      </c>
      <c r="S20" s="422">
        <v>0</v>
      </c>
      <c r="T20" s="422"/>
      <c r="U20" s="422"/>
      <c r="V20" s="422">
        <f>_xlfn.IFNA(VLOOKUP(A20,[5]進出口值表查詢結果!$C$11:$F$68,4,0),-[4]整車!$B$22)</f>
        <v>0</v>
      </c>
      <c r="W20" s="422">
        <f>_xlfn.IFNA(VLOOKUP(A20,[5]進出口值表查詢結果!$C$11:$F$68,3,0),-[4]整車!$B$22)</f>
        <v>0</v>
      </c>
      <c r="X20" s="422">
        <f>_xlfn.IFNA(VLOOKUP(A20,[6]進出口值表查詢結果!$C$11:$F$68,4,0),-[4]整車!$B$22)</f>
        <v>0</v>
      </c>
      <c r="Y20" s="422">
        <f>_xlfn.IFNA(VLOOKUP(A20,[6]進出口值表查詢結果!$C$11:$F$68,3,0),-[4]整車!$B$22)</f>
        <v>0</v>
      </c>
      <c r="Z20" s="416">
        <f t="shared" si="3"/>
        <v>76</v>
      </c>
      <c r="AA20" s="416">
        <f t="shared" si="4"/>
        <v>99056</v>
      </c>
    </row>
    <row r="21" spans="1:27">
      <c r="A21" s="458" t="s">
        <v>191</v>
      </c>
      <c r="B21" s="422">
        <v>367</v>
      </c>
      <c r="C21" s="422">
        <v>213697</v>
      </c>
      <c r="D21" s="422">
        <v>458</v>
      </c>
      <c r="E21" s="422">
        <v>230710</v>
      </c>
      <c r="F21" s="422">
        <v>165</v>
      </c>
      <c r="G21" s="422">
        <v>82941</v>
      </c>
      <c r="H21" s="422">
        <v>35</v>
      </c>
      <c r="I21" s="422">
        <v>4203</v>
      </c>
      <c r="J21" s="423">
        <v>74</v>
      </c>
      <c r="K21" s="424">
        <v>16703</v>
      </c>
      <c r="L21" s="422">
        <v>938</v>
      </c>
      <c r="M21" s="422">
        <v>178622</v>
      </c>
      <c r="N21" s="422">
        <v>107</v>
      </c>
      <c r="O21" s="422">
        <v>7169</v>
      </c>
      <c r="P21" s="422">
        <v>364</v>
      </c>
      <c r="Q21" s="422">
        <v>13151</v>
      </c>
      <c r="R21" s="422">
        <v>211</v>
      </c>
      <c r="S21" s="422">
        <v>139301</v>
      </c>
      <c r="T21" s="422">
        <v>291</v>
      </c>
      <c r="U21" s="422">
        <v>151421</v>
      </c>
      <c r="V21" s="422">
        <f>_xlfn.IFNA(VLOOKUP(A21,[5]進出口值表查詢結果!$C$11:$F$68,4,0),-[4]整車!$B$22)</f>
        <v>884</v>
      </c>
      <c r="W21" s="422">
        <f>_xlfn.IFNA(VLOOKUP(A21,[5]進出口值表查詢結果!$C$11:$F$68,3,0),-[4]整車!$B$22)</f>
        <v>377477</v>
      </c>
      <c r="X21" s="422">
        <f>_xlfn.IFNA(VLOOKUP(A21,[6]進出口值表查詢結果!$C$11:$F$68,4,0),-[4]整車!$B$22)</f>
        <v>872</v>
      </c>
      <c r="Y21" s="422">
        <f>_xlfn.IFNA(VLOOKUP(A21,[6]進出口值表查詢結果!$C$11:$F$68,3,0),-[4]整車!$B$22)</f>
        <v>486108</v>
      </c>
      <c r="Z21" s="416">
        <f t="shared" si="3"/>
        <v>4766</v>
      </c>
      <c r="AA21" s="416">
        <f t="shared" si="4"/>
        <v>1901503</v>
      </c>
    </row>
    <row r="22" spans="1:27">
      <c r="A22" s="458" t="s">
        <v>236</v>
      </c>
      <c r="B22" s="422">
        <v>0</v>
      </c>
      <c r="C22" s="422">
        <v>0</v>
      </c>
      <c r="D22" s="422"/>
      <c r="E22" s="422"/>
      <c r="F22" s="422">
        <v>0</v>
      </c>
      <c r="G22" s="422"/>
      <c r="H22" s="422">
        <v>0</v>
      </c>
      <c r="I22" s="422">
        <v>0</v>
      </c>
      <c r="J22" s="423">
        <v>0</v>
      </c>
      <c r="K22" s="426" t="s">
        <v>58</v>
      </c>
      <c r="L22" s="422">
        <v>0</v>
      </c>
      <c r="M22" s="422">
        <v>0</v>
      </c>
      <c r="N22" s="422">
        <v>0</v>
      </c>
      <c r="O22" s="422">
        <v>0</v>
      </c>
      <c r="P22" s="422">
        <v>0</v>
      </c>
      <c r="Q22" s="422">
        <v>0</v>
      </c>
      <c r="R22" s="422">
        <v>0</v>
      </c>
      <c r="S22" s="422">
        <v>0</v>
      </c>
      <c r="T22" s="422"/>
      <c r="U22" s="422"/>
      <c r="V22" s="422">
        <f>_xlfn.IFNA(VLOOKUP(A22,[5]進出口值表查詢結果!$C$11:$F$68,4,0),-[4]整車!$B$22)</f>
        <v>0</v>
      </c>
      <c r="W22" s="422">
        <f>_xlfn.IFNA(VLOOKUP(A22,[5]進出口值表查詢結果!$C$11:$F$68,3,0),-[4]整車!$B$22)</f>
        <v>0</v>
      </c>
      <c r="X22" s="422">
        <f>_xlfn.IFNA(VLOOKUP(A22,[6]進出口值表查詢結果!$C$11:$F$68,4,0),-[4]整車!$B$22)</f>
        <v>0</v>
      </c>
      <c r="Y22" s="422">
        <f>_xlfn.IFNA(VLOOKUP(A22,[6]進出口值表查詢結果!$C$11:$F$68,3,0),-[4]整車!$B$22)</f>
        <v>0</v>
      </c>
      <c r="Z22" s="416">
        <f t="shared" si="3"/>
        <v>0</v>
      </c>
      <c r="AA22" s="416">
        <f t="shared" si="4"/>
        <v>0</v>
      </c>
    </row>
    <row r="23" spans="1:27">
      <c r="A23" s="458" t="s">
        <v>178</v>
      </c>
      <c r="B23" s="422">
        <v>4</v>
      </c>
      <c r="C23" s="422">
        <v>12662</v>
      </c>
      <c r="D23" s="422">
        <v>36</v>
      </c>
      <c r="E23" s="422">
        <v>33578</v>
      </c>
      <c r="F23" s="422">
        <v>0</v>
      </c>
      <c r="G23" s="422"/>
      <c r="H23" s="422">
        <v>0</v>
      </c>
      <c r="I23" s="422">
        <v>0</v>
      </c>
      <c r="J23" s="423" t="s">
        <v>58</v>
      </c>
      <c r="K23" s="426" t="s">
        <v>58</v>
      </c>
      <c r="L23" s="422">
        <v>12</v>
      </c>
      <c r="M23" s="422">
        <v>40985</v>
      </c>
      <c r="N23" s="422">
        <v>11</v>
      </c>
      <c r="O23" s="422">
        <v>18898</v>
      </c>
      <c r="P23" s="422">
        <v>15</v>
      </c>
      <c r="Q23" s="422">
        <v>18841</v>
      </c>
      <c r="R23" s="422">
        <v>0</v>
      </c>
      <c r="S23" s="422">
        <v>0</v>
      </c>
      <c r="T23" s="422">
        <v>4</v>
      </c>
      <c r="U23" s="422">
        <v>8709</v>
      </c>
      <c r="V23" s="422">
        <f>_xlfn.IFNA(VLOOKUP(A23,[5]進出口值表查詢結果!$C$11:$F$68,4,0),-[4]整車!$B$22)</f>
        <v>0</v>
      </c>
      <c r="W23" s="422">
        <f>_xlfn.IFNA(VLOOKUP(A23,[5]進出口值表查詢結果!$C$11:$F$68,3,0),-[4]整車!$B$22)</f>
        <v>0</v>
      </c>
      <c r="X23" s="422">
        <f>_xlfn.IFNA(VLOOKUP(A23,[6]進出口值表查詢結果!$C$11:$F$68,4,0),-[4]整車!$B$22)</f>
        <v>23</v>
      </c>
      <c r="Y23" s="422">
        <f>_xlfn.IFNA(VLOOKUP(A23,[6]進出口值表查詢結果!$C$11:$F$68,3,0),-[4]整車!$B$22)</f>
        <v>41742</v>
      </c>
      <c r="Z23" s="416">
        <f t="shared" si="3"/>
        <v>105</v>
      </c>
      <c r="AA23" s="416">
        <f t="shared" si="4"/>
        <v>175415</v>
      </c>
    </row>
    <row r="24" spans="1:27">
      <c r="A24" s="458" t="s">
        <v>237</v>
      </c>
      <c r="B24" s="422">
        <v>0</v>
      </c>
      <c r="C24" s="422">
        <v>0</v>
      </c>
      <c r="D24" s="422"/>
      <c r="E24" s="422"/>
      <c r="F24" s="422">
        <v>0</v>
      </c>
      <c r="G24" s="422"/>
      <c r="H24" s="422">
        <v>0</v>
      </c>
      <c r="I24" s="422">
        <v>0</v>
      </c>
      <c r="J24" s="423">
        <v>1</v>
      </c>
      <c r="K24" s="424">
        <v>2606</v>
      </c>
      <c r="L24" s="422">
        <v>0</v>
      </c>
      <c r="M24" s="416">
        <v>0</v>
      </c>
      <c r="N24" s="422">
        <v>0</v>
      </c>
      <c r="O24" s="422">
        <v>0</v>
      </c>
      <c r="P24" s="422">
        <v>0</v>
      </c>
      <c r="Q24" s="422">
        <v>0</v>
      </c>
      <c r="R24" s="422">
        <v>0</v>
      </c>
      <c r="S24" s="422">
        <v>0</v>
      </c>
      <c r="T24" s="422"/>
      <c r="U24" s="422"/>
      <c r="V24" s="422">
        <f>_xlfn.IFNA(VLOOKUP(A24,[5]進出口值表查詢結果!$C$11:$F$68,4,0),-[4]整車!$B$22)</f>
        <v>0</v>
      </c>
      <c r="W24" s="422">
        <f>_xlfn.IFNA(VLOOKUP(A24,[5]進出口值表查詢結果!$C$11:$F$68,3,0),-[4]整車!$B$22)</f>
        <v>0</v>
      </c>
      <c r="X24" s="422">
        <f>_xlfn.IFNA(VLOOKUP(A24,[6]進出口值表查詢結果!$C$11:$F$68,4,0),-[4]整車!$B$22)</f>
        <v>0</v>
      </c>
      <c r="Y24" s="422">
        <f>_xlfn.IFNA(VLOOKUP(A24,[6]進出口值表查詢結果!$C$11:$F$68,3,0),-[4]整車!$B$22)</f>
        <v>0</v>
      </c>
      <c r="Z24" s="416">
        <f t="shared" si="3"/>
        <v>1</v>
      </c>
      <c r="AA24" s="416">
        <f t="shared" si="4"/>
        <v>2606</v>
      </c>
    </row>
    <row r="25" spans="1:27">
      <c r="A25" s="458" t="s">
        <v>238</v>
      </c>
      <c r="B25" s="422">
        <v>0</v>
      </c>
      <c r="C25" s="422">
        <v>0</v>
      </c>
      <c r="D25" s="422"/>
      <c r="E25" s="422"/>
      <c r="F25" s="422">
        <v>0</v>
      </c>
      <c r="G25" s="422"/>
      <c r="H25" s="422">
        <v>0</v>
      </c>
      <c r="I25" s="422">
        <v>0</v>
      </c>
      <c r="J25" s="423" t="s">
        <v>58</v>
      </c>
      <c r="K25" s="426" t="s">
        <v>58</v>
      </c>
      <c r="L25" s="422">
        <v>0</v>
      </c>
      <c r="M25" s="422">
        <v>0</v>
      </c>
      <c r="N25" s="422">
        <v>0</v>
      </c>
      <c r="O25" s="422">
        <v>0</v>
      </c>
      <c r="P25" s="422">
        <v>0</v>
      </c>
      <c r="Q25" s="422">
        <v>0</v>
      </c>
      <c r="R25" s="422">
        <v>0</v>
      </c>
      <c r="S25" s="422">
        <v>0</v>
      </c>
      <c r="T25" s="422"/>
      <c r="U25" s="422"/>
      <c r="V25" s="422">
        <f>_xlfn.IFNA(VLOOKUP(A25,[5]進出口值表查詢結果!$C$11:$F$68,4,0),-[4]整車!$B$22)</f>
        <v>0</v>
      </c>
      <c r="W25" s="422">
        <f>_xlfn.IFNA(VLOOKUP(A25,[5]進出口值表查詢結果!$C$11:$F$68,3,0),-[4]整車!$B$22)</f>
        <v>0</v>
      </c>
      <c r="X25" s="422">
        <f>_xlfn.IFNA(VLOOKUP(A25,[6]進出口值表查詢結果!$C$11:$F$68,4,0),-[4]整車!$B$22)</f>
        <v>0</v>
      </c>
      <c r="Y25" s="422">
        <f>_xlfn.IFNA(VLOOKUP(A25,[6]進出口值表查詢結果!$C$11:$F$68,3,0),-[4]整車!$B$22)</f>
        <v>0</v>
      </c>
      <c r="Z25" s="416">
        <f t="shared" si="3"/>
        <v>0</v>
      </c>
      <c r="AA25" s="416">
        <f t="shared" si="4"/>
        <v>0</v>
      </c>
    </row>
    <row r="26" spans="1:27">
      <c r="A26" s="458" t="s">
        <v>239</v>
      </c>
      <c r="B26" s="422">
        <v>0</v>
      </c>
      <c r="C26" s="422">
        <v>0</v>
      </c>
      <c r="D26" s="422"/>
      <c r="E26" s="422"/>
      <c r="F26" s="422">
        <v>10</v>
      </c>
      <c r="G26" s="422">
        <v>9226</v>
      </c>
      <c r="H26" s="422">
        <v>0</v>
      </c>
      <c r="I26" s="422">
        <v>0</v>
      </c>
      <c r="J26" s="423" t="s">
        <v>58</v>
      </c>
      <c r="K26" s="426" t="s">
        <v>58</v>
      </c>
      <c r="L26" s="422">
        <v>2</v>
      </c>
      <c r="M26" s="422">
        <v>536</v>
      </c>
      <c r="N26" s="422">
        <v>0</v>
      </c>
      <c r="O26" s="422">
        <v>0</v>
      </c>
      <c r="P26" s="422">
        <v>34</v>
      </c>
      <c r="Q26" s="422">
        <v>17452</v>
      </c>
      <c r="R26" s="422">
        <v>0</v>
      </c>
      <c r="S26" s="422">
        <v>0</v>
      </c>
      <c r="T26" s="422">
        <v>10</v>
      </c>
      <c r="U26" s="422">
        <v>9501</v>
      </c>
      <c r="V26" s="422">
        <f>_xlfn.IFNA(VLOOKUP(A26,[5]進出口值表查詢結果!$C$11:$F$68,4,0),-[4]整車!$B$22)</f>
        <v>0</v>
      </c>
      <c r="W26" s="422">
        <f>_xlfn.IFNA(VLOOKUP(A26,[5]進出口值表查詢結果!$C$11:$F$68,3,0),-[4]整車!$B$22)</f>
        <v>0</v>
      </c>
      <c r="X26" s="422">
        <f>_xlfn.IFNA(VLOOKUP(A26,[6]進出口值表查詢結果!$C$11:$F$68,4,0),-[4]整車!$B$22)</f>
        <v>0</v>
      </c>
      <c r="Y26" s="422">
        <f>_xlfn.IFNA(VLOOKUP(A26,[6]進出口值表查詢結果!$C$11:$F$68,3,0),-[4]整車!$B$22)</f>
        <v>0</v>
      </c>
      <c r="Z26" s="416">
        <f t="shared" si="3"/>
        <v>56</v>
      </c>
      <c r="AA26" s="416">
        <f t="shared" si="4"/>
        <v>36715</v>
      </c>
    </row>
    <row r="27" spans="1:27">
      <c r="A27" s="458" t="s">
        <v>197</v>
      </c>
      <c r="B27" s="422">
        <v>12</v>
      </c>
      <c r="C27" s="422">
        <v>11363</v>
      </c>
      <c r="D27" s="422">
        <v>156</v>
      </c>
      <c r="E27" s="422">
        <v>136343</v>
      </c>
      <c r="F27" s="422">
        <v>53</v>
      </c>
      <c r="G27" s="422">
        <v>48024</v>
      </c>
      <c r="H27" s="422">
        <v>0</v>
      </c>
      <c r="I27" s="422">
        <v>0</v>
      </c>
      <c r="J27" s="423">
        <v>62</v>
      </c>
      <c r="K27" s="424">
        <v>51087</v>
      </c>
      <c r="L27" s="422">
        <v>0</v>
      </c>
      <c r="M27" s="422">
        <v>0</v>
      </c>
      <c r="N27" s="422">
        <v>53</v>
      </c>
      <c r="O27" s="422">
        <v>53415</v>
      </c>
      <c r="P27" s="422">
        <v>125</v>
      </c>
      <c r="Q27" s="422">
        <v>148830</v>
      </c>
      <c r="R27" s="422">
        <v>20</v>
      </c>
      <c r="S27" s="422">
        <v>19056</v>
      </c>
      <c r="T27" s="422">
        <v>26</v>
      </c>
      <c r="U27" s="422">
        <v>35077</v>
      </c>
      <c r="V27" s="422">
        <f>_xlfn.IFNA(VLOOKUP(A27,[5]進出口值表查詢結果!$C$11:$F$68,4,0),-[4]整車!$B$22)</f>
        <v>6</v>
      </c>
      <c r="W27" s="422">
        <f>_xlfn.IFNA(VLOOKUP(A27,[5]進出口值表查詢結果!$C$11:$F$68,3,0),-[4]整車!$B$22)</f>
        <v>6932</v>
      </c>
      <c r="X27" s="422">
        <f>_xlfn.IFNA(VLOOKUP(A27,[6]進出口值表查詢結果!$C$11:$F$68,4,0),-[4]整車!$B$22)</f>
        <v>211</v>
      </c>
      <c r="Y27" s="422">
        <f>_xlfn.IFNA(VLOOKUP(A27,[6]進出口值表查詢結果!$C$11:$F$68,3,0),-[4]整車!$B$22)</f>
        <v>156683</v>
      </c>
      <c r="Z27" s="416">
        <f t="shared" si="3"/>
        <v>724</v>
      </c>
      <c r="AA27" s="416">
        <f t="shared" si="4"/>
        <v>666810</v>
      </c>
    </row>
    <row r="28" spans="1:27">
      <c r="A28" s="458" t="s">
        <v>240</v>
      </c>
      <c r="B28" s="422">
        <v>0</v>
      </c>
      <c r="C28" s="422">
        <v>0</v>
      </c>
      <c r="D28" s="422"/>
      <c r="E28" s="422"/>
      <c r="F28" s="422">
        <v>0</v>
      </c>
      <c r="G28" s="422"/>
      <c r="H28" s="422">
        <v>0</v>
      </c>
      <c r="I28" s="422">
        <v>0</v>
      </c>
      <c r="J28" s="423" t="s">
        <v>58</v>
      </c>
      <c r="K28" s="426" t="s">
        <v>58</v>
      </c>
      <c r="L28" s="422">
        <v>0</v>
      </c>
      <c r="M28" s="422">
        <v>0</v>
      </c>
      <c r="N28" s="422">
        <v>0</v>
      </c>
      <c r="O28" s="422">
        <v>0</v>
      </c>
      <c r="P28" s="422">
        <v>0</v>
      </c>
      <c r="Q28" s="422">
        <v>0</v>
      </c>
      <c r="R28" s="422">
        <v>0</v>
      </c>
      <c r="S28" s="422">
        <v>0</v>
      </c>
      <c r="T28" s="422"/>
      <c r="U28" s="422"/>
      <c r="V28" s="422">
        <f>_xlfn.IFNA(VLOOKUP(A28,[5]進出口值表查詢結果!$C$11:$F$68,4,0),-[4]整車!$B$22)</f>
        <v>0</v>
      </c>
      <c r="W28" s="422">
        <f>_xlfn.IFNA(VLOOKUP(A28,[5]進出口值表查詢結果!$C$11:$F$68,3,0),-[4]整車!$B$22)</f>
        <v>0</v>
      </c>
      <c r="X28" s="422">
        <f>_xlfn.IFNA(VLOOKUP(A28,[6]進出口值表查詢結果!$C$11:$F$68,4,0),-[4]整車!$B$22)</f>
        <v>0</v>
      </c>
      <c r="Y28" s="422">
        <f>_xlfn.IFNA(VLOOKUP(A28,[6]進出口值表查詢結果!$C$11:$F$68,3,0),-[4]整車!$B$22)</f>
        <v>0</v>
      </c>
      <c r="Z28" s="416">
        <f t="shared" si="3"/>
        <v>0</v>
      </c>
      <c r="AA28" s="416">
        <f t="shared" si="4"/>
        <v>0</v>
      </c>
    </row>
    <row r="29" spans="1:27">
      <c r="A29" s="458" t="s">
        <v>167</v>
      </c>
      <c r="B29" s="422">
        <v>832</v>
      </c>
      <c r="C29" s="422">
        <v>601299</v>
      </c>
      <c r="D29" s="422">
        <v>1474</v>
      </c>
      <c r="E29" s="422">
        <v>1335375</v>
      </c>
      <c r="F29" s="422">
        <v>2575</v>
      </c>
      <c r="G29" s="422">
        <v>2824860</v>
      </c>
      <c r="H29" s="422">
        <v>1590</v>
      </c>
      <c r="I29" s="422">
        <v>2035410</v>
      </c>
      <c r="J29" s="423">
        <v>1368</v>
      </c>
      <c r="K29" s="426">
        <v>1650049</v>
      </c>
      <c r="L29" s="422">
        <v>3338</v>
      </c>
      <c r="M29" s="422">
        <v>3123497</v>
      </c>
      <c r="N29" s="422">
        <v>2847</v>
      </c>
      <c r="O29" s="422">
        <v>2378126</v>
      </c>
      <c r="P29" s="422">
        <v>2606</v>
      </c>
      <c r="Q29" s="422">
        <v>3061333</v>
      </c>
      <c r="R29" s="422">
        <v>1944</v>
      </c>
      <c r="S29" s="422">
        <v>1677516</v>
      </c>
      <c r="T29" s="422">
        <v>2095</v>
      </c>
      <c r="U29" s="422">
        <v>2093220</v>
      </c>
      <c r="V29" s="422">
        <f>_xlfn.IFNA(VLOOKUP(A29,[5]進出口值表查詢結果!$C$11:$F$68,4,0),-[4]整車!$B$22)</f>
        <v>2168</v>
      </c>
      <c r="W29" s="422">
        <f>_xlfn.IFNA(VLOOKUP(A29,[5]進出口值表查詢結果!$C$11:$F$68,3,0),-[4]整車!$B$22)</f>
        <v>2387001</v>
      </c>
      <c r="X29" s="422">
        <f>_xlfn.IFNA(VLOOKUP(A29,[6]進出口值表查詢結果!$C$11:$F$68,4,0),-[4]整車!$B$22)</f>
        <v>3104</v>
      </c>
      <c r="Y29" s="422">
        <f>_xlfn.IFNA(VLOOKUP(A29,[6]進出口值表查詢結果!$C$11:$F$68,3,0),-[4]整車!$B$22)</f>
        <v>3401926</v>
      </c>
      <c r="Z29" s="416">
        <f t="shared" si="3"/>
        <v>25941</v>
      </c>
      <c r="AA29" s="416">
        <f t="shared" si="4"/>
        <v>26569612</v>
      </c>
    </row>
    <row r="30" spans="1:27">
      <c r="A30" s="460" t="s">
        <v>242</v>
      </c>
      <c r="B30" s="416">
        <v>0</v>
      </c>
      <c r="C30" s="416">
        <v>0</v>
      </c>
      <c r="D30" s="416"/>
      <c r="E30" s="416"/>
      <c r="F30" s="416">
        <v>0</v>
      </c>
      <c r="G30" s="416"/>
      <c r="H30" s="416">
        <v>0</v>
      </c>
      <c r="I30" s="416">
        <v>0</v>
      </c>
      <c r="J30" s="409" t="s">
        <v>58</v>
      </c>
      <c r="K30" s="426" t="s">
        <v>58</v>
      </c>
      <c r="L30" s="416">
        <v>0</v>
      </c>
      <c r="M30" s="416">
        <v>0</v>
      </c>
      <c r="N30" s="416">
        <v>0</v>
      </c>
      <c r="O30" s="416">
        <v>0</v>
      </c>
      <c r="P30" s="416">
        <v>0</v>
      </c>
      <c r="Q30" s="416">
        <v>0</v>
      </c>
      <c r="R30" s="416">
        <v>0</v>
      </c>
      <c r="S30" s="416">
        <v>0</v>
      </c>
      <c r="T30" s="416"/>
      <c r="U30" s="416"/>
      <c r="V30" s="422">
        <f>_xlfn.IFNA(VLOOKUP(A30,[5]進出口值表查詢結果!$C$11:$F$68,4,0),-[4]整車!$B$22)</f>
        <v>0</v>
      </c>
      <c r="W30" s="422">
        <f>_xlfn.IFNA(VLOOKUP(A30,[5]進出口值表查詢結果!$C$11:$F$68,3,0),-[4]整車!$B$22)</f>
        <v>0</v>
      </c>
      <c r="X30" s="422">
        <f>_xlfn.IFNA(VLOOKUP(A30,[6]進出口值表查詢結果!$C$11:$F$68,4,0),-[4]整車!$B$22)</f>
        <v>0</v>
      </c>
      <c r="Y30" s="422">
        <f>_xlfn.IFNA(VLOOKUP(A30,[6]進出口值表查詢結果!$C$11:$F$68,3,0),-[4]整車!$B$22)</f>
        <v>0</v>
      </c>
      <c r="Z30" s="416">
        <f t="shared" si="3"/>
        <v>0</v>
      </c>
      <c r="AA30" s="416">
        <f t="shared" si="4"/>
        <v>0</v>
      </c>
    </row>
    <row r="31" spans="1:27">
      <c r="A31" s="458" t="s">
        <v>243</v>
      </c>
      <c r="B31" s="416">
        <v>0</v>
      </c>
      <c r="C31" s="416">
        <v>0</v>
      </c>
      <c r="D31" s="422"/>
      <c r="E31" s="422"/>
      <c r="F31" s="422">
        <v>0</v>
      </c>
      <c r="G31" s="422"/>
      <c r="H31" s="422">
        <v>0</v>
      </c>
      <c r="I31" s="422">
        <v>0</v>
      </c>
      <c r="J31" s="423"/>
      <c r="K31" s="426" t="s">
        <v>58</v>
      </c>
      <c r="L31" s="422">
        <v>0</v>
      </c>
      <c r="M31" s="422">
        <v>0</v>
      </c>
      <c r="N31" s="422">
        <v>0</v>
      </c>
      <c r="O31" s="422">
        <v>0</v>
      </c>
      <c r="P31" s="416">
        <v>0</v>
      </c>
      <c r="Q31" s="416">
        <v>0</v>
      </c>
      <c r="R31" s="416">
        <v>0</v>
      </c>
      <c r="S31" s="416">
        <v>0</v>
      </c>
      <c r="T31" s="422"/>
      <c r="U31" s="422"/>
      <c r="V31" s="422">
        <f>_xlfn.IFNA(VLOOKUP(A31,[5]進出口值表查詢結果!$C$11:$F$68,4,0),-[4]整車!$B$22)</f>
        <v>0</v>
      </c>
      <c r="W31" s="422">
        <f>_xlfn.IFNA(VLOOKUP(A31,[5]進出口值表查詢結果!$C$11:$F$68,3,0),-[4]整車!$B$22)</f>
        <v>0</v>
      </c>
      <c r="X31" s="422">
        <f>_xlfn.IFNA(VLOOKUP(A31,[6]進出口值表查詢結果!$C$11:$F$68,4,0),-[4]整車!$B$22)</f>
        <v>0</v>
      </c>
      <c r="Y31" s="422">
        <f>_xlfn.IFNA(VLOOKUP(A31,[6]進出口值表查詢結果!$C$11:$F$68,3,0),-[4]整車!$B$22)</f>
        <v>0</v>
      </c>
      <c r="Z31" s="416">
        <f t="shared" si="3"/>
        <v>0</v>
      </c>
      <c r="AA31" s="416">
        <f t="shared" si="4"/>
        <v>0</v>
      </c>
    </row>
    <row r="32" spans="1:27">
      <c r="A32" s="458" t="s">
        <v>244</v>
      </c>
      <c r="B32" s="416">
        <v>0</v>
      </c>
      <c r="C32" s="416">
        <v>0</v>
      </c>
      <c r="D32" s="422"/>
      <c r="E32" s="422"/>
      <c r="F32" s="422">
        <v>0</v>
      </c>
      <c r="G32" s="422"/>
      <c r="H32" s="422">
        <v>2</v>
      </c>
      <c r="I32" s="422">
        <v>3147</v>
      </c>
      <c r="J32" s="423" t="s">
        <v>58</v>
      </c>
      <c r="K32" s="426" t="s">
        <v>58</v>
      </c>
      <c r="L32" s="422">
        <v>0</v>
      </c>
      <c r="M32" s="422">
        <v>0</v>
      </c>
      <c r="N32" s="422">
        <v>9</v>
      </c>
      <c r="O32" s="422">
        <v>14807</v>
      </c>
      <c r="P32" s="416">
        <v>0</v>
      </c>
      <c r="Q32" s="416">
        <v>0</v>
      </c>
      <c r="R32" s="416">
        <v>0</v>
      </c>
      <c r="S32" s="416">
        <v>0</v>
      </c>
      <c r="T32" s="422"/>
      <c r="U32" s="422"/>
      <c r="V32" s="422">
        <f>_xlfn.IFNA(VLOOKUP(A32,[5]進出口值表查詢結果!$C$11:$F$68,4,0),-[4]整車!$B$22)</f>
        <v>0</v>
      </c>
      <c r="W32" s="422">
        <f>_xlfn.IFNA(VLOOKUP(A32,[5]進出口值表查詢結果!$C$11:$F$68,3,0),-[4]整車!$B$22)</f>
        <v>0</v>
      </c>
      <c r="X32" s="422">
        <f>_xlfn.IFNA(VLOOKUP(A32,[6]進出口值表查詢結果!$C$11:$F$68,4,0),-[4]整車!$B$22)</f>
        <v>12</v>
      </c>
      <c r="Y32" s="422">
        <f>_xlfn.IFNA(VLOOKUP(A32,[6]進出口值表查詢結果!$C$11:$F$68,3,0),-[4]整車!$B$22)</f>
        <v>16410</v>
      </c>
      <c r="Z32" s="416">
        <f t="shared" si="3"/>
        <v>23</v>
      </c>
      <c r="AA32" s="416">
        <f t="shared" si="4"/>
        <v>34364</v>
      </c>
    </row>
    <row r="33" spans="1:27">
      <c r="A33" s="458" t="s">
        <v>245</v>
      </c>
      <c r="B33" s="416">
        <v>0</v>
      </c>
      <c r="C33" s="416">
        <v>0</v>
      </c>
      <c r="D33" s="422">
        <v>65</v>
      </c>
      <c r="E33" s="422">
        <v>100633</v>
      </c>
      <c r="F33" s="416">
        <v>430</v>
      </c>
      <c r="G33" s="422">
        <v>75772</v>
      </c>
      <c r="H33" s="422">
        <v>89</v>
      </c>
      <c r="I33" s="422">
        <v>94535</v>
      </c>
      <c r="J33" s="423" t="s">
        <v>58</v>
      </c>
      <c r="K33" s="426" t="s">
        <v>58</v>
      </c>
      <c r="L33" s="422">
        <v>0</v>
      </c>
      <c r="M33" s="422">
        <v>0</v>
      </c>
      <c r="N33" s="422">
        <v>0</v>
      </c>
      <c r="O33" s="422">
        <v>0</v>
      </c>
      <c r="P33" s="416">
        <v>0</v>
      </c>
      <c r="Q33" s="416">
        <v>0</v>
      </c>
      <c r="R33" s="416">
        <v>0</v>
      </c>
      <c r="S33" s="416">
        <v>0</v>
      </c>
      <c r="T33" s="422"/>
      <c r="U33" s="422"/>
      <c r="V33" s="422">
        <f>_xlfn.IFNA(VLOOKUP(A33,[5]進出口值表查詢結果!$C$11:$F$68,4,0),-[4]整車!$B$22)</f>
        <v>0</v>
      </c>
      <c r="W33" s="422">
        <f>_xlfn.IFNA(VLOOKUP(A33,[5]進出口值表查詢結果!$C$11:$F$68,3,0),-[4]整車!$B$22)</f>
        <v>0</v>
      </c>
      <c r="X33" s="422">
        <f>_xlfn.IFNA(VLOOKUP(A33,[6]進出口值表查詢結果!$C$11:$F$68,4,0),-[4]整車!$B$22)</f>
        <v>36</v>
      </c>
      <c r="Y33" s="422">
        <f>_xlfn.IFNA(VLOOKUP(A33,[6]進出口值表查詢結果!$C$11:$F$68,3,0),-[4]整車!$B$22)</f>
        <v>41708</v>
      </c>
      <c r="Z33" s="422">
        <f t="shared" si="3"/>
        <v>620</v>
      </c>
      <c r="AA33" s="422">
        <f t="shared" si="4"/>
        <v>312648</v>
      </c>
    </row>
    <row r="34" spans="1:27">
      <c r="A34" s="458" t="s">
        <v>246</v>
      </c>
      <c r="B34" s="416">
        <v>0</v>
      </c>
      <c r="C34" s="416">
        <v>0</v>
      </c>
      <c r="D34" s="422"/>
      <c r="E34" s="422"/>
      <c r="F34" s="422">
        <v>0</v>
      </c>
      <c r="G34" s="422"/>
      <c r="H34" s="422">
        <v>0</v>
      </c>
      <c r="I34" s="422">
        <v>0</v>
      </c>
      <c r="J34" s="423" t="s">
        <v>58</v>
      </c>
      <c r="K34" s="426" t="s">
        <v>58</v>
      </c>
      <c r="L34" s="422">
        <v>200</v>
      </c>
      <c r="M34" s="422">
        <v>26608</v>
      </c>
      <c r="N34" s="422">
        <v>0</v>
      </c>
      <c r="O34" s="422">
        <v>0</v>
      </c>
      <c r="P34" s="416">
        <v>0</v>
      </c>
      <c r="Q34" s="416">
        <v>0</v>
      </c>
      <c r="R34" s="416">
        <v>0</v>
      </c>
      <c r="S34" s="416">
        <v>0</v>
      </c>
      <c r="T34" s="422"/>
      <c r="U34" s="422"/>
      <c r="V34" s="422">
        <f>_xlfn.IFNA(VLOOKUP(A34,[5]進出口值表查詢結果!$C$11:$F$68,4,0),-[4]整車!$B$22)</f>
        <v>0</v>
      </c>
      <c r="W34" s="422">
        <f>_xlfn.IFNA(VLOOKUP(A34,[5]進出口值表查詢結果!$C$11:$F$68,3,0),-[4]整車!$B$22)</f>
        <v>0</v>
      </c>
      <c r="X34" s="422">
        <f>_xlfn.IFNA(VLOOKUP(A34,[6]進出口值表查詢結果!$C$11:$F$68,4,0),-[4]整車!$B$22)</f>
        <v>0</v>
      </c>
      <c r="Y34" s="422">
        <f>_xlfn.IFNA(VLOOKUP(A34,[6]進出口值表查詢結果!$C$11:$F$68,3,0),-[4]整車!$B$22)</f>
        <v>0</v>
      </c>
      <c r="Z34" s="422">
        <f t="shared" si="3"/>
        <v>200</v>
      </c>
      <c r="AA34" s="422">
        <f t="shared" si="4"/>
        <v>26608</v>
      </c>
    </row>
    <row r="35" spans="1:27">
      <c r="A35" s="415"/>
      <c r="B35" s="416"/>
      <c r="C35" s="416"/>
      <c r="D35" s="416"/>
      <c r="E35" s="416"/>
      <c r="F35" s="416"/>
      <c r="G35" s="416"/>
      <c r="H35" s="416"/>
      <c r="I35" s="416"/>
      <c r="J35" s="409"/>
      <c r="K35" s="410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</row>
    <row r="36" spans="1:27">
      <c r="A36" s="428" t="s">
        <v>141</v>
      </c>
      <c r="B36" s="429">
        <f t="shared" ref="B36:Y36" si="5">B38+B68+B75</f>
        <v>79424</v>
      </c>
      <c r="C36" s="429">
        <f t="shared" si="5"/>
        <v>35612604</v>
      </c>
      <c r="D36" s="429">
        <f t="shared" si="5"/>
        <v>64213</v>
      </c>
      <c r="E36" s="429">
        <f t="shared" si="5"/>
        <v>30491608</v>
      </c>
      <c r="F36" s="429">
        <f t="shared" si="5"/>
        <v>54696</v>
      </c>
      <c r="G36" s="429">
        <f t="shared" si="5"/>
        <v>29542744</v>
      </c>
      <c r="H36" s="429">
        <f t="shared" si="5"/>
        <v>39009</v>
      </c>
      <c r="I36" s="429">
        <f t="shared" si="5"/>
        <v>19973565</v>
      </c>
      <c r="J36" s="430">
        <f t="shared" si="5"/>
        <v>44931</v>
      </c>
      <c r="K36" s="431">
        <f>K38+K68+K75</f>
        <v>28357229</v>
      </c>
      <c r="L36" s="429">
        <f t="shared" si="5"/>
        <v>51038</v>
      </c>
      <c r="M36" s="429">
        <f t="shared" si="5"/>
        <v>32305965</v>
      </c>
      <c r="N36" s="429">
        <f t="shared" si="5"/>
        <v>44856</v>
      </c>
      <c r="O36" s="429">
        <f t="shared" si="5"/>
        <v>35121669</v>
      </c>
      <c r="P36" s="429">
        <f t="shared" si="5"/>
        <v>69496</v>
      </c>
      <c r="Q36" s="429">
        <f t="shared" si="5"/>
        <v>46505146</v>
      </c>
      <c r="R36" s="429">
        <f t="shared" si="5"/>
        <v>46124</v>
      </c>
      <c r="S36" s="429">
        <f t="shared" si="5"/>
        <v>32297052</v>
      </c>
      <c r="T36" s="429">
        <f t="shared" si="5"/>
        <v>63488</v>
      </c>
      <c r="U36" s="429">
        <f t="shared" si="5"/>
        <v>38464858</v>
      </c>
      <c r="V36" s="429">
        <f>V38+V68+V75</f>
        <v>52331</v>
      </c>
      <c r="W36" s="429">
        <f>W38+W68+W75</f>
        <v>31078138</v>
      </c>
      <c r="X36" s="429">
        <f t="shared" si="5"/>
        <v>64845</v>
      </c>
      <c r="Y36" s="429">
        <f t="shared" si="5"/>
        <v>39655701</v>
      </c>
      <c r="Z36" s="429">
        <f>SUM(B36,D36,F36,H36,J36,L36,N36,P36,R36,T36,V36,X36)</f>
        <v>674451</v>
      </c>
      <c r="AA36" s="429">
        <f>SUM(C36,E36,G36,I36,K36,M36,O36,Q36,S36,U36,W36,Y36)</f>
        <v>399406279</v>
      </c>
    </row>
    <row r="37" spans="1:27">
      <c r="A37" s="415"/>
      <c r="B37" s="416"/>
      <c r="C37" s="416"/>
      <c r="D37" s="416"/>
      <c r="E37" s="416"/>
      <c r="F37" s="416"/>
      <c r="G37" s="416"/>
      <c r="H37" s="416"/>
      <c r="I37" s="416"/>
      <c r="J37" s="409"/>
      <c r="K37" s="410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</row>
    <row r="38" spans="1:27">
      <c r="A38" s="432" t="s">
        <v>8</v>
      </c>
      <c r="B38" s="433">
        <f t="shared" ref="B38:Y38" si="6">SUM(B39:B66)</f>
        <v>71602</v>
      </c>
      <c r="C38" s="433">
        <f t="shared" si="6"/>
        <v>31042061</v>
      </c>
      <c r="D38" s="433">
        <f t="shared" si="6"/>
        <v>57938</v>
      </c>
      <c r="E38" s="433">
        <f t="shared" si="6"/>
        <v>27066923</v>
      </c>
      <c r="F38" s="433">
        <f t="shared" si="6"/>
        <v>50036</v>
      </c>
      <c r="G38" s="433">
        <f t="shared" si="6"/>
        <v>26756451</v>
      </c>
      <c r="H38" s="433">
        <f t="shared" si="6"/>
        <v>35898</v>
      </c>
      <c r="I38" s="433">
        <f t="shared" si="6"/>
        <v>18239616</v>
      </c>
      <c r="J38" s="434">
        <f t="shared" si="6"/>
        <v>42641</v>
      </c>
      <c r="K38" s="435">
        <f>SUM(K39:K66)</f>
        <v>26690377</v>
      </c>
      <c r="L38" s="433">
        <f t="shared" si="6"/>
        <v>48143</v>
      </c>
      <c r="M38" s="433">
        <f t="shared" si="6"/>
        <v>30331535</v>
      </c>
      <c r="N38" s="433">
        <f t="shared" si="6"/>
        <v>41659</v>
      </c>
      <c r="O38" s="433">
        <f t="shared" si="6"/>
        <v>32356018</v>
      </c>
      <c r="P38" s="433">
        <f t="shared" si="6"/>
        <v>67372</v>
      </c>
      <c r="Q38" s="433">
        <f t="shared" si="6"/>
        <v>44304841</v>
      </c>
      <c r="R38" s="433">
        <f t="shared" si="6"/>
        <v>44242</v>
      </c>
      <c r="S38" s="433">
        <f t="shared" si="6"/>
        <v>30263800</v>
      </c>
      <c r="T38" s="433">
        <f t="shared" si="6"/>
        <v>58319</v>
      </c>
      <c r="U38" s="433">
        <f t="shared" si="6"/>
        <v>35452809</v>
      </c>
      <c r="V38" s="433">
        <f>SUM(V39:V66)</f>
        <v>49253</v>
      </c>
      <c r="W38" s="433">
        <f>SUM(W39:W66)</f>
        <v>28348880</v>
      </c>
      <c r="X38" s="433">
        <f t="shared" si="6"/>
        <v>58138</v>
      </c>
      <c r="Y38" s="433">
        <f t="shared" si="6"/>
        <v>33913506</v>
      </c>
      <c r="Z38" s="433">
        <f t="shared" ref="Z38:Z66" si="7">SUM(B38,D38,F38,H38,J38,L38,N38,P38,R38,T38,V38,X38)</f>
        <v>625241</v>
      </c>
      <c r="AA38" s="433">
        <f t="shared" ref="AA38:AA66" si="8">SUM(C38,E38,G38,I38,K38,M38,O38,Q38,S38,U38,W38,Y38)</f>
        <v>364766817</v>
      </c>
    </row>
    <row r="39" spans="1:27">
      <c r="A39" s="458" t="s">
        <v>160</v>
      </c>
      <c r="B39" s="422">
        <v>9455</v>
      </c>
      <c r="C39" s="422">
        <v>8098805</v>
      </c>
      <c r="D39" s="422">
        <v>5899</v>
      </c>
      <c r="E39" s="422">
        <v>4489009</v>
      </c>
      <c r="F39" s="422">
        <v>11184</v>
      </c>
      <c r="G39" s="422">
        <v>11101791</v>
      </c>
      <c r="H39" s="422">
        <v>7475</v>
      </c>
      <c r="I39" s="422">
        <v>8873601</v>
      </c>
      <c r="J39" s="423">
        <v>12869</v>
      </c>
      <c r="K39" s="424">
        <v>13913534</v>
      </c>
      <c r="L39" s="422">
        <v>14682</v>
      </c>
      <c r="M39" s="422">
        <v>14178313</v>
      </c>
      <c r="N39" s="422">
        <v>14082</v>
      </c>
      <c r="O39" s="422">
        <v>14946790</v>
      </c>
      <c r="P39" s="422">
        <v>17288</v>
      </c>
      <c r="Q39" s="422">
        <v>20932370</v>
      </c>
      <c r="R39" s="422">
        <v>13841</v>
      </c>
      <c r="S39" s="422">
        <v>14623372</v>
      </c>
      <c r="T39" s="422">
        <v>14781</v>
      </c>
      <c r="U39" s="422">
        <v>14961515</v>
      </c>
      <c r="V39" s="422">
        <f>_xlfn.IFNA(VLOOKUP(A39,[5]進出口值表查詢結果!$C$11:$F$68,4,0),-[4]整車!$B$22)</f>
        <v>14525</v>
      </c>
      <c r="W39" s="422">
        <f>_xlfn.IFNA(VLOOKUP(A39,[5]進出口值表查詢結果!$C$11:$F$68,3,0),-[4]整車!$B$22)</f>
        <v>13590883</v>
      </c>
      <c r="X39" s="422">
        <f>_xlfn.IFNA(VLOOKUP(A39,[6]進出口值表查詢結果!$C$11:$F$68,4,0),-[4]整車!$B$22)</f>
        <v>15792</v>
      </c>
      <c r="Y39" s="422">
        <f>_xlfn.IFNA(VLOOKUP(A39,[6]進出口值表查詢結果!$C$11:$F$68,3,0),-[4]整車!$B$22)</f>
        <v>15201155</v>
      </c>
      <c r="Z39" s="416">
        <f t="shared" si="7"/>
        <v>151873</v>
      </c>
      <c r="AA39" s="416">
        <f t="shared" si="8"/>
        <v>154911138</v>
      </c>
    </row>
    <row r="40" spans="1:27">
      <c r="A40" s="458" t="s">
        <v>163</v>
      </c>
      <c r="B40" s="422">
        <v>6408</v>
      </c>
      <c r="C40" s="422">
        <v>3502900</v>
      </c>
      <c r="D40" s="422">
        <v>12057</v>
      </c>
      <c r="E40" s="422">
        <v>3128315</v>
      </c>
      <c r="F40" s="422">
        <v>8271</v>
      </c>
      <c r="G40" s="422">
        <v>2563956</v>
      </c>
      <c r="H40" s="422">
        <v>4864</v>
      </c>
      <c r="I40" s="422">
        <v>1321695</v>
      </c>
      <c r="J40" s="423">
        <v>2458</v>
      </c>
      <c r="K40" s="424">
        <v>672571</v>
      </c>
      <c r="L40" s="422">
        <v>2556</v>
      </c>
      <c r="M40" s="422">
        <v>1168366</v>
      </c>
      <c r="N40" s="422">
        <v>4316</v>
      </c>
      <c r="O40" s="422">
        <v>1533943</v>
      </c>
      <c r="P40" s="422">
        <v>4965</v>
      </c>
      <c r="Q40" s="422">
        <v>2104096</v>
      </c>
      <c r="R40" s="422">
        <v>3366</v>
      </c>
      <c r="S40" s="422">
        <v>1847351</v>
      </c>
      <c r="T40" s="422">
        <v>3654</v>
      </c>
      <c r="U40" s="422">
        <v>1456075</v>
      </c>
      <c r="V40" s="422">
        <f>_xlfn.IFNA(VLOOKUP(A40,[5]進出口值表查詢結果!$C$11:$F$68,4,0),-[4]整車!$B$22)</f>
        <v>5797</v>
      </c>
      <c r="W40" s="422">
        <f>_xlfn.IFNA(VLOOKUP(A40,[5]進出口值表查詢結果!$C$11:$F$68,3,0),-[4]整車!$B$22)</f>
        <v>1411961</v>
      </c>
      <c r="X40" s="422">
        <f>_xlfn.IFNA(VLOOKUP(A40,[6]進出口值表查詢結果!$C$11:$F$68,4,0),-[4]整車!$B$22)</f>
        <v>5920</v>
      </c>
      <c r="Y40" s="422">
        <f>_xlfn.IFNA(VLOOKUP(A40,[6]進出口值表查詢結果!$C$11:$F$68,3,0),-[4]整車!$B$22)</f>
        <v>1991602</v>
      </c>
      <c r="Z40" s="416">
        <f t="shared" si="7"/>
        <v>64632</v>
      </c>
      <c r="AA40" s="416">
        <f t="shared" si="8"/>
        <v>22702831</v>
      </c>
    </row>
    <row r="41" spans="1:27">
      <c r="A41" s="458" t="s">
        <v>177</v>
      </c>
      <c r="B41" s="422">
        <v>1316</v>
      </c>
      <c r="C41" s="422">
        <v>717427</v>
      </c>
      <c r="D41" s="422">
        <v>911</v>
      </c>
      <c r="E41" s="422">
        <v>709326</v>
      </c>
      <c r="F41" s="422">
        <v>1777</v>
      </c>
      <c r="G41" s="422">
        <v>1217722</v>
      </c>
      <c r="H41" s="422">
        <v>547</v>
      </c>
      <c r="I41" s="422">
        <v>1236471</v>
      </c>
      <c r="J41" s="423">
        <v>504</v>
      </c>
      <c r="K41" s="424">
        <v>997393</v>
      </c>
      <c r="L41" s="422">
        <v>1828</v>
      </c>
      <c r="M41" s="422">
        <v>1782072</v>
      </c>
      <c r="N41" s="422">
        <v>858</v>
      </c>
      <c r="O41" s="422">
        <v>1473021</v>
      </c>
      <c r="P41" s="422">
        <v>1248</v>
      </c>
      <c r="Q41" s="422">
        <v>1567705</v>
      </c>
      <c r="R41" s="422">
        <v>1489</v>
      </c>
      <c r="S41" s="422">
        <v>1445890</v>
      </c>
      <c r="T41" s="422">
        <v>1319</v>
      </c>
      <c r="U41" s="422">
        <v>1108193</v>
      </c>
      <c r="V41" s="422">
        <f>_xlfn.IFNA(VLOOKUP(A41,[5]進出口值表查詢結果!$C$11:$F$68,4,0),-[4]整車!$B$22)</f>
        <v>1769</v>
      </c>
      <c r="W41" s="422">
        <f>_xlfn.IFNA(VLOOKUP(A41,[5]進出口值表查詢結果!$C$11:$F$68,3,0),-[4]整車!$B$22)</f>
        <v>798510</v>
      </c>
      <c r="X41" s="422">
        <f>_xlfn.IFNA(VLOOKUP(A41,[6]進出口值表查詢結果!$C$11:$F$68,4,0),-[4]整車!$B$22)</f>
        <v>2665</v>
      </c>
      <c r="Y41" s="422">
        <f>_xlfn.IFNA(VLOOKUP(A41,[6]進出口值表查詢結果!$C$11:$F$68,3,0),-[4]整車!$B$22)</f>
        <v>1213680</v>
      </c>
      <c r="Z41" s="416">
        <f t="shared" si="7"/>
        <v>16231</v>
      </c>
      <c r="AA41" s="416">
        <f t="shared" si="8"/>
        <v>14267410</v>
      </c>
    </row>
    <row r="42" spans="1:27">
      <c r="A42" s="458" t="s">
        <v>161</v>
      </c>
      <c r="B42" s="422">
        <v>17706</v>
      </c>
      <c r="C42" s="422">
        <v>5035525</v>
      </c>
      <c r="D42" s="422">
        <v>6240</v>
      </c>
      <c r="E42" s="422">
        <v>3784977</v>
      </c>
      <c r="F42" s="422">
        <v>9566</v>
      </c>
      <c r="G42" s="422">
        <v>2935879</v>
      </c>
      <c r="H42" s="422">
        <v>6503</v>
      </c>
      <c r="I42" s="422">
        <v>3044684</v>
      </c>
      <c r="J42" s="423">
        <v>5112</v>
      </c>
      <c r="K42" s="424">
        <v>3224993</v>
      </c>
      <c r="L42" s="422">
        <v>13471</v>
      </c>
      <c r="M42" s="422">
        <v>4417423</v>
      </c>
      <c r="N42" s="422">
        <v>11009</v>
      </c>
      <c r="O42" s="422">
        <v>4729278</v>
      </c>
      <c r="P42" s="422">
        <v>33998</v>
      </c>
      <c r="Q42" s="422">
        <v>11641642</v>
      </c>
      <c r="R42" s="422">
        <v>15962</v>
      </c>
      <c r="S42" s="422">
        <v>6253943</v>
      </c>
      <c r="T42" s="422">
        <v>18510</v>
      </c>
      <c r="U42" s="422">
        <v>8270668</v>
      </c>
      <c r="V42" s="422">
        <f>_xlfn.IFNA(VLOOKUP(A42,[5]進出口值表查詢結果!$C$11:$F$68,4,0),-[4]整車!$B$22)</f>
        <v>12194</v>
      </c>
      <c r="W42" s="422">
        <f>_xlfn.IFNA(VLOOKUP(A42,[5]進出口值表查詢結果!$C$11:$F$68,3,0),-[4]整車!$B$22)</f>
        <v>5955460</v>
      </c>
      <c r="X42" s="422">
        <f>_xlfn.IFNA(VLOOKUP(A42,[6]進出口值表查詢結果!$C$11:$F$68,4,0),-[4]整車!$B$22)</f>
        <v>14217</v>
      </c>
      <c r="Y42" s="422">
        <f>_xlfn.IFNA(VLOOKUP(A42,[6]進出口值表查詢結果!$C$11:$F$68,3,0),-[4]整車!$B$22)</f>
        <v>5372669</v>
      </c>
      <c r="Z42" s="416">
        <f t="shared" si="7"/>
        <v>164488</v>
      </c>
      <c r="AA42" s="416">
        <f t="shared" si="8"/>
        <v>64667141</v>
      </c>
    </row>
    <row r="43" spans="1:27">
      <c r="A43" s="458" t="s">
        <v>169</v>
      </c>
      <c r="B43" s="422">
        <v>1251</v>
      </c>
      <c r="C43" s="422">
        <v>1143718</v>
      </c>
      <c r="D43" s="422">
        <v>1214</v>
      </c>
      <c r="E43" s="422">
        <v>1514756</v>
      </c>
      <c r="F43" s="422">
        <v>1275</v>
      </c>
      <c r="G43" s="422">
        <v>1300366</v>
      </c>
      <c r="H43" s="422">
        <v>85</v>
      </c>
      <c r="I43" s="422">
        <v>106062</v>
      </c>
      <c r="J43" s="423">
        <v>889</v>
      </c>
      <c r="K43" s="424">
        <v>1214599</v>
      </c>
      <c r="L43" s="422">
        <v>1601</v>
      </c>
      <c r="M43" s="422">
        <v>1668970</v>
      </c>
      <c r="N43" s="422">
        <v>925</v>
      </c>
      <c r="O43" s="422">
        <v>1104904</v>
      </c>
      <c r="P43" s="422">
        <v>519</v>
      </c>
      <c r="Q43" s="422">
        <v>835276</v>
      </c>
      <c r="R43" s="422">
        <v>1150</v>
      </c>
      <c r="S43" s="422">
        <v>1209512</v>
      </c>
      <c r="T43" s="422">
        <v>2343</v>
      </c>
      <c r="U43" s="422">
        <v>2166095</v>
      </c>
      <c r="V43" s="422">
        <f>_xlfn.IFNA(VLOOKUP(A43,[5]進出口值表查詢結果!$C$11:$F$68,4,0),-[4]整車!$B$22)</f>
        <v>1094</v>
      </c>
      <c r="W43" s="422">
        <f>_xlfn.IFNA(VLOOKUP(A43,[5]進出口值表查詢結果!$C$11:$F$68,3,0),-[4]整車!$B$22)</f>
        <v>1193068</v>
      </c>
      <c r="X43" s="422">
        <f>_xlfn.IFNA(VLOOKUP(A43,[6]進出口值表查詢結果!$C$11:$F$68,4,0),-[4]整車!$B$22)</f>
        <v>680</v>
      </c>
      <c r="Y43" s="422">
        <f>_xlfn.IFNA(VLOOKUP(A43,[6]進出口值表查詢結果!$C$11:$F$68,3,0),-[4]整車!$B$22)</f>
        <v>895521</v>
      </c>
      <c r="Z43" s="416">
        <f t="shared" si="7"/>
        <v>13026</v>
      </c>
      <c r="AA43" s="416">
        <f t="shared" si="8"/>
        <v>14352847</v>
      </c>
    </row>
    <row r="44" spans="1:27">
      <c r="A44" s="421" t="s">
        <v>250</v>
      </c>
      <c r="B44" s="422">
        <v>1462</v>
      </c>
      <c r="C44" s="422">
        <v>1150648</v>
      </c>
      <c r="D44" s="422">
        <v>1170</v>
      </c>
      <c r="E44" s="422">
        <v>1065890</v>
      </c>
      <c r="F44" s="422">
        <v>328</v>
      </c>
      <c r="G44" s="422">
        <v>441720</v>
      </c>
      <c r="H44" s="422">
        <v>198</v>
      </c>
      <c r="I44" s="422">
        <v>604272</v>
      </c>
      <c r="J44" s="423">
        <v>824</v>
      </c>
      <c r="K44" s="424">
        <v>1298798</v>
      </c>
      <c r="L44" s="422">
        <v>1079</v>
      </c>
      <c r="M44" s="422">
        <v>1208211</v>
      </c>
      <c r="N44" s="422">
        <v>807</v>
      </c>
      <c r="O44" s="422">
        <v>1002195</v>
      </c>
      <c r="P44" s="422">
        <v>796</v>
      </c>
      <c r="Q44" s="422">
        <v>1264047</v>
      </c>
      <c r="R44" s="422">
        <v>605</v>
      </c>
      <c r="S44" s="422">
        <v>956624</v>
      </c>
      <c r="T44" s="422">
        <v>1343</v>
      </c>
      <c r="U44" s="422">
        <v>1450743</v>
      </c>
      <c r="V44" s="422">
        <f>_xlfn.IFNA(VLOOKUP(A44,[5]進出口值表查詢結果!$C$11:$F$68,4,0),-[4]整車!$B$22)</f>
        <v>1030</v>
      </c>
      <c r="W44" s="422">
        <f>_xlfn.IFNA(VLOOKUP(A44,[5]進出口值表查詢結果!$C$11:$F$68,3,0),-[4]整車!$B$22)</f>
        <v>1221871</v>
      </c>
      <c r="X44" s="422">
        <f>_xlfn.IFNA(VLOOKUP(A44,[6]進出口值表查詢結果!$C$11:$F$68,4,0),-[4]整車!$B$22)</f>
        <v>1914</v>
      </c>
      <c r="Y44" s="422">
        <f>_xlfn.IFNA(VLOOKUP(A44,[6]進出口值表查詢結果!$C$11:$F$68,3,0),-[4]整車!$B$22)</f>
        <v>2462982</v>
      </c>
      <c r="Z44" s="416">
        <f t="shared" si="7"/>
        <v>11556</v>
      </c>
      <c r="AA44" s="416">
        <f t="shared" si="8"/>
        <v>14128001</v>
      </c>
    </row>
    <row r="45" spans="1:27">
      <c r="A45" s="458" t="s">
        <v>187</v>
      </c>
      <c r="B45" s="422">
        <v>8259</v>
      </c>
      <c r="C45" s="422">
        <v>7055116</v>
      </c>
      <c r="D45" s="422">
        <v>7827</v>
      </c>
      <c r="E45" s="422">
        <v>8311625</v>
      </c>
      <c r="F45" s="422">
        <v>5451</v>
      </c>
      <c r="G45" s="422">
        <v>4815102</v>
      </c>
      <c r="H45" s="422">
        <v>1437</v>
      </c>
      <c r="I45" s="422">
        <v>897615</v>
      </c>
      <c r="J45" s="423">
        <v>6587</v>
      </c>
      <c r="K45" s="424">
        <v>3549849</v>
      </c>
      <c r="L45" s="422">
        <v>5956</v>
      </c>
      <c r="M45" s="422">
        <v>4372019</v>
      </c>
      <c r="N45" s="422">
        <v>6178</v>
      </c>
      <c r="O45" s="422">
        <v>5869574</v>
      </c>
      <c r="P45" s="422">
        <v>5911</v>
      </c>
      <c r="Q45" s="422">
        <v>4858793</v>
      </c>
      <c r="R45" s="422">
        <v>4741</v>
      </c>
      <c r="S45" s="422">
        <v>2750680</v>
      </c>
      <c r="T45" s="422">
        <v>8165</v>
      </c>
      <c r="U45" s="422">
        <v>3665783</v>
      </c>
      <c r="V45" s="422">
        <f>_xlfn.IFNA(VLOOKUP(A45,[5]進出口值表查詢結果!$C$11:$F$68,4,0),-[4]整車!$B$22)</f>
        <v>4599</v>
      </c>
      <c r="W45" s="422">
        <f>_xlfn.IFNA(VLOOKUP(A45,[5]進出口值表查詢結果!$C$11:$F$68,3,0),-[4]整車!$B$22)</f>
        <v>2448875</v>
      </c>
      <c r="X45" s="422">
        <f>_xlfn.IFNA(VLOOKUP(A45,[6]進出口值表查詢結果!$C$11:$F$68,4,0),-[4]整車!$B$22)</f>
        <v>6519</v>
      </c>
      <c r="Y45" s="422">
        <f>_xlfn.IFNA(VLOOKUP(A45,[6]進出口值表查詢結果!$C$11:$F$68,3,0),-[4]整車!$B$22)</f>
        <v>4708366</v>
      </c>
      <c r="Z45" s="416">
        <f t="shared" si="7"/>
        <v>71630</v>
      </c>
      <c r="AA45" s="416">
        <f t="shared" si="8"/>
        <v>53303397</v>
      </c>
    </row>
    <row r="46" spans="1:27">
      <c r="A46" s="458" t="s">
        <v>164</v>
      </c>
      <c r="B46" s="422">
        <v>2698</v>
      </c>
      <c r="C46" s="422">
        <v>337022</v>
      </c>
      <c r="D46" s="422">
        <v>4227</v>
      </c>
      <c r="E46" s="422">
        <v>590807</v>
      </c>
      <c r="F46" s="422">
        <v>1385</v>
      </c>
      <c r="G46" s="422">
        <v>364355</v>
      </c>
      <c r="H46" s="422">
        <v>2867</v>
      </c>
      <c r="I46" s="422">
        <v>160451</v>
      </c>
      <c r="J46" s="423">
        <v>493</v>
      </c>
      <c r="K46" s="424">
        <v>68059</v>
      </c>
      <c r="L46" s="422">
        <v>3511</v>
      </c>
      <c r="M46" s="422">
        <v>345274</v>
      </c>
      <c r="N46" s="436">
        <v>616</v>
      </c>
      <c r="O46" s="436">
        <v>145435</v>
      </c>
      <c r="P46" s="422">
        <v>252</v>
      </c>
      <c r="Q46" s="422">
        <v>50525</v>
      </c>
      <c r="R46" s="422">
        <v>1078</v>
      </c>
      <c r="S46" s="422">
        <v>229756</v>
      </c>
      <c r="T46" s="422">
        <v>2600</v>
      </c>
      <c r="U46" s="422">
        <v>425508</v>
      </c>
      <c r="V46" s="422">
        <f>_xlfn.IFNA(VLOOKUP(A46,[5]進出口值表查詢結果!$C$11:$F$68,4,0),-[4]整車!$B$22)</f>
        <v>2376</v>
      </c>
      <c r="W46" s="422">
        <f>_xlfn.IFNA(VLOOKUP(A46,[5]進出口值表查詢結果!$C$11:$F$68,3,0),-[4]整車!$B$22)</f>
        <v>357540</v>
      </c>
      <c r="X46" s="422">
        <f>_xlfn.IFNA(VLOOKUP(A46,[6]進出口值表查詢結果!$C$11:$F$68,4,0),-[4]整車!$B$22)</f>
        <v>3399</v>
      </c>
      <c r="Y46" s="422">
        <f>_xlfn.IFNA(VLOOKUP(A46,[6]進出口值表查詢結果!$C$11:$F$68,3,0),-[4]整車!$B$22)</f>
        <v>252100</v>
      </c>
      <c r="Z46" s="416">
        <f t="shared" si="7"/>
        <v>25502</v>
      </c>
      <c r="AA46" s="416">
        <f t="shared" si="8"/>
        <v>3326832</v>
      </c>
    </row>
    <row r="47" spans="1:27">
      <c r="A47" s="458" t="s">
        <v>190</v>
      </c>
      <c r="B47" s="422">
        <v>0</v>
      </c>
      <c r="C47" s="422">
        <v>0</v>
      </c>
      <c r="D47" s="422"/>
      <c r="E47" s="422"/>
      <c r="F47" s="422">
        <v>0</v>
      </c>
      <c r="G47" s="422"/>
      <c r="H47" s="422">
        <v>0</v>
      </c>
      <c r="I47" s="422">
        <v>0</v>
      </c>
      <c r="J47" s="423">
        <v>17</v>
      </c>
      <c r="K47" s="424">
        <v>30939</v>
      </c>
      <c r="L47" s="422">
        <v>0</v>
      </c>
      <c r="M47" s="422">
        <v>0</v>
      </c>
      <c r="N47" s="422">
        <v>0</v>
      </c>
      <c r="O47" s="422">
        <v>0</v>
      </c>
      <c r="P47" s="422">
        <v>0</v>
      </c>
      <c r="Q47" s="422">
        <v>0</v>
      </c>
      <c r="R47" s="422">
        <v>0</v>
      </c>
      <c r="S47" s="422">
        <v>0</v>
      </c>
      <c r="T47" s="422"/>
      <c r="U47" s="422"/>
      <c r="V47" s="422">
        <f>_xlfn.IFNA(VLOOKUP(A47,[5]進出口值表查詢結果!$C$11:$F$68,4,0),-[4]整車!$B$22)</f>
        <v>13</v>
      </c>
      <c r="W47" s="422">
        <f>_xlfn.IFNA(VLOOKUP(A47,[5]進出口值表查詢結果!$C$11:$F$68,3,0),-[4]整車!$B$22)</f>
        <v>30641</v>
      </c>
      <c r="X47" s="422">
        <f>_xlfn.IFNA(VLOOKUP(A47,[6]進出口值表查詢結果!$C$11:$F$68,4,0),-[4]整車!$B$22)</f>
        <v>0</v>
      </c>
      <c r="Y47" s="422">
        <f>_xlfn.IFNA(VLOOKUP(A47,[6]進出口值表查詢結果!$C$11:$F$68,3,0),-[4]整車!$B$22)</f>
        <v>0</v>
      </c>
      <c r="Z47" s="416">
        <f t="shared" si="7"/>
        <v>30</v>
      </c>
      <c r="AA47" s="416">
        <f t="shared" si="8"/>
        <v>61580</v>
      </c>
    </row>
    <row r="48" spans="1:27">
      <c r="A48" s="458" t="s">
        <v>253</v>
      </c>
      <c r="B48" s="422">
        <v>1496</v>
      </c>
      <c r="C48" s="422">
        <v>75974</v>
      </c>
      <c r="D48" s="422">
        <v>887</v>
      </c>
      <c r="E48" s="422">
        <v>76782</v>
      </c>
      <c r="F48" s="422">
        <v>282</v>
      </c>
      <c r="G48" s="422">
        <v>34683</v>
      </c>
      <c r="H48" s="422">
        <v>243</v>
      </c>
      <c r="I48" s="422">
        <v>59854</v>
      </c>
      <c r="J48" s="423">
        <v>2854</v>
      </c>
      <c r="K48" s="424">
        <v>111627</v>
      </c>
      <c r="L48" s="422">
        <v>292</v>
      </c>
      <c r="M48" s="422">
        <v>40717</v>
      </c>
      <c r="N48" s="436">
        <v>50</v>
      </c>
      <c r="O48" s="436">
        <v>7437</v>
      </c>
      <c r="P48" s="422">
        <v>0</v>
      </c>
      <c r="Q48" s="422">
        <v>0</v>
      </c>
      <c r="R48" s="422">
        <v>63</v>
      </c>
      <c r="S48" s="422">
        <v>7337</v>
      </c>
      <c r="T48" s="422">
        <v>110</v>
      </c>
      <c r="U48" s="422">
        <v>19242</v>
      </c>
      <c r="V48" s="422">
        <f>_xlfn.IFNA(VLOOKUP(A48,[5]進出口值表查詢結果!$C$11:$F$68,4,0),-[4]整車!$B$22)</f>
        <v>2810</v>
      </c>
      <c r="W48" s="422">
        <f>_xlfn.IFNA(VLOOKUP(A48,[5]進出口值表查詢結果!$C$11:$F$68,3,0),-[4]整車!$B$22)</f>
        <v>115217</v>
      </c>
      <c r="X48" s="422">
        <f>_xlfn.IFNA(VLOOKUP(A48,[6]進出口值表查詢結果!$C$11:$F$68,4,0),-[4]整車!$B$22)</f>
        <v>233</v>
      </c>
      <c r="Y48" s="422">
        <f>_xlfn.IFNA(VLOOKUP(A48,[6]進出口值表查詢結果!$C$11:$F$68,3,0),-[4]整車!$B$22)</f>
        <v>49405</v>
      </c>
      <c r="Z48" s="416">
        <f t="shared" si="7"/>
        <v>9320</v>
      </c>
      <c r="AA48" s="416">
        <f t="shared" si="8"/>
        <v>598275</v>
      </c>
    </row>
    <row r="49" spans="1:27">
      <c r="A49" s="458" t="s">
        <v>193</v>
      </c>
      <c r="B49" s="422">
        <v>0</v>
      </c>
      <c r="C49" s="422">
        <v>0</v>
      </c>
      <c r="D49" s="422"/>
      <c r="E49" s="422"/>
      <c r="F49" s="422">
        <v>0</v>
      </c>
      <c r="G49" s="422"/>
      <c r="H49" s="422">
        <v>0</v>
      </c>
      <c r="I49" s="422">
        <v>0</v>
      </c>
      <c r="J49" s="423" t="s">
        <v>58</v>
      </c>
      <c r="K49" s="426" t="s">
        <v>58</v>
      </c>
      <c r="L49" s="422">
        <v>0</v>
      </c>
      <c r="M49" s="422">
        <v>0</v>
      </c>
      <c r="N49" s="422">
        <v>0</v>
      </c>
      <c r="O49" s="422">
        <v>0</v>
      </c>
      <c r="P49" s="422">
        <v>1103</v>
      </c>
      <c r="Q49" s="422">
        <v>149812</v>
      </c>
      <c r="R49" s="422">
        <v>0</v>
      </c>
      <c r="S49" s="422">
        <v>0</v>
      </c>
      <c r="T49" s="422">
        <v>1020</v>
      </c>
      <c r="U49" s="422">
        <v>82719</v>
      </c>
      <c r="V49" s="422">
        <f>_xlfn.IFNA(VLOOKUP(A49,[5]進出口值表查詢結果!$C$11:$F$68,4,0),-[4]整車!$B$22)</f>
        <v>250</v>
      </c>
      <c r="W49" s="422">
        <f>_xlfn.IFNA(VLOOKUP(A49,[5]進出口值表查詢結果!$C$11:$F$68,3,0),-[4]整車!$B$22)</f>
        <v>40485</v>
      </c>
      <c r="X49" s="422">
        <f>_xlfn.IFNA(VLOOKUP(A49,[6]進出口值表查詢結果!$C$11:$F$68,4,0),-[4]整車!$B$22)</f>
        <v>0</v>
      </c>
      <c r="Y49" s="422">
        <f>_xlfn.IFNA(VLOOKUP(A49,[6]進出口值表查詢結果!$C$11:$F$68,3,0),-[4]整車!$B$22)</f>
        <v>0</v>
      </c>
      <c r="Z49" s="416">
        <f t="shared" si="7"/>
        <v>2373</v>
      </c>
      <c r="AA49" s="416">
        <f t="shared" si="8"/>
        <v>273016</v>
      </c>
    </row>
    <row r="50" spans="1:27">
      <c r="A50" s="458" t="s">
        <v>254</v>
      </c>
      <c r="B50" s="422">
        <v>0</v>
      </c>
      <c r="C50" s="422">
        <v>0</v>
      </c>
      <c r="D50" s="422"/>
      <c r="E50" s="422"/>
      <c r="F50" s="422">
        <v>41</v>
      </c>
      <c r="G50" s="422">
        <v>46233</v>
      </c>
      <c r="H50" s="422">
        <v>0</v>
      </c>
      <c r="I50" s="422">
        <v>0</v>
      </c>
      <c r="J50" s="423">
        <v>78</v>
      </c>
      <c r="K50" s="426">
        <v>136719</v>
      </c>
      <c r="L50" s="422">
        <v>73</v>
      </c>
      <c r="M50" s="422">
        <v>111226</v>
      </c>
      <c r="N50" s="436">
        <v>42</v>
      </c>
      <c r="O50" s="436">
        <v>82995</v>
      </c>
      <c r="P50" s="422">
        <v>76</v>
      </c>
      <c r="Q50" s="422">
        <v>189800</v>
      </c>
      <c r="R50" s="422">
        <v>3</v>
      </c>
      <c r="S50" s="422">
        <v>18037</v>
      </c>
      <c r="T50" s="422"/>
      <c r="U50" s="422"/>
      <c r="V50" s="422">
        <f>_xlfn.IFNA(VLOOKUP(A50,[5]進出口值表查詢結果!$C$11:$F$68,4,0),-[4]整車!$B$22)</f>
        <v>0</v>
      </c>
      <c r="W50" s="422">
        <f>_xlfn.IFNA(VLOOKUP(A50,[5]進出口值表查詢結果!$C$11:$F$68,3,0),-[4]整車!$B$22)</f>
        <v>0</v>
      </c>
      <c r="X50" s="422">
        <f>_xlfn.IFNA(VLOOKUP(A50,[6]進出口值表查詢結果!$C$11:$F$68,4,0),-[4]整車!$B$22)</f>
        <v>0</v>
      </c>
      <c r="Y50" s="422">
        <f>_xlfn.IFNA(VLOOKUP(A50,[6]進出口值表查詢結果!$C$11:$F$68,3,0),-[4]整車!$B$22)</f>
        <v>0</v>
      </c>
      <c r="Z50" s="416">
        <f t="shared" si="7"/>
        <v>313</v>
      </c>
      <c r="AA50" s="416">
        <f t="shared" si="8"/>
        <v>585010</v>
      </c>
    </row>
    <row r="51" spans="1:27">
      <c r="A51" s="458" t="s">
        <v>185</v>
      </c>
      <c r="B51" s="422">
        <v>201</v>
      </c>
      <c r="C51" s="422">
        <v>272709</v>
      </c>
      <c r="D51" s="422"/>
      <c r="E51" s="422"/>
      <c r="F51" s="422">
        <v>0</v>
      </c>
      <c r="G51" s="422"/>
      <c r="H51" s="422">
        <v>32</v>
      </c>
      <c r="I51" s="422">
        <v>33620</v>
      </c>
      <c r="J51" s="423">
        <v>101</v>
      </c>
      <c r="K51" s="426">
        <v>102138</v>
      </c>
      <c r="L51" s="422">
        <v>63</v>
      </c>
      <c r="M51" s="422">
        <v>100302</v>
      </c>
      <c r="N51" s="436">
        <v>9</v>
      </c>
      <c r="O51" s="436">
        <v>13320</v>
      </c>
      <c r="P51" s="422">
        <v>0</v>
      </c>
      <c r="Q51" s="422">
        <v>0</v>
      </c>
      <c r="R51" s="422">
        <v>78</v>
      </c>
      <c r="S51" s="422">
        <v>157745</v>
      </c>
      <c r="T51" s="422"/>
      <c r="U51" s="422"/>
      <c r="V51" s="422">
        <f>_xlfn.IFNA(VLOOKUP(A51,[5]進出口值表查詢結果!$C$11:$F$68,4,0),-[4]整車!$B$22)</f>
        <v>149</v>
      </c>
      <c r="W51" s="422">
        <f>_xlfn.IFNA(VLOOKUP(A51,[5]進出口值表查詢結果!$C$11:$F$68,3,0),-[4]整車!$B$22)</f>
        <v>101179</v>
      </c>
      <c r="X51" s="422">
        <f>_xlfn.IFNA(VLOOKUP(A51,[6]進出口值表查詢結果!$C$11:$F$68,4,0),-[4]整車!$B$22)</f>
        <v>177</v>
      </c>
      <c r="Y51" s="422">
        <f>_xlfn.IFNA(VLOOKUP(A51,[6]進出口值表查詢結果!$C$11:$F$68,3,0),-[4]整車!$B$22)</f>
        <v>208957</v>
      </c>
      <c r="Z51" s="416">
        <f t="shared" si="7"/>
        <v>810</v>
      </c>
      <c r="AA51" s="416">
        <f t="shared" si="8"/>
        <v>989970</v>
      </c>
    </row>
    <row r="52" spans="1:27">
      <c r="A52" s="458" t="s">
        <v>256</v>
      </c>
      <c r="B52" s="422">
        <v>14850</v>
      </c>
      <c r="C52" s="422">
        <v>1819825</v>
      </c>
      <c r="D52" s="422">
        <v>10994</v>
      </c>
      <c r="E52" s="422">
        <v>1791539</v>
      </c>
      <c r="F52" s="422">
        <v>5163</v>
      </c>
      <c r="G52" s="422">
        <v>792431</v>
      </c>
      <c r="H52" s="422">
        <v>8731</v>
      </c>
      <c r="I52" s="422">
        <v>1291818</v>
      </c>
      <c r="J52" s="423">
        <v>8229</v>
      </c>
      <c r="K52" s="424">
        <v>909253</v>
      </c>
      <c r="L52" s="422">
        <v>1974</v>
      </c>
      <c r="M52" s="422">
        <v>362668</v>
      </c>
      <c r="N52" s="436">
        <v>1030</v>
      </c>
      <c r="O52" s="436">
        <v>144084</v>
      </c>
      <c r="P52" s="422">
        <v>637</v>
      </c>
      <c r="Q52" s="422">
        <v>148186</v>
      </c>
      <c r="R52" s="422">
        <v>0</v>
      </c>
      <c r="S52" s="422">
        <v>0</v>
      </c>
      <c r="T52" s="422">
        <v>492</v>
      </c>
      <c r="U52" s="422">
        <v>276110</v>
      </c>
      <c r="V52" s="422">
        <f>_xlfn.IFNA(VLOOKUP(A52,[5]進出口值表查詢結果!$C$11:$F$68,4,0),-[4]整車!$B$22)</f>
        <v>373</v>
      </c>
      <c r="W52" s="422">
        <f>_xlfn.IFNA(VLOOKUP(A52,[5]進出口值表查詢結果!$C$11:$F$68,3,0),-[4]整車!$B$22)</f>
        <v>210711</v>
      </c>
      <c r="X52" s="422">
        <f>_xlfn.IFNA(VLOOKUP(A52,[6]進出口值表查詢結果!$C$11:$F$68,4,0),-[4]整車!$B$22)</f>
        <v>255</v>
      </c>
      <c r="Y52" s="422">
        <f>_xlfn.IFNA(VLOOKUP(A52,[6]進出口值表查詢結果!$C$11:$F$68,3,0),-[4]整車!$B$22)</f>
        <v>121134</v>
      </c>
      <c r="Z52" s="416">
        <f t="shared" si="7"/>
        <v>52728</v>
      </c>
      <c r="AA52" s="416">
        <f t="shared" si="8"/>
        <v>7867759</v>
      </c>
    </row>
    <row r="53" spans="1:27">
      <c r="A53" s="458" t="s">
        <v>168</v>
      </c>
      <c r="B53" s="422">
        <v>415</v>
      </c>
      <c r="C53" s="422">
        <v>138854</v>
      </c>
      <c r="D53" s="422">
        <v>347</v>
      </c>
      <c r="E53" s="422">
        <v>89541</v>
      </c>
      <c r="F53" s="422">
        <v>168</v>
      </c>
      <c r="G53" s="422">
        <v>63590</v>
      </c>
      <c r="H53" s="422">
        <v>91</v>
      </c>
      <c r="I53" s="422">
        <v>41073</v>
      </c>
      <c r="J53" s="423" t="s">
        <v>58</v>
      </c>
      <c r="K53" s="426" t="s">
        <v>58</v>
      </c>
      <c r="L53" s="422">
        <v>192</v>
      </c>
      <c r="M53" s="422">
        <v>38137</v>
      </c>
      <c r="N53" s="436">
        <v>565</v>
      </c>
      <c r="O53" s="436">
        <v>326470</v>
      </c>
      <c r="P53" s="422">
        <v>55</v>
      </c>
      <c r="Q53" s="422">
        <v>37445</v>
      </c>
      <c r="R53" s="422">
        <v>12</v>
      </c>
      <c r="S53" s="422">
        <v>17120</v>
      </c>
      <c r="T53" s="422">
        <v>3</v>
      </c>
      <c r="U53" s="422">
        <v>1549</v>
      </c>
      <c r="V53" s="422">
        <f>_xlfn.IFNA(VLOOKUP(A53,[5]進出口值表查詢結果!$C$11:$F$68,4,0),-[4]整車!$B$22)</f>
        <v>6</v>
      </c>
      <c r="W53" s="422">
        <f>_xlfn.IFNA(VLOOKUP(A53,[5]進出口值表查詢結果!$C$11:$F$68,3,0),-[4]整車!$B$22)</f>
        <v>1837</v>
      </c>
      <c r="X53" s="422">
        <f>_xlfn.IFNA(VLOOKUP(A53,[6]進出口值表查詢結果!$C$11:$F$68,4,0),-[4]整車!$B$22)</f>
        <v>0</v>
      </c>
      <c r="Y53" s="422">
        <f>_xlfn.IFNA(VLOOKUP(A53,[6]進出口值表查詢結果!$C$11:$F$68,3,0),-[4]整車!$B$22)</f>
        <v>0</v>
      </c>
      <c r="Z53" s="416">
        <f t="shared" si="7"/>
        <v>1854</v>
      </c>
      <c r="AA53" s="416">
        <f t="shared" si="8"/>
        <v>755616</v>
      </c>
    </row>
    <row r="54" spans="1:27">
      <c r="A54" s="458" t="s">
        <v>175</v>
      </c>
      <c r="B54" s="422">
        <v>2701</v>
      </c>
      <c r="C54" s="422">
        <v>1013330</v>
      </c>
      <c r="D54" s="422">
        <v>526</v>
      </c>
      <c r="E54" s="422">
        <v>174316</v>
      </c>
      <c r="F54" s="422">
        <v>871</v>
      </c>
      <c r="G54" s="422">
        <v>261235</v>
      </c>
      <c r="H54" s="422">
        <v>560</v>
      </c>
      <c r="I54" s="422">
        <v>111328</v>
      </c>
      <c r="J54" s="423">
        <v>122</v>
      </c>
      <c r="K54" s="426">
        <v>126429</v>
      </c>
      <c r="L54" s="422">
        <v>437</v>
      </c>
      <c r="M54" s="422">
        <v>340350</v>
      </c>
      <c r="N54" s="436">
        <v>995</v>
      </c>
      <c r="O54" s="436">
        <v>812171</v>
      </c>
      <c r="P54" s="422">
        <v>393</v>
      </c>
      <c r="Q54" s="422">
        <v>427618</v>
      </c>
      <c r="R54" s="422">
        <v>1762</v>
      </c>
      <c r="S54" s="422">
        <v>731590</v>
      </c>
      <c r="T54" s="422">
        <v>2871</v>
      </c>
      <c r="U54" s="422">
        <v>1163960</v>
      </c>
      <c r="V54" s="422">
        <f>_xlfn.IFNA(VLOOKUP(A54,[5]進出口值表查詢結果!$C$11:$F$68,4,0),-[4]整車!$B$22)</f>
        <v>2077</v>
      </c>
      <c r="W54" s="422">
        <f>_xlfn.IFNA(VLOOKUP(A54,[5]進出口值表查詢結果!$C$11:$F$68,3,0),-[4]整車!$B$22)</f>
        <v>695253</v>
      </c>
      <c r="X54" s="422">
        <f>_xlfn.IFNA(VLOOKUP(A54,[6]進出口值表查詢結果!$C$11:$F$68,4,0),-[4]整車!$B$22)</f>
        <v>2420</v>
      </c>
      <c r="Y54" s="422">
        <f>_xlfn.IFNA(VLOOKUP(A54,[6]進出口值表查詢結果!$C$11:$F$68,3,0),-[4]整車!$B$22)</f>
        <v>651295</v>
      </c>
      <c r="Z54" s="416">
        <f t="shared" si="7"/>
        <v>15735</v>
      </c>
      <c r="AA54" s="416">
        <f t="shared" si="8"/>
        <v>6508875</v>
      </c>
    </row>
    <row r="55" spans="1:27">
      <c r="A55" s="458" t="s">
        <v>165</v>
      </c>
      <c r="B55" s="422">
        <v>184</v>
      </c>
      <c r="C55" s="422">
        <v>65445</v>
      </c>
      <c r="D55" s="422">
        <v>384</v>
      </c>
      <c r="E55" s="422">
        <v>270420</v>
      </c>
      <c r="F55" s="422">
        <v>117</v>
      </c>
      <c r="G55" s="422">
        <v>125456</v>
      </c>
      <c r="H55" s="422">
        <v>125</v>
      </c>
      <c r="I55" s="422">
        <v>79330</v>
      </c>
      <c r="J55" s="423">
        <v>112</v>
      </c>
      <c r="K55" s="426">
        <v>53759</v>
      </c>
      <c r="L55" s="422">
        <v>191</v>
      </c>
      <c r="M55" s="422">
        <v>102112</v>
      </c>
      <c r="N55" s="436">
        <v>97</v>
      </c>
      <c r="O55" s="436">
        <v>124577</v>
      </c>
      <c r="P55" s="422">
        <v>96</v>
      </c>
      <c r="Q55" s="422">
        <v>91901</v>
      </c>
      <c r="R55" s="422">
        <v>1</v>
      </c>
      <c r="S55" s="422">
        <v>4144</v>
      </c>
      <c r="T55" s="422">
        <v>262</v>
      </c>
      <c r="U55" s="422">
        <v>270569</v>
      </c>
      <c r="V55" s="422">
        <f>_xlfn.IFNA(VLOOKUP(A55,[5]進出口值表查詢結果!$C$11:$F$68,4,0),-[4]整車!$B$22)</f>
        <v>124</v>
      </c>
      <c r="W55" s="422">
        <f>_xlfn.IFNA(VLOOKUP(A55,[5]進出口值表查詢結果!$C$11:$F$68,3,0),-[4]整車!$B$22)</f>
        <v>163570</v>
      </c>
      <c r="X55" s="422">
        <f>_xlfn.IFNA(VLOOKUP(A55,[6]進出口值表查詢結果!$C$11:$F$68,4,0),-[4]整車!$B$22)</f>
        <v>2983</v>
      </c>
      <c r="Y55" s="422">
        <f>_xlfn.IFNA(VLOOKUP(A55,[6]進出口值表查詢結果!$C$11:$F$68,3,0),-[4]整車!$B$22)</f>
        <v>600700</v>
      </c>
      <c r="Z55" s="416">
        <f t="shared" si="7"/>
        <v>4676</v>
      </c>
      <c r="AA55" s="416">
        <f t="shared" si="8"/>
        <v>1951983</v>
      </c>
    </row>
    <row r="56" spans="1:27">
      <c r="A56" s="458" t="s">
        <v>171</v>
      </c>
      <c r="B56" s="422">
        <v>1004</v>
      </c>
      <c r="C56" s="422">
        <v>51950</v>
      </c>
      <c r="D56" s="422">
        <v>726</v>
      </c>
      <c r="E56" s="422">
        <v>56062</v>
      </c>
      <c r="F56" s="422">
        <v>1874</v>
      </c>
      <c r="G56" s="422">
        <v>133920</v>
      </c>
      <c r="H56" s="422">
        <v>806</v>
      </c>
      <c r="I56" s="422">
        <v>75224</v>
      </c>
      <c r="J56" s="423" t="s">
        <v>58</v>
      </c>
      <c r="K56" s="426" t="s">
        <v>58</v>
      </c>
      <c r="L56" s="422">
        <v>52</v>
      </c>
      <c r="M56" s="422">
        <v>5931</v>
      </c>
      <c r="N56" s="422">
        <v>0</v>
      </c>
      <c r="O56" s="422">
        <v>0</v>
      </c>
      <c r="P56" s="422">
        <v>0</v>
      </c>
      <c r="Q56" s="422">
        <v>0</v>
      </c>
      <c r="R56" s="422">
        <v>0</v>
      </c>
      <c r="S56" s="422">
        <v>0</v>
      </c>
      <c r="T56" s="422">
        <v>70</v>
      </c>
      <c r="U56" s="422">
        <v>11429</v>
      </c>
      <c r="V56" s="422">
        <f>_xlfn.IFNA(VLOOKUP(A56,[5]進出口值表查詢結果!$C$11:$F$68,4,0),-[4]整車!$B$22)</f>
        <v>13</v>
      </c>
      <c r="W56" s="422">
        <f>_xlfn.IFNA(VLOOKUP(A56,[5]進出口值表查詢結果!$C$11:$F$68,3,0),-[4]整車!$B$22)</f>
        <v>1698</v>
      </c>
      <c r="X56" s="422">
        <f>_xlfn.IFNA(VLOOKUP(A56,[6]進出口值表查詢結果!$C$11:$F$68,4,0),-[4]整車!$B$22)</f>
        <v>55</v>
      </c>
      <c r="Y56" s="422">
        <f>_xlfn.IFNA(VLOOKUP(A56,[6]進出口值表查詢結果!$C$11:$F$68,3,0),-[4]整車!$B$22)</f>
        <v>5808</v>
      </c>
      <c r="Z56" s="416">
        <f t="shared" si="7"/>
        <v>4600</v>
      </c>
      <c r="AA56" s="416">
        <f t="shared" si="8"/>
        <v>342022</v>
      </c>
    </row>
    <row r="57" spans="1:27">
      <c r="A57" s="458" t="s">
        <v>262</v>
      </c>
      <c r="B57" s="422">
        <v>0</v>
      </c>
      <c r="C57" s="422">
        <v>0</v>
      </c>
      <c r="D57" s="422">
        <v>40</v>
      </c>
      <c r="E57" s="422">
        <v>6163</v>
      </c>
      <c r="F57" s="422">
        <v>0</v>
      </c>
      <c r="G57" s="422"/>
      <c r="H57" s="422">
        <v>0</v>
      </c>
      <c r="I57" s="422">
        <v>0</v>
      </c>
      <c r="J57" s="423" t="s">
        <v>58</v>
      </c>
      <c r="K57" s="426" t="s">
        <v>58</v>
      </c>
      <c r="L57" s="422">
        <v>0</v>
      </c>
      <c r="M57" s="422">
        <v>0</v>
      </c>
      <c r="N57" s="422">
        <v>0</v>
      </c>
      <c r="O57" s="422">
        <v>0</v>
      </c>
      <c r="P57" s="422">
        <v>0</v>
      </c>
      <c r="Q57" s="422">
        <v>0</v>
      </c>
      <c r="R57" s="422">
        <v>0</v>
      </c>
      <c r="S57" s="422">
        <v>0</v>
      </c>
      <c r="T57" s="422"/>
      <c r="U57" s="422"/>
      <c r="V57" s="422">
        <f>_xlfn.IFNA(VLOOKUP(A57,[5]進出口值表查詢結果!$C$11:$F$68,4,0),-[4]整車!$B$22)</f>
        <v>0</v>
      </c>
      <c r="W57" s="422">
        <f>_xlfn.IFNA(VLOOKUP(A57,[5]進出口值表查詢結果!$C$11:$F$68,3,0),-[4]整車!$B$22)</f>
        <v>0</v>
      </c>
      <c r="X57" s="422">
        <f>_xlfn.IFNA(VLOOKUP(A57,[6]進出口值表查詢結果!$C$11:$F$68,4,0),-[4]整車!$B$22)</f>
        <v>0</v>
      </c>
      <c r="Y57" s="422">
        <f>_xlfn.IFNA(VLOOKUP(A57,[6]進出口值表查詢結果!$C$11:$F$68,3,0),-[4]整車!$B$22)</f>
        <v>0</v>
      </c>
      <c r="Z57" s="416">
        <f t="shared" si="7"/>
        <v>40</v>
      </c>
      <c r="AA57" s="416">
        <f t="shared" si="8"/>
        <v>6163</v>
      </c>
    </row>
    <row r="58" spans="1:27">
      <c r="A58" s="461" t="s">
        <v>264</v>
      </c>
      <c r="B58" s="422">
        <v>696</v>
      </c>
      <c r="C58" s="422">
        <v>253916</v>
      </c>
      <c r="D58" s="422">
        <v>1323</v>
      </c>
      <c r="E58" s="422">
        <v>281646</v>
      </c>
      <c r="F58" s="422">
        <v>898</v>
      </c>
      <c r="G58" s="422">
        <v>263987</v>
      </c>
      <c r="H58" s="422">
        <v>276</v>
      </c>
      <c r="I58" s="422">
        <v>95595</v>
      </c>
      <c r="J58" s="423">
        <v>767</v>
      </c>
      <c r="K58" s="426">
        <v>158803</v>
      </c>
      <c r="L58" s="422">
        <v>0</v>
      </c>
      <c r="M58" s="422">
        <v>0</v>
      </c>
      <c r="N58" s="436">
        <v>80</v>
      </c>
      <c r="O58" s="436">
        <v>39824</v>
      </c>
      <c r="P58" s="422">
        <v>0</v>
      </c>
      <c r="Q58" s="422">
        <v>0</v>
      </c>
      <c r="R58" s="422">
        <v>0</v>
      </c>
      <c r="S58" s="422">
        <v>0</v>
      </c>
      <c r="T58" s="422">
        <v>169</v>
      </c>
      <c r="U58" s="422">
        <v>44957</v>
      </c>
      <c r="V58" s="422">
        <f>_xlfn.IFNA(VLOOKUP(A58,[5]進出口值表查詢結果!$C$11:$F$68,4,0),-[4]整車!$B$22)</f>
        <v>0</v>
      </c>
      <c r="W58" s="422">
        <f>_xlfn.IFNA(VLOOKUP(A58,[5]進出口值表查詢結果!$C$11:$F$68,3,0),-[4]整車!$B$22)</f>
        <v>0</v>
      </c>
      <c r="X58" s="422">
        <f>_xlfn.IFNA(VLOOKUP(A58,[6]進出口值表查詢結果!$C$11:$F$68,4,0),-[4]整車!$B$22)</f>
        <v>0</v>
      </c>
      <c r="Y58" s="422">
        <f>_xlfn.IFNA(VLOOKUP(A58,[6]進出口值表查詢結果!$C$11:$F$68,3,0),-[4]整車!$B$22)</f>
        <v>0</v>
      </c>
      <c r="Z58" s="416">
        <f t="shared" si="7"/>
        <v>4209</v>
      </c>
      <c r="AA58" s="416">
        <f t="shared" si="8"/>
        <v>1138728</v>
      </c>
    </row>
    <row r="59" spans="1:27">
      <c r="A59" s="462" t="s">
        <v>17</v>
      </c>
      <c r="B59" s="422">
        <v>0</v>
      </c>
      <c r="C59" s="422">
        <v>0</v>
      </c>
      <c r="D59" s="422"/>
      <c r="E59" s="422"/>
      <c r="F59" s="422">
        <v>0</v>
      </c>
      <c r="G59" s="422"/>
      <c r="H59" s="422">
        <v>0</v>
      </c>
      <c r="I59" s="422">
        <v>0</v>
      </c>
      <c r="J59" s="423">
        <v>50</v>
      </c>
      <c r="K59" s="426">
        <v>5012</v>
      </c>
      <c r="L59" s="422">
        <v>0</v>
      </c>
      <c r="M59" s="422">
        <v>0</v>
      </c>
      <c r="N59" s="422">
        <v>0</v>
      </c>
      <c r="O59" s="422">
        <v>0</v>
      </c>
      <c r="P59" s="422">
        <v>0</v>
      </c>
      <c r="Q59" s="422">
        <v>0</v>
      </c>
      <c r="R59" s="422">
        <v>0</v>
      </c>
      <c r="S59" s="422">
        <v>0</v>
      </c>
      <c r="T59" s="422">
        <v>440</v>
      </c>
      <c r="U59" s="422">
        <v>55250</v>
      </c>
      <c r="V59" s="422">
        <f>_xlfn.IFNA(VLOOKUP(A59,[5]進出口值表查詢結果!$C$11:$F$68,4,0),-[4]整車!$B$22)</f>
        <v>0</v>
      </c>
      <c r="W59" s="422">
        <f>_xlfn.IFNA(VLOOKUP(A59,[5]進出口值表查詢結果!$C$11:$F$68,3,0),-[4]整車!$B$22)</f>
        <v>0</v>
      </c>
      <c r="X59" s="422">
        <f>_xlfn.IFNA(VLOOKUP(A59,[6]進出口值表查詢結果!$C$11:$F$68,4,0),-[4]整車!$B$22)</f>
        <v>0</v>
      </c>
      <c r="Y59" s="422">
        <f>_xlfn.IFNA(VLOOKUP(A59,[6]進出口值表查詢結果!$C$11:$F$68,3,0),-[4]整車!$B$22)</f>
        <v>0</v>
      </c>
      <c r="Z59" s="416">
        <f t="shared" si="7"/>
        <v>490</v>
      </c>
      <c r="AA59" s="416">
        <f t="shared" si="8"/>
        <v>60262</v>
      </c>
    </row>
    <row r="60" spans="1:27">
      <c r="A60" s="458" t="s">
        <v>267</v>
      </c>
      <c r="B60" s="422">
        <v>0</v>
      </c>
      <c r="C60" s="422">
        <v>0</v>
      </c>
      <c r="D60" s="422">
        <v>523</v>
      </c>
      <c r="E60" s="422">
        <v>150033</v>
      </c>
      <c r="F60" s="422">
        <v>813</v>
      </c>
      <c r="G60" s="422">
        <v>183637</v>
      </c>
      <c r="H60" s="422">
        <v>317</v>
      </c>
      <c r="I60" s="422">
        <v>63199</v>
      </c>
      <c r="J60" s="423" t="s">
        <v>58</v>
      </c>
      <c r="K60" s="426" t="s">
        <v>58</v>
      </c>
      <c r="L60" s="422">
        <v>160</v>
      </c>
      <c r="M60" s="422">
        <v>66421</v>
      </c>
      <c r="N60" s="422">
        <v>0</v>
      </c>
      <c r="O60" s="422">
        <v>0</v>
      </c>
      <c r="P60" s="422">
        <v>0</v>
      </c>
      <c r="Q60" s="422">
        <v>0</v>
      </c>
      <c r="R60" s="422">
        <v>0</v>
      </c>
      <c r="S60" s="422">
        <v>0</v>
      </c>
      <c r="T60" s="422"/>
      <c r="U60" s="422"/>
      <c r="V60" s="422">
        <f>_xlfn.IFNA(VLOOKUP(A60,[5]進出口值表查詢結果!$C$11:$F$68,4,0),-[4]整車!$B$22)</f>
        <v>0</v>
      </c>
      <c r="W60" s="422">
        <f>_xlfn.IFNA(VLOOKUP(A60,[5]進出口值表查詢結果!$C$11:$F$68,3,0),-[4]整車!$B$22)</f>
        <v>0</v>
      </c>
      <c r="X60" s="422">
        <f>_xlfn.IFNA(VLOOKUP(A60,[6]進出口值表查詢結果!$C$11:$F$68,4,0),-[4]整車!$B$22)</f>
        <v>0</v>
      </c>
      <c r="Y60" s="422">
        <f>_xlfn.IFNA(VLOOKUP(A60,[6]進出口值表查詢結果!$C$11:$F$68,3,0),-[4]整車!$B$22)</f>
        <v>0</v>
      </c>
      <c r="Z60" s="416">
        <f t="shared" si="7"/>
        <v>1813</v>
      </c>
      <c r="AA60" s="416">
        <f t="shared" si="8"/>
        <v>463290</v>
      </c>
    </row>
    <row r="61" spans="1:27">
      <c r="A61" s="421" t="s">
        <v>268</v>
      </c>
      <c r="B61" s="422">
        <v>1370</v>
      </c>
      <c r="C61" s="422">
        <v>251116</v>
      </c>
      <c r="D61" s="422">
        <v>1982</v>
      </c>
      <c r="E61" s="422">
        <v>436276</v>
      </c>
      <c r="F61" s="422">
        <v>324</v>
      </c>
      <c r="G61" s="422">
        <v>53469</v>
      </c>
      <c r="H61" s="422">
        <v>496</v>
      </c>
      <c r="I61" s="422">
        <v>109871</v>
      </c>
      <c r="J61" s="423">
        <v>113</v>
      </c>
      <c r="K61" s="437">
        <v>38322</v>
      </c>
      <c r="L61" s="422">
        <v>0</v>
      </c>
      <c r="M61" s="422">
        <v>0</v>
      </c>
      <c r="N61" s="422">
        <v>0</v>
      </c>
      <c r="O61" s="422">
        <v>0</v>
      </c>
      <c r="P61" s="422">
        <v>0</v>
      </c>
      <c r="Q61" s="422">
        <v>0</v>
      </c>
      <c r="R61" s="422">
        <v>0</v>
      </c>
      <c r="S61" s="422">
        <v>0</v>
      </c>
      <c r="T61" s="422"/>
      <c r="U61" s="422"/>
      <c r="V61" s="422">
        <f>_xlfn.IFNA(VLOOKUP(A61,[5]進出口值表查詢結果!$C$11:$F$68,4,0),-[4]整車!$B$22)</f>
        <v>0</v>
      </c>
      <c r="W61" s="422">
        <f>_xlfn.IFNA(VLOOKUP(A61,[5]進出口值表查詢結果!$C$11:$F$68,3,0),-[4]整車!$B$22)</f>
        <v>0</v>
      </c>
      <c r="X61" s="422">
        <f>_xlfn.IFNA(VLOOKUP(A61,[6]進出口值表查詢結果!$C$11:$F$68,4,0),-[4]整車!$B$22)</f>
        <v>214</v>
      </c>
      <c r="Y61" s="422">
        <f>_xlfn.IFNA(VLOOKUP(A61,[6]進出口值表查詢結果!$C$11:$F$68,3,0),-[4]整車!$B$22)</f>
        <v>33520</v>
      </c>
      <c r="Z61" s="416">
        <f t="shared" si="7"/>
        <v>4499</v>
      </c>
      <c r="AA61" s="416">
        <f t="shared" si="8"/>
        <v>922574</v>
      </c>
    </row>
    <row r="62" spans="1:27">
      <c r="A62" s="458" t="s">
        <v>270</v>
      </c>
      <c r="B62" s="422">
        <v>70</v>
      </c>
      <c r="C62" s="422">
        <v>43452</v>
      </c>
      <c r="D62" s="422">
        <v>261</v>
      </c>
      <c r="E62" s="422">
        <v>64456</v>
      </c>
      <c r="F62" s="422">
        <v>18</v>
      </c>
      <c r="G62" s="422">
        <v>17756</v>
      </c>
      <c r="H62" s="422">
        <v>0</v>
      </c>
      <c r="I62" s="422">
        <v>0</v>
      </c>
      <c r="J62" s="423" t="s">
        <v>58</v>
      </c>
      <c r="K62" s="426" t="s">
        <v>58</v>
      </c>
      <c r="L62" s="422">
        <v>25</v>
      </c>
      <c r="M62" s="422">
        <v>23023</v>
      </c>
      <c r="N62" s="422">
        <v>0</v>
      </c>
      <c r="O62" s="422">
        <v>0</v>
      </c>
      <c r="P62" s="422">
        <v>0</v>
      </c>
      <c r="Q62" s="422">
        <v>0</v>
      </c>
      <c r="R62" s="422">
        <v>0</v>
      </c>
      <c r="S62" s="422">
        <v>0</v>
      </c>
      <c r="T62" s="422"/>
      <c r="U62" s="422"/>
      <c r="V62" s="422">
        <f>_xlfn.IFNA(VLOOKUP(A62,[5]進出口值表查詢結果!$C$11:$F$68,4,0),-[4]整車!$B$22)</f>
        <v>1</v>
      </c>
      <c r="W62" s="422">
        <f>_xlfn.IFNA(VLOOKUP(A62,[5]進出口值表查詢結果!$C$11:$F$68,3,0),-[4]整車!$B$22)</f>
        <v>3951</v>
      </c>
      <c r="X62" s="422">
        <f>_xlfn.IFNA(VLOOKUP(A62,[6]進出口值表查詢結果!$C$11:$F$68,4,0),-[4]整車!$B$22)</f>
        <v>355</v>
      </c>
      <c r="Y62" s="422">
        <f>_xlfn.IFNA(VLOOKUP(A62,[6]進出口值表查詢結果!$C$11:$F$68,3,0),-[4]整車!$B$22)</f>
        <v>93772</v>
      </c>
      <c r="Z62" s="416">
        <f t="shared" si="7"/>
        <v>730</v>
      </c>
      <c r="AA62" s="416">
        <f t="shared" si="8"/>
        <v>246410</v>
      </c>
    </row>
    <row r="63" spans="1:27">
      <c r="A63" s="461" t="s">
        <v>406</v>
      </c>
      <c r="B63" s="422">
        <v>0</v>
      </c>
      <c r="C63" s="422">
        <v>0</v>
      </c>
      <c r="D63" s="422"/>
      <c r="E63" s="422"/>
      <c r="F63" s="422">
        <v>80</v>
      </c>
      <c r="G63" s="422">
        <v>11981</v>
      </c>
      <c r="H63" s="422">
        <v>125</v>
      </c>
      <c r="I63" s="422">
        <v>14310</v>
      </c>
      <c r="J63" s="423">
        <v>100</v>
      </c>
      <c r="K63" s="426">
        <v>16037</v>
      </c>
      <c r="L63" s="422">
        <v>0</v>
      </c>
      <c r="M63" s="422">
        <v>0</v>
      </c>
      <c r="N63" s="422">
        <v>0</v>
      </c>
      <c r="O63" s="422">
        <v>0</v>
      </c>
      <c r="P63" s="422">
        <v>0</v>
      </c>
      <c r="Q63" s="422">
        <v>0</v>
      </c>
      <c r="R63" s="422">
        <v>0</v>
      </c>
      <c r="S63" s="422">
        <v>0</v>
      </c>
      <c r="T63" s="422">
        <v>125</v>
      </c>
      <c r="U63" s="422">
        <v>16317</v>
      </c>
      <c r="V63" s="422">
        <f>_xlfn.IFNA(VLOOKUP(A63,[5]進出口值表查詢結果!$C$11:$F$68,4,0),-[4]整車!$B$22)</f>
        <v>0</v>
      </c>
      <c r="W63" s="422">
        <f>_xlfn.IFNA(VLOOKUP(A63,[5]進出口值表查詢結果!$C$11:$F$68,3,0),-[4]整車!$B$22)</f>
        <v>0</v>
      </c>
      <c r="X63" s="422">
        <f>_xlfn.IFNA(VLOOKUP(A63,[6]進出口值表查詢結果!$C$11:$F$68,4,0),-[4]整車!$B$22)</f>
        <v>340</v>
      </c>
      <c r="Y63" s="422">
        <f>_xlfn.IFNA(VLOOKUP(A63,[6]進出口值表查詢結果!$C$11:$F$68,3,0),-[4]整車!$B$22)</f>
        <v>50840</v>
      </c>
      <c r="Z63" s="416">
        <f t="shared" si="7"/>
        <v>770</v>
      </c>
      <c r="AA63" s="416">
        <f t="shared" si="8"/>
        <v>109485</v>
      </c>
    </row>
    <row r="64" spans="1:27">
      <c r="A64" s="458" t="s">
        <v>189</v>
      </c>
      <c r="B64" s="422">
        <v>44</v>
      </c>
      <c r="C64" s="422">
        <v>6265</v>
      </c>
      <c r="D64" s="422"/>
      <c r="E64" s="422"/>
      <c r="F64" s="422">
        <v>0</v>
      </c>
      <c r="G64" s="422"/>
      <c r="H64" s="422">
        <v>0</v>
      </c>
      <c r="I64" s="422">
        <v>0</v>
      </c>
      <c r="J64" s="423">
        <v>74</v>
      </c>
      <c r="K64" s="426">
        <v>8920</v>
      </c>
      <c r="L64" s="422">
        <v>0</v>
      </c>
      <c r="M64" s="422">
        <v>0</v>
      </c>
      <c r="N64" s="422">
        <v>0</v>
      </c>
      <c r="O64" s="422">
        <v>0</v>
      </c>
      <c r="P64" s="422">
        <v>35</v>
      </c>
      <c r="Q64" s="422">
        <v>5625</v>
      </c>
      <c r="R64" s="422">
        <v>45</v>
      </c>
      <c r="S64" s="422">
        <v>4959</v>
      </c>
      <c r="T64" s="422">
        <v>42</v>
      </c>
      <c r="U64" s="422">
        <v>6127</v>
      </c>
      <c r="V64" s="422">
        <f>_xlfn.IFNA(VLOOKUP(A64,[5]進出口值表查詢結果!$C$11:$F$68,4,0),-[4]整車!$B$22)</f>
        <v>0</v>
      </c>
      <c r="W64" s="422">
        <f>_xlfn.IFNA(VLOOKUP(A64,[5]進出口值表查詢結果!$C$11:$F$68,3,0),-[4]整車!$B$22)</f>
        <v>0</v>
      </c>
      <c r="X64" s="422">
        <f>_xlfn.IFNA(VLOOKUP(A64,[6]進出口值表查詢結果!$C$11:$F$68,4,0),-[4]整車!$B$22)</f>
        <v>0</v>
      </c>
      <c r="Y64" s="422">
        <f>_xlfn.IFNA(VLOOKUP(A64,[6]進出口值表查詢結果!$C$11:$F$68,3,0),-[4]整車!$B$22)</f>
        <v>0</v>
      </c>
      <c r="Z64" s="416">
        <f t="shared" si="7"/>
        <v>240</v>
      </c>
      <c r="AA64" s="416">
        <f t="shared" si="8"/>
        <v>31896</v>
      </c>
    </row>
    <row r="65" spans="1:27">
      <c r="A65" s="458" t="s">
        <v>184</v>
      </c>
      <c r="B65" s="422">
        <v>0</v>
      </c>
      <c r="C65" s="422">
        <v>0</v>
      </c>
      <c r="D65" s="422"/>
      <c r="E65" s="422"/>
      <c r="F65" s="422">
        <v>20</v>
      </c>
      <c r="G65" s="422">
        <v>7667</v>
      </c>
      <c r="H65" s="422">
        <v>0</v>
      </c>
      <c r="I65" s="422">
        <v>0</v>
      </c>
      <c r="J65" s="423">
        <v>53</v>
      </c>
      <c r="K65" s="426">
        <v>6883</v>
      </c>
      <c r="L65" s="422">
        <v>0</v>
      </c>
      <c r="M65" s="422">
        <v>0</v>
      </c>
      <c r="N65" s="422">
        <v>0</v>
      </c>
      <c r="O65" s="422">
        <v>0</v>
      </c>
      <c r="P65" s="422">
        <v>0</v>
      </c>
      <c r="Q65" s="422">
        <v>0</v>
      </c>
      <c r="R65" s="422">
        <v>46</v>
      </c>
      <c r="S65" s="422">
        <v>5740</v>
      </c>
      <c r="T65" s="422"/>
      <c r="U65" s="422"/>
      <c r="V65" s="422">
        <f>_xlfn.IFNA(VLOOKUP(A65,[5]進出口值表查詢結果!$C$11:$F$68,4,0),-[4]整車!$B$22)</f>
        <v>53</v>
      </c>
      <c r="W65" s="422">
        <f>_xlfn.IFNA(VLOOKUP(A65,[5]進出口值表查詢結果!$C$11:$F$68,3,0),-[4]整車!$B$22)</f>
        <v>6170</v>
      </c>
      <c r="X65" s="422">
        <f>_xlfn.IFNA(VLOOKUP(A65,[6]進出口值表查詢結果!$C$11:$F$68,4,0),-[4]整車!$B$22)</f>
        <v>0</v>
      </c>
      <c r="Y65" s="422">
        <f>_xlfn.IFNA(VLOOKUP(A65,[6]進出口值表查詢結果!$C$11:$F$68,3,0),-[4]整車!$B$22)</f>
        <v>0</v>
      </c>
      <c r="Z65" s="416">
        <f t="shared" si="7"/>
        <v>172</v>
      </c>
      <c r="AA65" s="416">
        <f t="shared" si="8"/>
        <v>26460</v>
      </c>
    </row>
    <row r="66" spans="1:27">
      <c r="A66" s="458" t="s">
        <v>274</v>
      </c>
      <c r="B66" s="422">
        <v>16</v>
      </c>
      <c r="C66" s="422">
        <v>8064</v>
      </c>
      <c r="D66" s="422">
        <v>400</v>
      </c>
      <c r="E66" s="422">
        <v>74984</v>
      </c>
      <c r="F66" s="422">
        <v>130</v>
      </c>
      <c r="G66" s="422">
        <v>19515</v>
      </c>
      <c r="H66" s="422">
        <v>120</v>
      </c>
      <c r="I66" s="422">
        <v>19543</v>
      </c>
      <c r="J66" s="423">
        <v>235</v>
      </c>
      <c r="K66" s="426">
        <v>45740</v>
      </c>
      <c r="L66" s="422">
        <v>0</v>
      </c>
      <c r="M66" s="422">
        <v>0</v>
      </c>
      <c r="N66" s="422">
        <v>0</v>
      </c>
      <c r="O66" s="422">
        <v>0</v>
      </c>
      <c r="P66" s="422">
        <v>0</v>
      </c>
      <c r="Q66" s="422">
        <v>0</v>
      </c>
      <c r="R66" s="422">
        <v>0</v>
      </c>
      <c r="S66" s="422">
        <v>0</v>
      </c>
      <c r="T66" s="422"/>
      <c r="U66" s="422"/>
      <c r="V66" s="422">
        <f>_xlfn.IFNA(VLOOKUP(A66,[5]進出口值表查詢結果!$C$11:$F$68,4,0),-[4]整車!$B$22)</f>
        <v>0</v>
      </c>
      <c r="W66" s="422">
        <f>_xlfn.IFNA(VLOOKUP(A66,[5]進出口值表查詢結果!$C$11:$F$68,3,0),-[4]整車!$B$22)</f>
        <v>0</v>
      </c>
      <c r="X66" s="422">
        <f>_xlfn.IFNA(VLOOKUP(A66,[6]進出口值表查詢結果!$C$11:$F$68,4,0),-[4]整車!$B$22)</f>
        <v>0</v>
      </c>
      <c r="Y66" s="422">
        <f>_xlfn.IFNA(VLOOKUP(A66,[6]進出口值表查詢結果!$C$11:$F$68,3,0),-[4]整車!$B$22)</f>
        <v>0</v>
      </c>
      <c r="Z66" s="416">
        <f t="shared" si="7"/>
        <v>901</v>
      </c>
      <c r="AA66" s="416">
        <f t="shared" si="8"/>
        <v>167846</v>
      </c>
    </row>
    <row r="67" spans="1:27">
      <c r="A67" s="425"/>
      <c r="B67" s="422"/>
      <c r="C67" s="422"/>
      <c r="D67" s="422"/>
      <c r="E67" s="422"/>
      <c r="F67" s="422"/>
      <c r="G67" s="422"/>
      <c r="H67" s="422"/>
      <c r="I67" s="422"/>
      <c r="J67" s="423"/>
      <c r="K67" s="424"/>
      <c r="L67" s="422"/>
      <c r="M67" s="422"/>
      <c r="N67" s="422"/>
      <c r="O67" s="422"/>
      <c r="P67" s="422"/>
      <c r="Q67" s="422"/>
      <c r="R67" s="422"/>
      <c r="S67" s="422"/>
      <c r="T67" s="422"/>
      <c r="U67" s="422"/>
      <c r="V67" s="422"/>
      <c r="W67" s="422"/>
      <c r="X67" s="422"/>
      <c r="Y67" s="422"/>
      <c r="Z67" s="416"/>
      <c r="AA67" s="416"/>
    </row>
    <row r="68" spans="1:27">
      <c r="A68" s="438" t="s">
        <v>19</v>
      </c>
      <c r="B68" s="439">
        <f t="shared" ref="B68:G68" si="9">SUM(B69:B73)</f>
        <v>6047</v>
      </c>
      <c r="C68" s="439">
        <f t="shared" si="9"/>
        <v>3779240</v>
      </c>
      <c r="D68" s="439">
        <f t="shared" si="9"/>
        <v>4374</v>
      </c>
      <c r="E68" s="439">
        <f t="shared" si="9"/>
        <v>2793538</v>
      </c>
      <c r="F68" s="439">
        <f t="shared" si="9"/>
        <v>3335</v>
      </c>
      <c r="G68" s="439">
        <f t="shared" si="9"/>
        <v>1866843</v>
      </c>
      <c r="H68" s="439">
        <f>SUM(H69:H73)</f>
        <v>2480</v>
      </c>
      <c r="I68" s="439">
        <f>SUM(I69:I73)</f>
        <v>1512983</v>
      </c>
      <c r="J68" s="440">
        <f t="shared" ref="J68:O68" si="10">SUM(J69:J73)</f>
        <v>1816</v>
      </c>
      <c r="K68" s="441">
        <f t="shared" si="10"/>
        <v>1480084</v>
      </c>
      <c r="L68" s="439">
        <f t="shared" si="10"/>
        <v>1849</v>
      </c>
      <c r="M68" s="439">
        <f t="shared" si="10"/>
        <v>1617191</v>
      </c>
      <c r="N68" s="439">
        <f t="shared" si="10"/>
        <v>1838</v>
      </c>
      <c r="O68" s="439">
        <f t="shared" si="10"/>
        <v>1928770</v>
      </c>
      <c r="P68" s="439">
        <f>SUM(P69:P73)</f>
        <v>1960</v>
      </c>
      <c r="Q68" s="439">
        <f>SUM(Q69:Q73)</f>
        <v>1999119</v>
      </c>
      <c r="R68" s="439">
        <f t="shared" ref="R68:Y68" si="11">SUM(R69:R73)</f>
        <v>1097</v>
      </c>
      <c r="S68" s="439">
        <f t="shared" si="11"/>
        <v>1708965</v>
      </c>
      <c r="T68" s="439">
        <f t="shared" si="11"/>
        <v>2389</v>
      </c>
      <c r="U68" s="439">
        <f t="shared" si="11"/>
        <v>2156903</v>
      </c>
      <c r="V68" s="439">
        <f>SUM(V69:V73)</f>
        <v>1149</v>
      </c>
      <c r="W68" s="439">
        <f>SUM(W69:W73)</f>
        <v>1843745</v>
      </c>
      <c r="X68" s="439">
        <f t="shared" si="11"/>
        <v>3615</v>
      </c>
      <c r="Y68" s="439">
        <f t="shared" si="11"/>
        <v>4337331</v>
      </c>
      <c r="Z68" s="433">
        <f t="shared" ref="Z68:AA73" si="12">SUM(B68,D68,F68,H68,J68,L68,N68,P68,R68,T68,V68,X68)</f>
        <v>31949</v>
      </c>
      <c r="AA68" s="433">
        <f t="shared" si="12"/>
        <v>27024712</v>
      </c>
    </row>
    <row r="69" spans="1:27">
      <c r="A69" s="458" t="s">
        <v>182</v>
      </c>
      <c r="B69" s="422">
        <v>1857</v>
      </c>
      <c r="C69" s="422">
        <v>2017794</v>
      </c>
      <c r="D69" s="422">
        <v>1373</v>
      </c>
      <c r="E69" s="422">
        <v>1011526</v>
      </c>
      <c r="F69" s="422">
        <v>425</v>
      </c>
      <c r="G69" s="422">
        <v>428146</v>
      </c>
      <c r="H69" s="422">
        <v>671</v>
      </c>
      <c r="I69" s="422">
        <v>699536</v>
      </c>
      <c r="J69" s="423">
        <v>587</v>
      </c>
      <c r="K69" s="424">
        <v>1041998</v>
      </c>
      <c r="L69" s="422">
        <v>1055</v>
      </c>
      <c r="M69" s="422">
        <v>1243264</v>
      </c>
      <c r="N69" s="436">
        <v>947</v>
      </c>
      <c r="O69" s="436">
        <v>1493476</v>
      </c>
      <c r="P69" s="422">
        <v>1258</v>
      </c>
      <c r="Q69" s="422">
        <v>1726838</v>
      </c>
      <c r="R69" s="422">
        <v>988</v>
      </c>
      <c r="S69" s="422">
        <v>1565929</v>
      </c>
      <c r="T69" s="422">
        <v>2202</v>
      </c>
      <c r="U69" s="422">
        <v>2043237</v>
      </c>
      <c r="V69" s="422">
        <f>_xlfn.IFNA(VLOOKUP(A69,[5]進出口值表查詢結果!$C$11:$F$68,4,0),-[4]整車!$B$22)</f>
        <v>835</v>
      </c>
      <c r="W69" s="422">
        <f>_xlfn.IFNA(VLOOKUP(A69,[5]進出口值表查詢結果!$C$11:$F$68,3,0),-[4]整車!$B$22)</f>
        <v>1325166</v>
      </c>
      <c r="X69" s="422">
        <f>_xlfn.IFNA(VLOOKUP(A69,[6]進出口值表查詢結果!$C$11:$F$68,4,0),-[4]整車!$B$22)</f>
        <v>2736</v>
      </c>
      <c r="Y69" s="422">
        <f>_xlfn.IFNA(VLOOKUP(A69,[6]進出口值表查詢結果!$C$11:$F$68,3,0),-[4]整車!$B$22)</f>
        <v>3402098</v>
      </c>
      <c r="Z69" s="416">
        <f t="shared" si="12"/>
        <v>14934</v>
      </c>
      <c r="AA69" s="416">
        <f t="shared" si="12"/>
        <v>17999008</v>
      </c>
    </row>
    <row r="70" spans="1:27">
      <c r="A70" s="458" t="s">
        <v>275</v>
      </c>
      <c r="B70" s="422">
        <v>4127</v>
      </c>
      <c r="C70" s="422">
        <v>1691969</v>
      </c>
      <c r="D70" s="422">
        <v>2950</v>
      </c>
      <c r="E70" s="422">
        <v>1716256</v>
      </c>
      <c r="F70" s="422">
        <v>2760</v>
      </c>
      <c r="G70" s="422">
        <v>1417688</v>
      </c>
      <c r="H70" s="422">
        <v>1808</v>
      </c>
      <c r="I70" s="422">
        <v>811327</v>
      </c>
      <c r="J70" s="423">
        <v>1210</v>
      </c>
      <c r="K70" s="424">
        <v>402504</v>
      </c>
      <c r="L70" s="422">
        <v>780</v>
      </c>
      <c r="M70" s="422">
        <v>350268</v>
      </c>
      <c r="N70" s="436">
        <v>875</v>
      </c>
      <c r="O70" s="436">
        <v>407876</v>
      </c>
      <c r="P70" s="422">
        <v>700</v>
      </c>
      <c r="Q70" s="422">
        <v>267943</v>
      </c>
      <c r="R70" s="422">
        <v>108</v>
      </c>
      <c r="S70" s="422">
        <v>140862</v>
      </c>
      <c r="T70" s="422">
        <v>186</v>
      </c>
      <c r="U70" s="422">
        <v>111463</v>
      </c>
      <c r="V70" s="422">
        <f>_xlfn.IFNA(VLOOKUP(A70,[5]進出口值表查詢結果!$C$11:$F$68,4,0),-[4]整車!$B$22)</f>
        <v>314</v>
      </c>
      <c r="W70" s="422">
        <f>_xlfn.IFNA(VLOOKUP(A70,[5]進出口值表查詢結果!$C$11:$F$68,3,0),-[4]整車!$B$22)</f>
        <v>518579</v>
      </c>
      <c r="X70" s="422">
        <f>_xlfn.IFNA(VLOOKUP(A70,[6]進出口值表查詢結果!$C$11:$F$68,4,0),-[4]整車!$B$22)</f>
        <v>838</v>
      </c>
      <c r="Y70" s="422">
        <f>_xlfn.IFNA(VLOOKUP(A70,[6]進出口值表查詢結果!$C$11:$F$68,3,0),-[4]整車!$B$22)</f>
        <v>906262</v>
      </c>
      <c r="Z70" s="416">
        <f t="shared" si="12"/>
        <v>16656</v>
      </c>
      <c r="AA70" s="416">
        <f t="shared" si="12"/>
        <v>8742997</v>
      </c>
    </row>
    <row r="71" spans="1:27">
      <c r="A71" s="458" t="s">
        <v>276</v>
      </c>
      <c r="B71" s="422">
        <v>63</v>
      </c>
      <c r="C71" s="422">
        <v>69477</v>
      </c>
      <c r="D71" s="422">
        <v>51</v>
      </c>
      <c r="E71" s="422">
        <v>65756</v>
      </c>
      <c r="F71" s="422">
        <v>150</v>
      </c>
      <c r="G71" s="422">
        <v>21009</v>
      </c>
      <c r="H71" s="422">
        <v>1</v>
      </c>
      <c r="I71" s="422">
        <v>2120</v>
      </c>
      <c r="J71" s="423">
        <v>19</v>
      </c>
      <c r="K71" s="424">
        <v>35582</v>
      </c>
      <c r="L71" s="422">
        <v>14</v>
      </c>
      <c r="M71" s="422">
        <v>23659</v>
      </c>
      <c r="N71" s="436">
        <v>16</v>
      </c>
      <c r="O71" s="436">
        <v>27418</v>
      </c>
      <c r="P71" s="422">
        <v>2</v>
      </c>
      <c r="Q71" s="422">
        <v>4338</v>
      </c>
      <c r="R71" s="422">
        <v>1</v>
      </c>
      <c r="S71" s="422">
        <v>2174</v>
      </c>
      <c r="T71" s="422">
        <v>1</v>
      </c>
      <c r="U71" s="422">
        <v>2203</v>
      </c>
      <c r="V71" s="422">
        <f>_xlfn.IFNA(VLOOKUP(A71,[5]進出口值表查詢結果!$C$11:$F$68,4,0),-[4]整車!$B$22)</f>
        <v>0</v>
      </c>
      <c r="W71" s="422">
        <f>_xlfn.IFNA(VLOOKUP(A71,[5]進出口值表查詢結果!$C$11:$F$68,3,0),-[4]整車!$B$22)</f>
        <v>0</v>
      </c>
      <c r="X71" s="422">
        <f>_xlfn.IFNA(VLOOKUP(A71,[6]進出口值表查詢結果!$C$11:$F$68,4,0),-[4]整車!$B$22)</f>
        <v>41</v>
      </c>
      <c r="Y71" s="422">
        <f>_xlfn.IFNA(VLOOKUP(A71,[6]進出口值表查詢結果!$C$11:$F$68,3,0),-[4]整車!$B$22)</f>
        <v>28971</v>
      </c>
      <c r="Z71" s="416">
        <f t="shared" si="12"/>
        <v>359</v>
      </c>
      <c r="AA71" s="416">
        <f t="shared" si="12"/>
        <v>282707</v>
      </c>
    </row>
    <row r="72" spans="1:27">
      <c r="A72" s="458" t="s">
        <v>278</v>
      </c>
      <c r="B72" s="422">
        <v>0</v>
      </c>
      <c r="C72" s="422">
        <v>0</v>
      </c>
      <c r="D72" s="422"/>
      <c r="E72" s="422"/>
      <c r="F72" s="422">
        <v>0</v>
      </c>
      <c r="G72" s="422"/>
      <c r="H72" s="422">
        <v>0</v>
      </c>
      <c r="I72" s="422">
        <v>0</v>
      </c>
      <c r="J72" s="423" t="s">
        <v>58</v>
      </c>
      <c r="K72" s="426" t="s">
        <v>58</v>
      </c>
      <c r="L72" s="422">
        <v>0</v>
      </c>
      <c r="M72" s="422">
        <v>0</v>
      </c>
      <c r="N72" s="422">
        <v>0</v>
      </c>
      <c r="O72" s="422">
        <v>0</v>
      </c>
      <c r="P72" s="422">
        <v>0</v>
      </c>
      <c r="Q72" s="422">
        <v>0</v>
      </c>
      <c r="R72" s="422">
        <v>0</v>
      </c>
      <c r="S72" s="422">
        <v>0</v>
      </c>
      <c r="T72" s="422"/>
      <c r="U72" s="422"/>
      <c r="V72" s="422">
        <f>_xlfn.IFNA(VLOOKUP(A72,[5]進出口值表查詢結果!$C$11:$F$68,4,0),-[4]整車!$B$22)</f>
        <v>0</v>
      </c>
      <c r="W72" s="422">
        <f>_xlfn.IFNA(VLOOKUP(A72,[5]進出口值表查詢結果!$C$11:$F$68,3,0),-[4]整車!$B$22)</f>
        <v>0</v>
      </c>
      <c r="X72" s="422">
        <f>_xlfn.IFNA(VLOOKUP(A72,[6]進出口值表查詢結果!$C$11:$F$68,4,0),-[4]整車!$B$22)</f>
        <v>0</v>
      </c>
      <c r="Y72" s="422">
        <f>_xlfn.IFNA(VLOOKUP(A72,[6]進出口值表查詢結果!$C$11:$F$68,3,0),-[4]整車!$B$22)</f>
        <v>0</v>
      </c>
      <c r="Z72" s="416">
        <f t="shared" si="12"/>
        <v>0</v>
      </c>
      <c r="AA72" s="416">
        <f t="shared" si="12"/>
        <v>0</v>
      </c>
    </row>
    <row r="73" spans="1:27">
      <c r="A73" s="458" t="s">
        <v>277</v>
      </c>
      <c r="B73" s="422">
        <v>0</v>
      </c>
      <c r="C73" s="422">
        <v>0</v>
      </c>
      <c r="D73" s="422"/>
      <c r="E73" s="422"/>
      <c r="F73" s="422">
        <v>0</v>
      </c>
      <c r="G73" s="422"/>
      <c r="H73" s="422">
        <v>0</v>
      </c>
      <c r="I73" s="422">
        <v>0</v>
      </c>
      <c r="J73" s="423" t="s">
        <v>58</v>
      </c>
      <c r="K73" s="426" t="s">
        <v>58</v>
      </c>
      <c r="L73" s="422">
        <v>0</v>
      </c>
      <c r="M73" s="422">
        <v>0</v>
      </c>
      <c r="N73" s="422">
        <v>0</v>
      </c>
      <c r="O73" s="422">
        <v>0</v>
      </c>
      <c r="P73" s="422">
        <v>0</v>
      </c>
      <c r="Q73" s="422">
        <v>0</v>
      </c>
      <c r="R73" s="422">
        <v>0</v>
      </c>
      <c r="S73" s="422">
        <v>0</v>
      </c>
      <c r="T73" s="422"/>
      <c r="U73" s="422"/>
      <c r="V73" s="422">
        <f>_xlfn.IFNA(VLOOKUP(A73,[5]進出口值表查詢結果!$C$11:$F$68,4,0),-[4]整車!$B$22)</f>
        <v>0</v>
      </c>
      <c r="W73" s="422">
        <f>_xlfn.IFNA(VLOOKUP(A73,[5]進出口值表查詢結果!$C$11:$F$68,3,0),-[4]整車!$B$22)</f>
        <v>0</v>
      </c>
      <c r="X73" s="422">
        <f>_xlfn.IFNA(VLOOKUP(A73,[6]進出口值表查詢結果!$C$11:$F$68,4,0),-[4]整車!$B$22)</f>
        <v>0</v>
      </c>
      <c r="Y73" s="422">
        <f>_xlfn.IFNA(VLOOKUP(A73,[6]進出口值表查詢結果!$C$11:$F$68,3,0),-[4]整車!$B$22)</f>
        <v>0</v>
      </c>
      <c r="Z73" s="416">
        <f t="shared" si="12"/>
        <v>0</v>
      </c>
      <c r="AA73" s="416">
        <f t="shared" si="12"/>
        <v>0</v>
      </c>
    </row>
    <row r="74" spans="1:27">
      <c r="A74" s="425"/>
      <c r="B74" s="422"/>
      <c r="C74" s="422"/>
      <c r="D74" s="422"/>
      <c r="E74" s="422"/>
      <c r="F74" s="422"/>
      <c r="G74" s="422"/>
      <c r="H74" s="422"/>
      <c r="I74" s="422"/>
      <c r="J74" s="423"/>
      <c r="K74" s="424"/>
      <c r="L74" s="422"/>
      <c r="M74" s="422"/>
      <c r="N74" s="422"/>
      <c r="O74" s="422"/>
      <c r="P74" s="422"/>
      <c r="Q74" s="422"/>
      <c r="R74" s="422"/>
      <c r="S74" s="422"/>
      <c r="T74" s="422"/>
      <c r="U74" s="422"/>
      <c r="V74" s="422"/>
      <c r="W74" s="422"/>
      <c r="X74" s="422"/>
      <c r="Y74" s="422"/>
      <c r="Z74" s="416"/>
      <c r="AA74" s="416"/>
    </row>
    <row r="75" spans="1:27">
      <c r="A75" s="438" t="s">
        <v>142</v>
      </c>
      <c r="B75" s="439">
        <f t="shared" ref="B75:Y75" si="13">SUM(B76:B83)</f>
        <v>1775</v>
      </c>
      <c r="C75" s="439">
        <f t="shared" si="13"/>
        <v>791303</v>
      </c>
      <c r="D75" s="439">
        <f t="shared" si="13"/>
        <v>1901</v>
      </c>
      <c r="E75" s="439">
        <f t="shared" si="13"/>
        <v>631147</v>
      </c>
      <c r="F75" s="439">
        <f t="shared" si="13"/>
        <v>1325</v>
      </c>
      <c r="G75" s="439">
        <f t="shared" si="13"/>
        <v>919450</v>
      </c>
      <c r="H75" s="439">
        <f t="shared" si="13"/>
        <v>631</v>
      </c>
      <c r="I75" s="439">
        <f>SUM(I76:I83)</f>
        <v>220966</v>
      </c>
      <c r="J75" s="440">
        <f t="shared" si="13"/>
        <v>474</v>
      </c>
      <c r="K75" s="441">
        <f>SUM(K76:K83)</f>
        <v>186768</v>
      </c>
      <c r="L75" s="439">
        <f t="shared" si="13"/>
        <v>1046</v>
      </c>
      <c r="M75" s="439">
        <f t="shared" si="13"/>
        <v>357239</v>
      </c>
      <c r="N75" s="439">
        <f t="shared" si="13"/>
        <v>1359</v>
      </c>
      <c r="O75" s="439">
        <f t="shared" si="13"/>
        <v>836881</v>
      </c>
      <c r="P75" s="439">
        <f t="shared" si="13"/>
        <v>164</v>
      </c>
      <c r="Q75" s="439">
        <f t="shared" si="13"/>
        <v>201186</v>
      </c>
      <c r="R75" s="439">
        <f t="shared" si="13"/>
        <v>785</v>
      </c>
      <c r="S75" s="439">
        <f t="shared" si="13"/>
        <v>324287</v>
      </c>
      <c r="T75" s="439">
        <f t="shared" si="13"/>
        <v>2780</v>
      </c>
      <c r="U75" s="439">
        <f t="shared" si="13"/>
        <v>855146</v>
      </c>
      <c r="V75" s="439">
        <f>SUM(V76:V83)</f>
        <v>1929</v>
      </c>
      <c r="W75" s="439">
        <f>SUM(W76:W83)</f>
        <v>885513</v>
      </c>
      <c r="X75" s="439">
        <f t="shared" si="13"/>
        <v>3092</v>
      </c>
      <c r="Y75" s="439">
        <f t="shared" si="13"/>
        <v>1404864</v>
      </c>
      <c r="Z75" s="433">
        <f t="shared" ref="Z75:Z83" si="14">SUM(B75,D75,F75,H75,J75,L75,N75,P75,R75,T75,V75,X75)</f>
        <v>17261</v>
      </c>
      <c r="AA75" s="433">
        <f t="shared" ref="AA75:AA83" si="15">SUM(C75,E75,G75,I75,K75,M75,O75,Q75,S75,U75,W75,Y75)</f>
        <v>7614750</v>
      </c>
    </row>
    <row r="76" spans="1:27">
      <c r="A76" s="458" t="s">
        <v>280</v>
      </c>
      <c r="B76" s="422">
        <v>1579</v>
      </c>
      <c r="C76" s="422">
        <v>669877</v>
      </c>
      <c r="D76" s="422">
        <v>1436</v>
      </c>
      <c r="E76" s="422">
        <v>495570</v>
      </c>
      <c r="F76" s="422">
        <v>931</v>
      </c>
      <c r="G76" s="422">
        <v>702788</v>
      </c>
      <c r="H76" s="422">
        <v>631</v>
      </c>
      <c r="I76" s="422">
        <v>220966</v>
      </c>
      <c r="J76" s="423">
        <v>324</v>
      </c>
      <c r="K76" s="437">
        <v>164549</v>
      </c>
      <c r="L76" s="422">
        <v>815</v>
      </c>
      <c r="M76" s="422">
        <v>323962</v>
      </c>
      <c r="N76" s="436">
        <v>822</v>
      </c>
      <c r="O76" s="436">
        <v>518255</v>
      </c>
      <c r="P76" s="422">
        <v>119</v>
      </c>
      <c r="Q76" s="422">
        <v>179634</v>
      </c>
      <c r="R76" s="422">
        <v>495</v>
      </c>
      <c r="S76" s="422">
        <v>221230</v>
      </c>
      <c r="T76" s="422">
        <v>2780</v>
      </c>
      <c r="U76" s="422">
        <v>855146</v>
      </c>
      <c r="V76" s="422">
        <f>_xlfn.IFNA(VLOOKUP(A76,[5]進出口值表查詢結果!$C$11:$F$68,4,0),-[4]整車!$B$22)</f>
        <v>1812</v>
      </c>
      <c r="W76" s="422">
        <f>_xlfn.IFNA(VLOOKUP(A76,[5]進出口值表查詢結果!$C$11:$F$68,3,0),-[4]整車!$B$22)</f>
        <v>779724</v>
      </c>
      <c r="X76" s="422">
        <f>_xlfn.IFNA(VLOOKUP(A76,[6]進出口值表查詢結果!$C$11:$F$68,4,0),-[4]整車!$B$22)</f>
        <v>2631</v>
      </c>
      <c r="Y76" s="422">
        <f>_xlfn.IFNA(VLOOKUP(A76,[6]進出口值表查詢結果!$C$11:$F$68,3,0),-[4]整車!$B$22)</f>
        <v>1193493</v>
      </c>
      <c r="Z76" s="416">
        <f t="shared" si="14"/>
        <v>14375</v>
      </c>
      <c r="AA76" s="416">
        <f t="shared" si="15"/>
        <v>6325194</v>
      </c>
    </row>
    <row r="77" spans="1:27">
      <c r="A77" s="458" t="s">
        <v>281</v>
      </c>
      <c r="B77" s="422">
        <v>0</v>
      </c>
      <c r="C77" s="422">
        <v>0</v>
      </c>
      <c r="D77" s="422"/>
      <c r="E77" s="422"/>
      <c r="F77" s="422">
        <v>0</v>
      </c>
      <c r="G77" s="422"/>
      <c r="H77" s="422">
        <v>0</v>
      </c>
      <c r="I77" s="422">
        <v>0</v>
      </c>
      <c r="J77" s="423" t="s">
        <v>58</v>
      </c>
      <c r="K77" s="426" t="s">
        <v>58</v>
      </c>
      <c r="L77" s="422">
        <v>0</v>
      </c>
      <c r="M77" s="422">
        <v>0</v>
      </c>
      <c r="N77" s="422">
        <v>0</v>
      </c>
      <c r="O77" s="422">
        <v>0</v>
      </c>
      <c r="P77" s="422">
        <v>0</v>
      </c>
      <c r="Q77" s="422">
        <v>0</v>
      </c>
      <c r="R77" s="422">
        <v>0</v>
      </c>
      <c r="S77" s="422">
        <v>0</v>
      </c>
      <c r="T77" s="422"/>
      <c r="U77" s="422"/>
      <c r="V77" s="422">
        <f>_xlfn.IFNA(VLOOKUP(A77,[5]進出口值表查詢結果!$C$11:$F$68,4,0),-[4]整車!$B$22)</f>
        <v>0</v>
      </c>
      <c r="W77" s="422">
        <f>_xlfn.IFNA(VLOOKUP(A77,[5]進出口值表查詢結果!$C$11:$F$68,3,0),-[4]整車!$B$22)</f>
        <v>0</v>
      </c>
      <c r="X77" s="422">
        <f>_xlfn.IFNA(VLOOKUP(A77,[6]進出口值表查詢結果!$C$11:$F$68,4,0),-[4]整車!$B$22)</f>
        <v>0</v>
      </c>
      <c r="Y77" s="422">
        <f>_xlfn.IFNA(VLOOKUP(A77,[6]進出口值表查詢結果!$C$11:$F$68,3,0),-[4]整車!$B$22)</f>
        <v>0</v>
      </c>
      <c r="Z77" s="416">
        <f t="shared" si="14"/>
        <v>0</v>
      </c>
      <c r="AA77" s="416">
        <f t="shared" si="15"/>
        <v>0</v>
      </c>
    </row>
    <row r="78" spans="1:27">
      <c r="A78" s="458" t="s">
        <v>282</v>
      </c>
      <c r="B78" s="422"/>
      <c r="C78" s="422"/>
      <c r="D78" s="422"/>
      <c r="E78" s="422"/>
      <c r="F78" s="422">
        <v>0</v>
      </c>
      <c r="G78" s="422"/>
      <c r="H78" s="422">
        <v>0</v>
      </c>
      <c r="I78" s="422">
        <v>0</v>
      </c>
      <c r="J78" s="423" t="s">
        <v>58</v>
      </c>
      <c r="K78" s="426" t="s">
        <v>58</v>
      </c>
      <c r="L78" s="422">
        <v>0</v>
      </c>
      <c r="M78" s="422">
        <v>0</v>
      </c>
      <c r="N78" s="422">
        <v>0</v>
      </c>
      <c r="O78" s="422">
        <v>0</v>
      </c>
      <c r="P78" s="422">
        <v>0</v>
      </c>
      <c r="Q78" s="422">
        <v>0</v>
      </c>
      <c r="R78" s="422">
        <v>0</v>
      </c>
      <c r="S78" s="422">
        <v>0</v>
      </c>
      <c r="T78" s="422"/>
      <c r="U78" s="422"/>
      <c r="V78" s="422">
        <f>_xlfn.IFNA(VLOOKUP(A78,[5]進出口值表查詢結果!$C$11:$F$68,4,0),-[4]整車!$B$22)</f>
        <v>0</v>
      </c>
      <c r="W78" s="422">
        <f>_xlfn.IFNA(VLOOKUP(A78,[5]進出口值表查詢結果!$C$11:$F$68,3,0),-[4]整車!$B$22)</f>
        <v>0</v>
      </c>
      <c r="X78" s="422">
        <f>_xlfn.IFNA(VLOOKUP(A78,[6]進出口值表查詢結果!$C$11:$F$68,4,0),-[4]整車!$B$22)</f>
        <v>0</v>
      </c>
      <c r="Y78" s="422">
        <f>_xlfn.IFNA(VLOOKUP(A78,[6]進出口值表查詢結果!$C$11:$F$68,3,0),-[4]整車!$B$22)</f>
        <v>0</v>
      </c>
      <c r="Z78" s="416">
        <f t="shared" si="14"/>
        <v>0</v>
      </c>
      <c r="AA78" s="416">
        <f t="shared" si="15"/>
        <v>0</v>
      </c>
    </row>
    <row r="79" spans="1:27">
      <c r="A79" s="458" t="s">
        <v>283</v>
      </c>
      <c r="B79" s="422"/>
      <c r="C79" s="422"/>
      <c r="D79" s="422"/>
      <c r="E79" s="422"/>
      <c r="F79" s="422">
        <v>0</v>
      </c>
      <c r="G79" s="422"/>
      <c r="H79" s="422">
        <v>0</v>
      </c>
      <c r="I79" s="422">
        <v>0</v>
      </c>
      <c r="J79" s="423" t="s">
        <v>58</v>
      </c>
      <c r="K79" s="426" t="s">
        <v>58</v>
      </c>
      <c r="L79" s="422">
        <v>0</v>
      </c>
      <c r="M79" s="422">
        <v>0</v>
      </c>
      <c r="N79" s="422">
        <v>0</v>
      </c>
      <c r="O79" s="422">
        <v>0</v>
      </c>
      <c r="P79" s="422">
        <v>0</v>
      </c>
      <c r="Q79" s="422">
        <v>0</v>
      </c>
      <c r="R79" s="422">
        <v>0</v>
      </c>
      <c r="S79" s="422">
        <v>0</v>
      </c>
      <c r="T79" s="422"/>
      <c r="U79" s="422"/>
      <c r="V79" s="422">
        <f>_xlfn.IFNA(VLOOKUP(A79,[5]進出口值表查詢結果!$C$11:$F$68,4,0),-[4]整車!$B$22)</f>
        <v>0</v>
      </c>
      <c r="W79" s="422">
        <f>_xlfn.IFNA(VLOOKUP(A79,[5]進出口值表查詢結果!$C$11:$F$68,3,0),-[4]整車!$B$22)</f>
        <v>0</v>
      </c>
      <c r="X79" s="422">
        <f>_xlfn.IFNA(VLOOKUP(A79,[6]進出口值表查詢結果!$C$11:$F$68,4,0),-[4]整車!$B$22)</f>
        <v>0</v>
      </c>
      <c r="Y79" s="422">
        <f>_xlfn.IFNA(VLOOKUP(A79,[6]進出口值表查詢結果!$C$11:$F$68,3,0),-[4]整車!$B$22)</f>
        <v>0</v>
      </c>
      <c r="Z79" s="416">
        <f t="shared" si="14"/>
        <v>0</v>
      </c>
      <c r="AA79" s="416">
        <f t="shared" si="15"/>
        <v>0</v>
      </c>
    </row>
    <row r="80" spans="1:27">
      <c r="A80" s="458" t="s">
        <v>285</v>
      </c>
      <c r="B80" s="422">
        <v>196</v>
      </c>
      <c r="C80" s="422">
        <v>121426</v>
      </c>
      <c r="D80" s="422">
        <v>465</v>
      </c>
      <c r="E80" s="422">
        <v>135577</v>
      </c>
      <c r="F80" s="422">
        <v>339</v>
      </c>
      <c r="G80" s="422">
        <v>203320</v>
      </c>
      <c r="H80" s="422">
        <v>0</v>
      </c>
      <c r="I80" s="422">
        <v>0</v>
      </c>
      <c r="J80" s="423">
        <v>150</v>
      </c>
      <c r="K80" s="437">
        <v>22219</v>
      </c>
      <c r="L80" s="422">
        <v>231</v>
      </c>
      <c r="M80" s="422">
        <v>33277</v>
      </c>
      <c r="N80" s="436">
        <v>537</v>
      </c>
      <c r="O80" s="436">
        <v>318626</v>
      </c>
      <c r="P80" s="422">
        <v>0</v>
      </c>
      <c r="Q80" s="422">
        <v>0</v>
      </c>
      <c r="R80" s="422">
        <v>290</v>
      </c>
      <c r="S80" s="422">
        <v>103057</v>
      </c>
      <c r="T80" s="422"/>
      <c r="U80" s="422"/>
      <c r="V80" s="422">
        <f>_xlfn.IFNA(VLOOKUP(A80,[5]進出口值表查詢結果!$C$11:$F$68,4,0),-[4]整車!$B$22)</f>
        <v>117</v>
      </c>
      <c r="W80" s="422">
        <f>_xlfn.IFNA(VLOOKUP(A80,[5]進出口值表查詢結果!$C$11:$F$68,3,0),-[4]整車!$B$22)</f>
        <v>105789</v>
      </c>
      <c r="X80" s="422">
        <f>_xlfn.IFNA(VLOOKUP(A80,[6]進出口值表查詢結果!$C$11:$F$68,4,0),-[4]整車!$B$22)</f>
        <v>461</v>
      </c>
      <c r="Y80" s="422">
        <f>_xlfn.IFNA(VLOOKUP(A80,[6]進出口值表查詢結果!$C$11:$F$68,3,0),-[4]整車!$B$22)</f>
        <v>211371</v>
      </c>
      <c r="Z80" s="416">
        <f t="shared" si="14"/>
        <v>2786</v>
      </c>
      <c r="AA80" s="416">
        <f t="shared" si="15"/>
        <v>1254662</v>
      </c>
    </row>
    <row r="81" spans="1:27">
      <c r="A81" s="458" t="s">
        <v>287</v>
      </c>
      <c r="B81" s="422"/>
      <c r="C81" s="422"/>
      <c r="D81" s="422"/>
      <c r="E81" s="422"/>
      <c r="F81" s="422">
        <v>55</v>
      </c>
      <c r="G81" s="422">
        <v>13342</v>
      </c>
      <c r="H81" s="422">
        <v>0</v>
      </c>
      <c r="I81" s="422">
        <v>0</v>
      </c>
      <c r="J81" s="423" t="s">
        <v>58</v>
      </c>
      <c r="K81" s="426" t="s">
        <v>58</v>
      </c>
      <c r="L81" s="422">
        <v>0</v>
      </c>
      <c r="M81" s="422">
        <v>0</v>
      </c>
      <c r="N81" s="422">
        <v>0</v>
      </c>
      <c r="O81" s="422">
        <v>0</v>
      </c>
      <c r="P81" s="422">
        <v>45</v>
      </c>
      <c r="Q81" s="422">
        <v>21552</v>
      </c>
      <c r="R81" s="422">
        <v>0</v>
      </c>
      <c r="S81" s="422">
        <v>0</v>
      </c>
      <c r="T81" s="422"/>
      <c r="U81" s="422"/>
      <c r="V81" s="422">
        <f>_xlfn.IFNA(VLOOKUP(A81,[5]進出口值表查詢結果!$C$11:$F$68,4,0),-[4]整車!$B$22)</f>
        <v>0</v>
      </c>
      <c r="W81" s="422">
        <f>_xlfn.IFNA(VLOOKUP(A81,[5]進出口值表查詢結果!$C$11:$F$68,3,0),-[4]整車!$B$22)</f>
        <v>0</v>
      </c>
      <c r="X81" s="422">
        <f>_xlfn.IFNA(VLOOKUP(A81,[6]進出口值表查詢結果!$C$11:$F$68,4,0),-[4]整車!$B$22)</f>
        <v>0</v>
      </c>
      <c r="Y81" s="422">
        <f>_xlfn.IFNA(VLOOKUP(A81,[6]進出口值表查詢結果!$C$11:$F$68,3,0),-[4]整車!$B$22)</f>
        <v>0</v>
      </c>
      <c r="Z81" s="416">
        <f t="shared" si="14"/>
        <v>100</v>
      </c>
      <c r="AA81" s="416">
        <f t="shared" si="15"/>
        <v>34894</v>
      </c>
    </row>
    <row r="82" spans="1:27">
      <c r="A82" s="427" t="s">
        <v>286</v>
      </c>
      <c r="B82" s="422"/>
      <c r="C82" s="422"/>
      <c r="D82" s="422"/>
      <c r="E82" s="422"/>
      <c r="F82" s="422">
        <v>0</v>
      </c>
      <c r="G82" s="422"/>
      <c r="H82" s="422">
        <v>0</v>
      </c>
      <c r="I82" s="422">
        <v>0</v>
      </c>
      <c r="J82" s="423" t="s">
        <v>58</v>
      </c>
      <c r="K82" s="426" t="s">
        <v>58</v>
      </c>
      <c r="L82" s="422">
        <v>0</v>
      </c>
      <c r="M82" s="422">
        <v>0</v>
      </c>
      <c r="N82" s="422">
        <v>0</v>
      </c>
      <c r="O82" s="422">
        <v>0</v>
      </c>
      <c r="P82" s="422">
        <v>0</v>
      </c>
      <c r="Q82" s="422">
        <v>0</v>
      </c>
      <c r="R82" s="422">
        <v>0</v>
      </c>
      <c r="S82" s="422">
        <v>0</v>
      </c>
      <c r="T82" s="422"/>
      <c r="U82" s="422"/>
      <c r="V82" s="422">
        <f>_xlfn.IFNA(VLOOKUP(A82,[5]進出口值表查詢結果!$C$11:$F$68,4,0),-[4]整車!$B$22)</f>
        <v>0</v>
      </c>
      <c r="W82" s="422">
        <f>_xlfn.IFNA(VLOOKUP(A82,[5]進出口值表查詢結果!$C$11:$F$68,3,0),-[4]整車!$B$22)</f>
        <v>0</v>
      </c>
      <c r="X82" s="422">
        <f>_xlfn.IFNA(VLOOKUP(A82,[6]進出口值表查詢結果!$C$11:$F$68,4,0),-[4]整車!$B$22)</f>
        <v>0</v>
      </c>
      <c r="Y82" s="422">
        <f>_xlfn.IFNA(VLOOKUP(A82,[6]進出口值表查詢結果!$C$11:$F$68,3,0),-[4]整車!$B$22)</f>
        <v>0</v>
      </c>
      <c r="Z82" s="416">
        <f t="shared" si="14"/>
        <v>0</v>
      </c>
      <c r="AA82" s="416">
        <f t="shared" si="15"/>
        <v>0</v>
      </c>
    </row>
    <row r="83" spans="1:27">
      <c r="A83" s="427" t="s">
        <v>288</v>
      </c>
      <c r="B83" s="422"/>
      <c r="C83" s="422"/>
      <c r="D83" s="422"/>
      <c r="E83" s="422"/>
      <c r="F83" s="422">
        <v>0</v>
      </c>
      <c r="G83" s="422"/>
      <c r="H83" s="422">
        <v>0</v>
      </c>
      <c r="I83" s="422">
        <v>0</v>
      </c>
      <c r="J83" s="423" t="s">
        <v>58</v>
      </c>
      <c r="K83" s="426">
        <v>0</v>
      </c>
      <c r="L83" s="422">
        <v>0</v>
      </c>
      <c r="M83" s="422">
        <v>0</v>
      </c>
      <c r="N83" s="422">
        <v>0</v>
      </c>
      <c r="O83" s="422">
        <v>0</v>
      </c>
      <c r="P83" s="422">
        <v>0</v>
      </c>
      <c r="Q83" s="422">
        <v>0</v>
      </c>
      <c r="R83" s="422">
        <v>0</v>
      </c>
      <c r="S83" s="422">
        <v>0</v>
      </c>
      <c r="T83" s="422">
        <v>0</v>
      </c>
      <c r="U83" s="422">
        <v>0</v>
      </c>
      <c r="V83" s="422">
        <f>_xlfn.IFNA(VLOOKUP(A83,[5]進出口值表查詢結果!$C$11:$F$68,4,0),-[4]整車!$B$22)</f>
        <v>0</v>
      </c>
      <c r="W83" s="422">
        <f>_xlfn.IFNA(VLOOKUP(A83,[5]進出口值表查詢結果!$C$11:$F$68,3,0),-[4]整車!$B$22)</f>
        <v>0</v>
      </c>
      <c r="X83" s="422">
        <f>_xlfn.IFNA(VLOOKUP(A83,[6]進出口值表查詢結果!$C$11:$F$68,4,0),-[4]整車!$B$22)</f>
        <v>0</v>
      </c>
      <c r="Y83" s="422">
        <f>_xlfn.IFNA(VLOOKUP(A83,[6]進出口值表查詢結果!$C$11:$F$68,3,0),-[4]整車!$B$22)</f>
        <v>0</v>
      </c>
      <c r="Z83" s="416">
        <f t="shared" si="14"/>
        <v>0</v>
      </c>
      <c r="AA83" s="416">
        <f t="shared" si="15"/>
        <v>0</v>
      </c>
    </row>
    <row r="84" spans="1:27">
      <c r="A84" s="425"/>
      <c r="B84" s="422"/>
      <c r="C84" s="422"/>
      <c r="D84" s="422"/>
      <c r="E84" s="422"/>
      <c r="F84" s="422"/>
      <c r="G84" s="422"/>
      <c r="H84" s="422"/>
      <c r="I84" s="422"/>
      <c r="J84" s="423"/>
      <c r="K84" s="424"/>
      <c r="L84" s="422"/>
      <c r="M84" s="422"/>
      <c r="N84" s="422"/>
      <c r="O84" s="422"/>
      <c r="P84" s="422"/>
      <c r="Q84" s="422"/>
      <c r="R84" s="422"/>
      <c r="S84" s="422"/>
      <c r="T84" s="422"/>
      <c r="U84" s="422"/>
      <c r="V84" s="422"/>
      <c r="W84" s="422"/>
      <c r="X84" s="422"/>
      <c r="Y84" s="422"/>
      <c r="Z84" s="416"/>
      <c r="AA84" s="416"/>
    </row>
    <row r="85" spans="1:27">
      <c r="A85" s="442" t="s">
        <v>46</v>
      </c>
      <c r="B85" s="443">
        <f t="shared" ref="B85:Y85" si="16">SUM(B86:B95)</f>
        <v>4580</v>
      </c>
      <c r="C85" s="443">
        <f t="shared" si="16"/>
        <v>4189345</v>
      </c>
      <c r="D85" s="443">
        <f t="shared" si="16"/>
        <v>4981</v>
      </c>
      <c r="E85" s="443">
        <f t="shared" si="16"/>
        <v>3563822</v>
      </c>
      <c r="F85" s="443">
        <f t="shared" si="16"/>
        <v>4938</v>
      </c>
      <c r="G85" s="443">
        <f t="shared" si="16"/>
        <v>4345204</v>
      </c>
      <c r="H85" s="443">
        <f t="shared" si="16"/>
        <v>4040</v>
      </c>
      <c r="I85" s="443">
        <f t="shared" si="16"/>
        <v>2474863</v>
      </c>
      <c r="J85" s="444">
        <f t="shared" si="16"/>
        <v>3564</v>
      </c>
      <c r="K85" s="445">
        <f>SUM(K86:K95)</f>
        <v>3664756</v>
      </c>
      <c r="L85" s="443">
        <f t="shared" si="16"/>
        <v>6992</v>
      </c>
      <c r="M85" s="443">
        <f t="shared" si="16"/>
        <v>7057607</v>
      </c>
      <c r="N85" s="443">
        <f t="shared" si="16"/>
        <v>9419</v>
      </c>
      <c r="O85" s="443">
        <f t="shared" si="16"/>
        <v>9080258</v>
      </c>
      <c r="P85" s="443">
        <f t="shared" si="16"/>
        <v>18596</v>
      </c>
      <c r="Q85" s="443">
        <f t="shared" si="16"/>
        <v>13272347</v>
      </c>
      <c r="R85" s="443">
        <f t="shared" si="16"/>
        <v>16559</v>
      </c>
      <c r="S85" s="443">
        <f t="shared" si="16"/>
        <v>10409447</v>
      </c>
      <c r="T85" s="443">
        <f t="shared" si="16"/>
        <v>9960</v>
      </c>
      <c r="U85" s="443">
        <f t="shared" si="16"/>
        <v>6716352</v>
      </c>
      <c r="V85" s="443">
        <f>SUM(V86:V95)</f>
        <v>10701</v>
      </c>
      <c r="W85" s="443">
        <f>SUM(W86:W95)</f>
        <v>9725369</v>
      </c>
      <c r="X85" s="443">
        <f t="shared" si="16"/>
        <v>14699</v>
      </c>
      <c r="Y85" s="443">
        <f t="shared" si="16"/>
        <v>10190062</v>
      </c>
      <c r="Z85" s="429">
        <f t="shared" ref="Z85:Z95" si="17">SUM(B85,D85,F85,H85,J85,L85,N85,P85,R85,T85,V85,X85)</f>
        <v>109029</v>
      </c>
      <c r="AA85" s="429">
        <f t="shared" ref="AA85:AA95" si="18">SUM(C85,E85,G85,I85,K85,M85,O85,Q85,S85,U85,W85,Y85)</f>
        <v>84689432</v>
      </c>
    </row>
    <row r="86" spans="1:27">
      <c r="A86" s="458" t="s">
        <v>174</v>
      </c>
      <c r="B86" s="422">
        <v>4150</v>
      </c>
      <c r="C86" s="422">
        <v>3694908</v>
      </c>
      <c r="D86" s="422">
        <v>4032</v>
      </c>
      <c r="E86" s="422">
        <v>2636975</v>
      </c>
      <c r="F86" s="422">
        <v>4087</v>
      </c>
      <c r="G86" s="422">
        <v>3599502</v>
      </c>
      <c r="H86" s="422">
        <v>3562</v>
      </c>
      <c r="I86" s="422">
        <v>1835676</v>
      </c>
      <c r="J86" s="423">
        <v>2839</v>
      </c>
      <c r="K86" s="424">
        <v>2636423</v>
      </c>
      <c r="L86" s="422">
        <v>5737</v>
      </c>
      <c r="M86" s="422">
        <v>5468499</v>
      </c>
      <c r="N86" s="436">
        <v>7440</v>
      </c>
      <c r="O86" s="436">
        <v>6804533</v>
      </c>
      <c r="P86" s="422">
        <v>15662</v>
      </c>
      <c r="Q86" s="422">
        <v>10198676</v>
      </c>
      <c r="R86" s="422">
        <v>14530</v>
      </c>
      <c r="S86" s="422">
        <v>8126261</v>
      </c>
      <c r="T86" s="422">
        <v>8369</v>
      </c>
      <c r="U86" s="422">
        <v>5188023</v>
      </c>
      <c r="V86" s="422">
        <f>_xlfn.IFNA(VLOOKUP(A86,[5]進出口值表查詢結果!$C$11:$F$68,4,0),-[4]整車!$B$22)</f>
        <v>8737</v>
      </c>
      <c r="W86" s="422">
        <f>_xlfn.IFNA(VLOOKUP(A86,[5]進出口值表查詢結果!$C$11:$F$68,3,0),-[4]整車!$B$22)</f>
        <v>7518300</v>
      </c>
      <c r="X86" s="422">
        <f>_xlfn.IFNA(VLOOKUP(A86,[6]進出口值表查詢結果!$C$11:$F$68,4,0),-[4]整車!$B$22)</f>
        <v>12512</v>
      </c>
      <c r="Y86" s="422">
        <f>_xlfn.IFNA(VLOOKUP(A86,[6]進出口值表查詢結果!$C$11:$F$68,3,0),-[4]整車!$B$22)</f>
        <v>8168473</v>
      </c>
      <c r="Z86" s="416">
        <f t="shared" si="17"/>
        <v>91657</v>
      </c>
      <c r="AA86" s="416">
        <f t="shared" si="18"/>
        <v>65876249</v>
      </c>
    </row>
    <row r="87" spans="1:27">
      <c r="A87" s="458" t="s">
        <v>289</v>
      </c>
      <c r="B87" s="422"/>
      <c r="C87" s="422"/>
      <c r="D87" s="422"/>
      <c r="E87" s="422"/>
      <c r="F87" s="422">
        <v>0</v>
      </c>
      <c r="G87" s="422"/>
      <c r="H87" s="422">
        <v>0</v>
      </c>
      <c r="I87" s="422">
        <v>0</v>
      </c>
      <c r="J87" s="423">
        <v>0</v>
      </c>
      <c r="K87" s="426">
        <v>0</v>
      </c>
      <c r="L87" s="422">
        <v>0</v>
      </c>
      <c r="M87" s="422">
        <v>0</v>
      </c>
      <c r="N87" s="422">
        <v>0</v>
      </c>
      <c r="O87" s="422">
        <v>0</v>
      </c>
      <c r="P87" s="422">
        <v>0</v>
      </c>
      <c r="Q87" s="422">
        <v>0</v>
      </c>
      <c r="R87" s="422">
        <v>0</v>
      </c>
      <c r="S87" s="422">
        <v>0</v>
      </c>
      <c r="T87" s="422"/>
      <c r="U87" s="422"/>
      <c r="V87" s="422">
        <f>_xlfn.IFNA(VLOOKUP(A87,[5]進出口值表查詢結果!$C$11:$F$68,4,0),-[4]整車!$B$22)</f>
        <v>0</v>
      </c>
      <c r="W87" s="422">
        <f>_xlfn.IFNA(VLOOKUP(A87,[5]進出口值表查詢結果!$C$11:$F$68,3,0),-[4]整車!$B$22)</f>
        <v>0</v>
      </c>
      <c r="X87" s="422">
        <f>_xlfn.IFNA(VLOOKUP(A87,[6]進出口值表查詢結果!$C$11:$F$68,4,0),-[4]整車!$B$22)</f>
        <v>0</v>
      </c>
      <c r="Y87" s="422">
        <f>_xlfn.IFNA(VLOOKUP(A87,[6]進出口值表查詢結果!$C$11:$F$68,3,0),-[4]整車!$B$22)</f>
        <v>0</v>
      </c>
      <c r="Z87" s="416">
        <f t="shared" si="17"/>
        <v>0</v>
      </c>
      <c r="AA87" s="416">
        <f t="shared" si="18"/>
        <v>0</v>
      </c>
    </row>
    <row r="88" spans="1:27">
      <c r="A88" s="458" t="s">
        <v>173</v>
      </c>
      <c r="B88" s="422">
        <v>399</v>
      </c>
      <c r="C88" s="422">
        <v>445420</v>
      </c>
      <c r="D88" s="422">
        <v>924</v>
      </c>
      <c r="E88" s="422">
        <v>877548</v>
      </c>
      <c r="F88" s="422">
        <v>851</v>
      </c>
      <c r="G88" s="422">
        <v>745702</v>
      </c>
      <c r="H88" s="422">
        <v>478</v>
      </c>
      <c r="I88" s="422">
        <v>639187</v>
      </c>
      <c r="J88" s="423">
        <v>694</v>
      </c>
      <c r="K88" s="424">
        <v>961243</v>
      </c>
      <c r="L88" s="422">
        <v>1089</v>
      </c>
      <c r="M88" s="422">
        <v>1332104</v>
      </c>
      <c r="N88" s="436">
        <v>1942</v>
      </c>
      <c r="O88" s="436">
        <v>2269776</v>
      </c>
      <c r="P88" s="422">
        <v>2862</v>
      </c>
      <c r="Q88" s="422">
        <v>2963505</v>
      </c>
      <c r="R88" s="422">
        <v>2009</v>
      </c>
      <c r="S88" s="422">
        <v>2248234</v>
      </c>
      <c r="T88" s="422">
        <v>1565</v>
      </c>
      <c r="U88" s="422">
        <v>1482993</v>
      </c>
      <c r="V88" s="422">
        <f>_xlfn.IFNA(VLOOKUP(A88,[5]進出口值表查詢結果!$C$11:$F$68,4,0),-[4]整車!$B$22)</f>
        <v>1783</v>
      </c>
      <c r="W88" s="422">
        <f>_xlfn.IFNA(VLOOKUP(A88,[5]進出口值表查詢結果!$C$11:$F$68,3,0),-[4]整車!$B$22)</f>
        <v>1858681</v>
      </c>
      <c r="X88" s="422">
        <f>_xlfn.IFNA(VLOOKUP(A88,[6]進出口值表查詢結果!$C$11:$F$68,4,0),-[4]整車!$B$22)</f>
        <v>2182</v>
      </c>
      <c r="Y88" s="422">
        <f>_xlfn.IFNA(VLOOKUP(A88,[6]進出口值表查詢結果!$C$11:$F$68,3,0),-[4]整車!$B$22)</f>
        <v>2014871</v>
      </c>
      <c r="Z88" s="416">
        <f t="shared" si="17"/>
        <v>16778</v>
      </c>
      <c r="AA88" s="416">
        <f t="shared" si="18"/>
        <v>17839264</v>
      </c>
    </row>
    <row r="89" spans="1:27">
      <c r="A89" s="458" t="s">
        <v>292</v>
      </c>
      <c r="B89" s="422"/>
      <c r="C89" s="422"/>
      <c r="D89" s="422"/>
      <c r="E89" s="422"/>
      <c r="F89" s="422">
        <v>0</v>
      </c>
      <c r="G89" s="422"/>
      <c r="H89" s="422">
        <v>0</v>
      </c>
      <c r="I89" s="422">
        <v>0</v>
      </c>
      <c r="J89" s="423" t="s">
        <v>58</v>
      </c>
      <c r="K89" s="426">
        <v>0</v>
      </c>
      <c r="L89" s="422">
        <v>0</v>
      </c>
      <c r="M89" s="422">
        <v>0</v>
      </c>
      <c r="N89" s="422">
        <v>0</v>
      </c>
      <c r="O89" s="422">
        <v>0</v>
      </c>
      <c r="P89" s="422">
        <v>0</v>
      </c>
      <c r="Q89" s="422">
        <v>0</v>
      </c>
      <c r="R89" s="422">
        <v>0</v>
      </c>
      <c r="S89" s="422">
        <v>0</v>
      </c>
      <c r="T89" s="422"/>
      <c r="U89" s="422"/>
      <c r="V89" s="422">
        <f>_xlfn.IFNA(VLOOKUP(A89,[5]進出口值表查詢結果!$C$11:$F$68,4,0),-[4]整車!$B$22)</f>
        <v>0</v>
      </c>
      <c r="W89" s="422">
        <f>_xlfn.IFNA(VLOOKUP(A89,[5]進出口值表查詢結果!$C$11:$F$68,3,0),-[4]整車!$B$22)</f>
        <v>0</v>
      </c>
      <c r="X89" s="422">
        <f>_xlfn.IFNA(VLOOKUP(A89,[6]進出口值表查詢結果!$C$11:$F$68,4,0),-[4]整車!$B$22)</f>
        <v>0</v>
      </c>
      <c r="Y89" s="422">
        <f>_xlfn.IFNA(VLOOKUP(A89,[6]進出口值表查詢結果!$C$11:$F$68,3,0),-[4]整車!$B$22)</f>
        <v>0</v>
      </c>
      <c r="Z89" s="416">
        <f t="shared" si="17"/>
        <v>0</v>
      </c>
      <c r="AA89" s="416">
        <f t="shared" si="18"/>
        <v>0</v>
      </c>
    </row>
    <row r="90" spans="1:27">
      <c r="A90" s="458" t="s">
        <v>291</v>
      </c>
      <c r="B90" s="422">
        <v>5</v>
      </c>
      <c r="C90" s="422">
        <v>13029</v>
      </c>
      <c r="D90" s="422">
        <v>25</v>
      </c>
      <c r="E90" s="422">
        <v>49299</v>
      </c>
      <c r="F90" s="422">
        <v>0</v>
      </c>
      <c r="G90" s="422"/>
      <c r="H90" s="422">
        <v>0</v>
      </c>
      <c r="I90" s="422">
        <v>0</v>
      </c>
      <c r="J90" s="423">
        <v>31</v>
      </c>
      <c r="K90" s="424">
        <v>67090</v>
      </c>
      <c r="L90" s="422">
        <v>166</v>
      </c>
      <c r="M90" s="422">
        <v>257004</v>
      </c>
      <c r="N90" s="436">
        <v>2</v>
      </c>
      <c r="O90" s="422">
        <v>2535</v>
      </c>
      <c r="P90" s="422">
        <v>72</v>
      </c>
      <c r="Q90" s="422">
        <v>110166</v>
      </c>
      <c r="R90" s="422">
        <v>20</v>
      </c>
      <c r="S90" s="422">
        <v>34952</v>
      </c>
      <c r="T90" s="422">
        <v>26</v>
      </c>
      <c r="U90" s="422">
        <v>45336</v>
      </c>
      <c r="V90" s="422">
        <f>_xlfn.IFNA(VLOOKUP(A90,[5]進出口值表查詢結果!$C$11:$F$68,4,0),-[4]整車!$B$22)</f>
        <v>156</v>
      </c>
      <c r="W90" s="422">
        <f>_xlfn.IFNA(VLOOKUP(A90,[5]進出口值表查詢結果!$C$11:$F$68,3,0),-[4]整車!$B$22)</f>
        <v>316499</v>
      </c>
      <c r="X90" s="422">
        <f>_xlfn.IFNA(VLOOKUP(A90,[6]進出口值表查詢結果!$C$11:$F$68,4,0),-[4]整車!$B$22)</f>
        <v>5</v>
      </c>
      <c r="Y90" s="422">
        <f>_xlfn.IFNA(VLOOKUP(A90,[6]進出口值表查詢結果!$C$11:$F$68,3,0),-[4]整車!$B$22)</f>
        <v>6718</v>
      </c>
      <c r="Z90" s="416">
        <f t="shared" si="17"/>
        <v>508</v>
      </c>
      <c r="AA90" s="416">
        <f t="shared" si="18"/>
        <v>902628</v>
      </c>
    </row>
    <row r="91" spans="1:27">
      <c r="A91" s="458" t="s">
        <v>293</v>
      </c>
      <c r="B91" s="422"/>
      <c r="C91" s="422"/>
      <c r="D91" s="422"/>
      <c r="E91" s="422"/>
      <c r="F91" s="422">
        <v>0</v>
      </c>
      <c r="G91" s="422"/>
      <c r="H91" s="422">
        <v>0</v>
      </c>
      <c r="I91" s="422">
        <v>0</v>
      </c>
      <c r="J91" s="423" t="s">
        <v>58</v>
      </c>
      <c r="K91" s="426">
        <v>0</v>
      </c>
      <c r="L91" s="422">
        <v>0</v>
      </c>
      <c r="M91" s="422">
        <v>0</v>
      </c>
      <c r="N91" s="422">
        <v>0</v>
      </c>
      <c r="O91" s="422">
        <v>0</v>
      </c>
      <c r="P91" s="422">
        <v>0</v>
      </c>
      <c r="Q91" s="422">
        <v>0</v>
      </c>
      <c r="R91" s="422">
        <v>0</v>
      </c>
      <c r="S91" s="422">
        <v>0</v>
      </c>
      <c r="T91" s="422"/>
      <c r="U91" s="422"/>
      <c r="V91" s="422">
        <f>_xlfn.IFNA(VLOOKUP(A91,[5]進出口值表查詢結果!$C$11:$F$68,4,0),-[4]整車!$B$22)</f>
        <v>0</v>
      </c>
      <c r="W91" s="422">
        <f>_xlfn.IFNA(VLOOKUP(A91,[5]進出口值表查詢結果!$C$11:$F$68,3,0),-[4]整車!$B$22)</f>
        <v>0</v>
      </c>
      <c r="X91" s="422">
        <f>_xlfn.IFNA(VLOOKUP(A91,[6]進出口值表查詢結果!$C$11:$F$68,4,0),-[4]整車!$B$22)</f>
        <v>0</v>
      </c>
      <c r="Y91" s="422">
        <f>_xlfn.IFNA(VLOOKUP(A91,[6]進出口值表查詢結果!$C$11:$F$68,3,0),-[4]整車!$B$22)</f>
        <v>0</v>
      </c>
      <c r="Z91" s="416">
        <f t="shared" si="17"/>
        <v>0</v>
      </c>
      <c r="AA91" s="416">
        <f t="shared" si="18"/>
        <v>0</v>
      </c>
    </row>
    <row r="92" spans="1:27">
      <c r="A92" s="458" t="s">
        <v>396</v>
      </c>
      <c r="B92" s="422">
        <v>26</v>
      </c>
      <c r="C92" s="422">
        <v>35988</v>
      </c>
      <c r="D92" s="422"/>
      <c r="E92" s="422"/>
      <c r="F92" s="422">
        <v>0</v>
      </c>
      <c r="G92" s="422"/>
      <c r="H92" s="422">
        <v>0</v>
      </c>
      <c r="I92" s="422">
        <v>0</v>
      </c>
      <c r="J92" s="423" t="s">
        <v>58</v>
      </c>
      <c r="K92" s="426">
        <v>0</v>
      </c>
      <c r="L92" s="422">
        <v>0</v>
      </c>
      <c r="M92" s="422">
        <v>0</v>
      </c>
      <c r="N92" s="422">
        <v>0</v>
      </c>
      <c r="O92" s="422">
        <v>0</v>
      </c>
      <c r="P92" s="422">
        <v>0</v>
      </c>
      <c r="Q92" s="422">
        <v>0</v>
      </c>
      <c r="R92" s="422">
        <v>0</v>
      </c>
      <c r="S92" s="422">
        <v>0</v>
      </c>
      <c r="T92" s="422"/>
      <c r="U92" s="422"/>
      <c r="V92" s="422">
        <f>_xlfn.IFNA(VLOOKUP(A92,[5]進出口值表查詢結果!$C$11:$F$68,4,0),-[4]整車!$B$22)</f>
        <v>25</v>
      </c>
      <c r="W92" s="422">
        <f>_xlfn.IFNA(VLOOKUP(A92,[5]進出口值表查詢結果!$C$11:$F$68,3,0),-[4]整車!$B$22)</f>
        <v>31889</v>
      </c>
      <c r="X92" s="422">
        <f>_xlfn.IFNA(VLOOKUP(A92,[6]進出口值表查詢結果!$C$11:$F$68,4,0),-[4]整車!$B$22)</f>
        <v>0</v>
      </c>
      <c r="Y92" s="422">
        <f>_xlfn.IFNA(VLOOKUP(A92,[6]進出口值表查詢結果!$C$11:$F$68,3,0),-[4]整車!$B$22)</f>
        <v>0</v>
      </c>
      <c r="Z92" s="416">
        <f t="shared" si="17"/>
        <v>51</v>
      </c>
      <c r="AA92" s="416">
        <f t="shared" si="18"/>
        <v>67877</v>
      </c>
    </row>
    <row r="93" spans="1:27">
      <c r="A93" s="458" t="s">
        <v>295</v>
      </c>
      <c r="B93" s="422"/>
      <c r="C93" s="422"/>
      <c r="D93" s="422"/>
      <c r="E93" s="422"/>
      <c r="F93" s="422">
        <v>0</v>
      </c>
      <c r="G93" s="422"/>
      <c r="H93" s="422">
        <v>0</v>
      </c>
      <c r="I93" s="422">
        <v>0</v>
      </c>
      <c r="J93" s="423" t="s">
        <v>58</v>
      </c>
      <c r="K93" s="426">
        <v>0</v>
      </c>
      <c r="L93" s="422">
        <v>0</v>
      </c>
      <c r="M93" s="422">
        <v>0</v>
      </c>
      <c r="N93" s="436">
        <v>35</v>
      </c>
      <c r="O93" s="436">
        <v>3414</v>
      </c>
      <c r="P93" s="422">
        <v>0</v>
      </c>
      <c r="Q93" s="422">
        <v>0</v>
      </c>
      <c r="R93" s="422">
        <v>0</v>
      </c>
      <c r="S93" s="422">
        <v>0</v>
      </c>
      <c r="T93" s="422"/>
      <c r="U93" s="422"/>
      <c r="V93" s="422">
        <f>_xlfn.IFNA(VLOOKUP(A93,[5]進出口值表查詢結果!$C$11:$F$68,4,0),-[4]整車!$B$22)</f>
        <v>0</v>
      </c>
      <c r="W93" s="422">
        <f>_xlfn.IFNA(VLOOKUP(A93,[5]進出口值表查詢結果!$C$11:$F$68,3,0),-[4]整車!$B$22)</f>
        <v>0</v>
      </c>
      <c r="X93" s="422">
        <f>_xlfn.IFNA(VLOOKUP(A93,[6]進出口值表查詢結果!$C$11:$F$68,4,0),-[4]整車!$B$22)</f>
        <v>0</v>
      </c>
      <c r="Y93" s="422">
        <f>_xlfn.IFNA(VLOOKUP(A93,[6]進出口值表查詢結果!$C$11:$F$68,3,0),-[4]整車!$B$22)</f>
        <v>0</v>
      </c>
      <c r="Z93" s="416">
        <f t="shared" si="17"/>
        <v>35</v>
      </c>
      <c r="AA93" s="416">
        <f t="shared" si="18"/>
        <v>3414</v>
      </c>
    </row>
    <row r="94" spans="1:27">
      <c r="A94" s="458" t="s">
        <v>294</v>
      </c>
      <c r="B94" s="422"/>
      <c r="C94" s="422"/>
      <c r="D94" s="422"/>
      <c r="E94" s="422"/>
      <c r="F94" s="422">
        <v>0</v>
      </c>
      <c r="G94" s="422"/>
      <c r="H94" s="422">
        <v>0</v>
      </c>
      <c r="I94" s="422">
        <v>0</v>
      </c>
      <c r="J94" s="423" t="s">
        <v>58</v>
      </c>
      <c r="K94" s="426">
        <v>0</v>
      </c>
      <c r="L94" s="422">
        <v>0</v>
      </c>
      <c r="M94" s="422">
        <v>0</v>
      </c>
      <c r="N94" s="422">
        <v>0</v>
      </c>
      <c r="O94" s="422">
        <v>0</v>
      </c>
      <c r="P94" s="422">
        <v>0</v>
      </c>
      <c r="Q94" s="422">
        <v>0</v>
      </c>
      <c r="R94" s="422">
        <v>0</v>
      </c>
      <c r="S94" s="422">
        <v>0</v>
      </c>
      <c r="T94" s="422"/>
      <c r="U94" s="422"/>
      <c r="V94" s="422">
        <f>_xlfn.IFNA(VLOOKUP(A94,[5]進出口值表查詢結果!$C$11:$F$68,4,0),-[4]整車!$B$22)</f>
        <v>0</v>
      </c>
      <c r="W94" s="422">
        <f>_xlfn.IFNA(VLOOKUP(A94,[5]進出口值表查詢結果!$C$11:$F$68,3,0),-[4]整車!$B$22)</f>
        <v>0</v>
      </c>
      <c r="X94" s="422">
        <f>_xlfn.IFNA(VLOOKUP(A94,[6]進出口值表查詢結果!$C$11:$F$68,4,0),-[4]整車!$B$22)</f>
        <v>0</v>
      </c>
      <c r="Y94" s="422">
        <f>_xlfn.IFNA(VLOOKUP(A94,[6]進出口值表查詢結果!$C$11:$F$68,3,0),-[4]整車!$B$22)</f>
        <v>0</v>
      </c>
      <c r="Z94" s="416">
        <f t="shared" si="17"/>
        <v>0</v>
      </c>
      <c r="AA94" s="416">
        <f t="shared" si="18"/>
        <v>0</v>
      </c>
    </row>
    <row r="95" spans="1:27">
      <c r="A95" s="460" t="s">
        <v>296</v>
      </c>
      <c r="B95" s="416"/>
      <c r="C95" s="416"/>
      <c r="D95" s="416"/>
      <c r="E95" s="422"/>
      <c r="F95" s="416">
        <v>0</v>
      </c>
      <c r="G95" s="416"/>
      <c r="H95" s="422">
        <v>0</v>
      </c>
      <c r="I95" s="422">
        <v>0</v>
      </c>
      <c r="J95" s="409" t="s">
        <v>58</v>
      </c>
      <c r="K95" s="426">
        <v>0</v>
      </c>
      <c r="L95" s="416">
        <v>0</v>
      </c>
      <c r="M95" s="416">
        <v>0</v>
      </c>
      <c r="N95" s="416">
        <v>0</v>
      </c>
      <c r="O95" s="416">
        <v>0</v>
      </c>
      <c r="P95" s="422">
        <v>0</v>
      </c>
      <c r="Q95" s="422">
        <v>0</v>
      </c>
      <c r="R95" s="422">
        <v>0</v>
      </c>
      <c r="S95" s="422">
        <v>0</v>
      </c>
      <c r="T95" s="416"/>
      <c r="U95" s="416"/>
      <c r="V95" s="422">
        <f>_xlfn.IFNA(VLOOKUP(A95,[5]進出口值表查詢結果!$C$11:$F$68,4,0),-[4]整車!$B$22)</f>
        <v>0</v>
      </c>
      <c r="W95" s="422">
        <f>_xlfn.IFNA(VLOOKUP(A95,[5]進出口值表查詢結果!$C$11:$F$68,3,0),-[4]整車!$B$22)</f>
        <v>0</v>
      </c>
      <c r="X95" s="422">
        <f>_xlfn.IFNA(VLOOKUP(A95,[6]進出口值表查詢結果!$C$11:$F$68,4,0),-[4]整車!$B$22)</f>
        <v>0</v>
      </c>
      <c r="Y95" s="422">
        <f>_xlfn.IFNA(VLOOKUP(A95,[6]進出口值表查詢結果!$C$11:$F$68,3,0),-[4]整車!$B$22)</f>
        <v>0</v>
      </c>
      <c r="Z95" s="416">
        <f t="shared" si="17"/>
        <v>0</v>
      </c>
      <c r="AA95" s="416">
        <f t="shared" si="18"/>
        <v>0</v>
      </c>
    </row>
    <row r="96" spans="1:27">
      <c r="A96" s="415"/>
      <c r="B96" s="416"/>
      <c r="C96" s="416"/>
      <c r="D96" s="416"/>
      <c r="E96" s="416"/>
      <c r="F96" s="416"/>
      <c r="G96" s="416"/>
      <c r="H96" s="416"/>
      <c r="I96" s="416"/>
      <c r="J96" s="409"/>
      <c r="K96" s="410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</row>
    <row r="97" spans="1:27">
      <c r="A97" s="442" t="s">
        <v>143</v>
      </c>
      <c r="B97" s="443">
        <f t="shared" ref="B97:Y97" si="19">SUM(B98:B100)</f>
        <v>52798</v>
      </c>
      <c r="C97" s="443">
        <f t="shared" si="19"/>
        <v>33121696</v>
      </c>
      <c r="D97" s="443">
        <f t="shared" si="19"/>
        <v>50400</v>
      </c>
      <c r="E97" s="443">
        <f t="shared" si="19"/>
        <v>31534279</v>
      </c>
      <c r="F97" s="443">
        <f t="shared" si="19"/>
        <v>40988</v>
      </c>
      <c r="G97" s="443">
        <f t="shared" si="19"/>
        <v>23973578</v>
      </c>
      <c r="H97" s="443">
        <f t="shared" si="19"/>
        <v>42311</v>
      </c>
      <c r="I97" s="443">
        <f t="shared" si="19"/>
        <v>22157100</v>
      </c>
      <c r="J97" s="444">
        <f t="shared" si="19"/>
        <v>68862</v>
      </c>
      <c r="K97" s="445">
        <f t="shared" si="19"/>
        <v>39539255</v>
      </c>
      <c r="L97" s="443">
        <f t="shared" si="19"/>
        <v>61547</v>
      </c>
      <c r="M97" s="443">
        <f t="shared" si="19"/>
        <v>41765283</v>
      </c>
      <c r="N97" s="443">
        <f t="shared" si="19"/>
        <v>57860</v>
      </c>
      <c r="O97" s="443">
        <f t="shared" si="19"/>
        <v>47576440</v>
      </c>
      <c r="P97" s="443">
        <f t="shared" si="19"/>
        <v>70020</v>
      </c>
      <c r="Q97" s="443">
        <f t="shared" si="19"/>
        <v>47975910</v>
      </c>
      <c r="R97" s="443">
        <f t="shared" si="19"/>
        <v>57029</v>
      </c>
      <c r="S97" s="443">
        <f t="shared" si="19"/>
        <v>32139611</v>
      </c>
      <c r="T97" s="443">
        <f t="shared" si="19"/>
        <v>68638</v>
      </c>
      <c r="U97" s="443">
        <f t="shared" si="19"/>
        <v>38723065</v>
      </c>
      <c r="V97" s="443">
        <f>SUM(V98:V100)</f>
        <v>76863</v>
      </c>
      <c r="W97" s="443">
        <f>SUM(W98:W100)</f>
        <v>36987555</v>
      </c>
      <c r="X97" s="443">
        <f t="shared" si="19"/>
        <v>64518</v>
      </c>
      <c r="Y97" s="443">
        <f t="shared" si="19"/>
        <v>35209517</v>
      </c>
      <c r="Z97" s="429">
        <f t="shared" ref="Z97:AA100" si="20">SUM(B97,D97,F97,H97,J97,L97,N97,P97,R97,T97,V97,X97)</f>
        <v>711834</v>
      </c>
      <c r="AA97" s="429">
        <f t="shared" si="20"/>
        <v>430703289</v>
      </c>
    </row>
    <row r="98" spans="1:27">
      <c r="A98" s="458" t="s">
        <v>162</v>
      </c>
      <c r="B98" s="422">
        <v>48120</v>
      </c>
      <c r="C98" s="422">
        <v>29498633</v>
      </c>
      <c r="D98" s="422">
        <v>44184</v>
      </c>
      <c r="E98" s="422">
        <v>25012824</v>
      </c>
      <c r="F98" s="422">
        <v>37364</v>
      </c>
      <c r="G98" s="422">
        <v>20911414</v>
      </c>
      <c r="H98" s="422">
        <v>40429</v>
      </c>
      <c r="I98" s="422">
        <v>20039545</v>
      </c>
      <c r="J98" s="423">
        <v>65721</v>
      </c>
      <c r="K98" s="424">
        <v>36235280</v>
      </c>
      <c r="L98" s="422">
        <v>57262</v>
      </c>
      <c r="M98" s="422">
        <v>37300973</v>
      </c>
      <c r="N98" s="422">
        <v>52826</v>
      </c>
      <c r="O98" s="422">
        <v>41788643</v>
      </c>
      <c r="P98" s="422">
        <v>65538</v>
      </c>
      <c r="Q98" s="422">
        <v>42663542</v>
      </c>
      <c r="R98" s="422">
        <v>54118</v>
      </c>
      <c r="S98" s="422">
        <v>29005811</v>
      </c>
      <c r="T98" s="422">
        <v>65331</v>
      </c>
      <c r="U98" s="422">
        <v>34634631</v>
      </c>
      <c r="V98" s="422">
        <f>_xlfn.IFNA(VLOOKUP(A98,[5]進出口值表查詢結果!$C$11:$F$68,4,0),-[4]整車!$B$22)</f>
        <v>73370</v>
      </c>
      <c r="W98" s="422">
        <f>_xlfn.IFNA(VLOOKUP(A98,[5]進出口值表查詢結果!$C$11:$F$68,3,0),-[4]整車!$B$22)</f>
        <v>33547174</v>
      </c>
      <c r="X98" s="422">
        <f>_xlfn.IFNA(VLOOKUP(A98,[6]進出口值表查詢結果!$C$11:$F$68,4,0),-[4]整車!$B$22)</f>
        <v>60970</v>
      </c>
      <c r="Y98" s="422">
        <f>_xlfn.IFNA(VLOOKUP(A98,[6]進出口值表查詢結果!$C$11:$F$68,3,0),-[4]整車!$B$22)</f>
        <v>32188211</v>
      </c>
      <c r="Z98" s="416">
        <f t="shared" si="20"/>
        <v>665233</v>
      </c>
      <c r="AA98" s="416">
        <f t="shared" si="20"/>
        <v>382826681</v>
      </c>
    </row>
    <row r="99" spans="1:27">
      <c r="A99" s="458" t="s">
        <v>172</v>
      </c>
      <c r="B99" s="422">
        <v>4285</v>
      </c>
      <c r="C99" s="422">
        <v>3224729</v>
      </c>
      <c r="D99" s="422">
        <v>5520</v>
      </c>
      <c r="E99" s="422">
        <v>5948302</v>
      </c>
      <c r="F99" s="422">
        <v>3453</v>
      </c>
      <c r="G99" s="422">
        <v>2889944</v>
      </c>
      <c r="H99" s="422">
        <v>1520</v>
      </c>
      <c r="I99" s="422">
        <v>1622558</v>
      </c>
      <c r="J99" s="423">
        <v>2611</v>
      </c>
      <c r="K99" s="424">
        <v>2499831</v>
      </c>
      <c r="L99" s="422">
        <v>3403</v>
      </c>
      <c r="M99" s="422">
        <v>3630698</v>
      </c>
      <c r="N99" s="422">
        <v>3856</v>
      </c>
      <c r="O99" s="422">
        <v>4296622</v>
      </c>
      <c r="P99" s="422">
        <v>3208</v>
      </c>
      <c r="Q99" s="422">
        <v>3679701</v>
      </c>
      <c r="R99" s="422">
        <v>2427</v>
      </c>
      <c r="S99" s="422">
        <v>2612605</v>
      </c>
      <c r="T99" s="422">
        <v>2276</v>
      </c>
      <c r="U99" s="422">
        <v>3152428</v>
      </c>
      <c r="V99" s="422">
        <f>_xlfn.IFNA(VLOOKUP(A99,[5]進出口值表查詢結果!$C$11:$F$68,4,0),-[4]整車!$B$22)</f>
        <v>2267</v>
      </c>
      <c r="W99" s="422">
        <f>_xlfn.IFNA(VLOOKUP(A99,[5]進出口值表查詢結果!$C$11:$F$68,3,0),-[4]整車!$B$22)</f>
        <v>2558579</v>
      </c>
      <c r="X99" s="422">
        <f>_xlfn.IFNA(VLOOKUP(A99,[6]進出口值表查詢結果!$C$11:$F$68,4,0),-[4]整車!$B$22)</f>
        <v>3014</v>
      </c>
      <c r="Y99" s="422">
        <f>_xlfn.IFNA(VLOOKUP(A99,[6]進出口值表查詢結果!$C$11:$F$68,3,0),-[4]整車!$B$22)</f>
        <v>2345835</v>
      </c>
      <c r="Z99" s="416">
        <f t="shared" si="20"/>
        <v>37840</v>
      </c>
      <c r="AA99" s="416">
        <f t="shared" si="20"/>
        <v>38461832</v>
      </c>
    </row>
    <row r="100" spans="1:27">
      <c r="A100" s="458" t="s">
        <v>195</v>
      </c>
      <c r="B100" s="422">
        <v>393</v>
      </c>
      <c r="C100" s="422">
        <v>398334</v>
      </c>
      <c r="D100" s="422">
        <v>696</v>
      </c>
      <c r="E100" s="422">
        <v>573153</v>
      </c>
      <c r="F100" s="422">
        <v>171</v>
      </c>
      <c r="G100" s="422">
        <v>172220</v>
      </c>
      <c r="H100" s="422">
        <v>362</v>
      </c>
      <c r="I100" s="422">
        <v>494997</v>
      </c>
      <c r="J100" s="423">
        <v>530</v>
      </c>
      <c r="K100" s="426">
        <v>804144</v>
      </c>
      <c r="L100" s="422">
        <v>882</v>
      </c>
      <c r="M100" s="422">
        <v>833612</v>
      </c>
      <c r="N100" s="422">
        <v>1178</v>
      </c>
      <c r="O100" s="422">
        <v>1491175</v>
      </c>
      <c r="P100" s="422">
        <v>1274</v>
      </c>
      <c r="Q100" s="422">
        <v>1632667</v>
      </c>
      <c r="R100" s="422">
        <v>484</v>
      </c>
      <c r="S100" s="422">
        <v>521195</v>
      </c>
      <c r="T100" s="422">
        <v>1031</v>
      </c>
      <c r="U100" s="422">
        <v>936006</v>
      </c>
      <c r="V100" s="422">
        <f>_xlfn.IFNA(VLOOKUP(A100,[5]進出口值表查詢結果!$C$11:$F$68,4,0),-[4]整車!$B$22)</f>
        <v>1226</v>
      </c>
      <c r="W100" s="422">
        <f>_xlfn.IFNA(VLOOKUP(A100,[5]進出口值表查詢結果!$C$11:$F$68,3,0),-[4]整車!$B$22)</f>
        <v>881802</v>
      </c>
      <c r="X100" s="422">
        <f>_xlfn.IFNA(VLOOKUP(A100,[6]進出口值表查詢結果!$C$11:$F$68,4,0),-[4]整車!$B$22)</f>
        <v>534</v>
      </c>
      <c r="Y100" s="422">
        <f>_xlfn.IFNA(VLOOKUP(A100,[6]進出口值表查詢結果!$C$11:$F$68,3,0),-[4]整車!$B$22)</f>
        <v>675471</v>
      </c>
      <c r="Z100" s="416">
        <f t="shared" si="20"/>
        <v>8761</v>
      </c>
      <c r="AA100" s="416">
        <f t="shared" si="20"/>
        <v>9414776</v>
      </c>
    </row>
    <row r="101" spans="1:27">
      <c r="A101" s="425"/>
      <c r="B101" s="422"/>
      <c r="C101" s="422"/>
      <c r="D101" s="422"/>
      <c r="E101" s="422"/>
      <c r="F101" s="422"/>
      <c r="G101" s="422"/>
      <c r="H101" s="422"/>
      <c r="I101" s="422"/>
      <c r="J101" s="423"/>
      <c r="K101" s="424"/>
      <c r="L101" s="422"/>
      <c r="M101" s="422"/>
      <c r="N101" s="422"/>
      <c r="O101" s="422"/>
      <c r="P101" s="422"/>
      <c r="Q101" s="422"/>
      <c r="R101" s="422"/>
      <c r="S101" s="422"/>
      <c r="T101" s="422"/>
      <c r="U101" s="422"/>
      <c r="V101" s="422"/>
      <c r="W101" s="422"/>
      <c r="X101" s="422"/>
      <c r="Y101" s="422"/>
      <c r="Z101" s="416"/>
      <c r="AA101" s="416"/>
    </row>
    <row r="102" spans="1:27">
      <c r="A102" s="442" t="s">
        <v>44</v>
      </c>
      <c r="B102" s="443">
        <f t="shared" ref="B102:Y102" si="21">SUM(B103:B134)</f>
        <v>1934</v>
      </c>
      <c r="C102" s="443">
        <f t="shared" si="21"/>
        <v>1731089</v>
      </c>
      <c r="D102" s="443">
        <f t="shared" si="21"/>
        <v>1633</v>
      </c>
      <c r="E102" s="443">
        <f t="shared" si="21"/>
        <v>1772448</v>
      </c>
      <c r="F102" s="443">
        <f t="shared" si="21"/>
        <v>1822</v>
      </c>
      <c r="G102" s="443">
        <f t="shared" si="21"/>
        <v>2077067</v>
      </c>
      <c r="H102" s="443">
        <f t="shared" si="21"/>
        <v>906</v>
      </c>
      <c r="I102" s="443">
        <f t="shared" si="21"/>
        <v>1075357</v>
      </c>
      <c r="J102" s="444">
        <f t="shared" si="21"/>
        <v>1957</v>
      </c>
      <c r="K102" s="445">
        <f t="shared" si="21"/>
        <v>3078550</v>
      </c>
      <c r="L102" s="443">
        <f t="shared" si="21"/>
        <v>3212</v>
      </c>
      <c r="M102" s="443">
        <f t="shared" si="21"/>
        <v>4353020</v>
      </c>
      <c r="N102" s="443">
        <f t="shared" si="21"/>
        <v>3748</v>
      </c>
      <c r="O102" s="443">
        <f t="shared" si="21"/>
        <v>4915548</v>
      </c>
      <c r="P102" s="443">
        <f t="shared" si="21"/>
        <v>2931</v>
      </c>
      <c r="Q102" s="443">
        <f t="shared" si="21"/>
        <v>4038698</v>
      </c>
      <c r="R102" s="443">
        <f t="shared" si="21"/>
        <v>2759</v>
      </c>
      <c r="S102" s="443">
        <f t="shared" si="21"/>
        <v>3387332</v>
      </c>
      <c r="T102" s="443">
        <f t="shared" si="21"/>
        <v>2949</v>
      </c>
      <c r="U102" s="443">
        <f t="shared" si="21"/>
        <v>3052841</v>
      </c>
      <c r="V102" s="443">
        <f>SUM(V103:V134)</f>
        <v>1812</v>
      </c>
      <c r="W102" s="443">
        <f>SUM(W103:W134)</f>
        <v>2019548</v>
      </c>
      <c r="X102" s="443">
        <f t="shared" si="21"/>
        <v>2688</v>
      </c>
      <c r="Y102" s="443">
        <f t="shared" si="21"/>
        <v>2319383</v>
      </c>
      <c r="Z102" s="429">
        <f t="shared" ref="Z102:Z134" si="22">SUM(B102,D102,F102,H102,J102,L102,N102,P102,R102,T102,V102,X102)</f>
        <v>28351</v>
      </c>
      <c r="AA102" s="429">
        <f t="shared" ref="AA102:AA134" si="23">SUM(C102,E102,G102,I102,K102,M102,O102,Q102,S102,U102,W102,Y102)</f>
        <v>33820881</v>
      </c>
    </row>
    <row r="103" spans="1:27">
      <c r="A103" s="458" t="s">
        <v>297</v>
      </c>
      <c r="B103" s="422"/>
      <c r="C103" s="422"/>
      <c r="D103" s="422"/>
      <c r="E103" s="422"/>
      <c r="F103" s="422">
        <v>0</v>
      </c>
      <c r="G103" s="422"/>
      <c r="H103" s="422">
        <v>0</v>
      </c>
      <c r="I103" s="422">
        <v>0</v>
      </c>
      <c r="J103" s="423" t="s">
        <v>58</v>
      </c>
      <c r="K103" s="426" t="s">
        <v>58</v>
      </c>
      <c r="L103" s="422"/>
      <c r="M103" s="422"/>
      <c r="N103" s="422"/>
      <c r="O103" s="422"/>
      <c r="P103" s="422">
        <v>0</v>
      </c>
      <c r="Q103" s="422">
        <v>0</v>
      </c>
      <c r="R103" s="422">
        <v>0</v>
      </c>
      <c r="S103" s="422">
        <v>0</v>
      </c>
      <c r="T103" s="422"/>
      <c r="U103" s="422"/>
      <c r="V103" s="422">
        <f>_xlfn.IFNA(VLOOKUP(A103,[5]進出口值表查詢結果!$C$11:$F$68,4,0),-[4]整車!$B$22)</f>
        <v>0</v>
      </c>
      <c r="W103" s="422">
        <f>_xlfn.IFNA(VLOOKUP(A103,[5]進出口值表查詢結果!$C$11:$F$68,3,0),-[4]整車!$B$22)</f>
        <v>0</v>
      </c>
      <c r="X103" s="422">
        <f>_xlfn.IFNA(VLOOKUP(A103,[6]進出口值表查詢結果!$C$11:$F$68,4,0),-[4]整車!$B$22)</f>
        <v>0</v>
      </c>
      <c r="Y103" s="422">
        <f>_xlfn.IFNA(VLOOKUP(A103,[6]進出口值表查詢結果!$C$11:$F$68,3,0),-[4]整車!$B$22)</f>
        <v>0</v>
      </c>
      <c r="Z103" s="416">
        <f t="shared" si="22"/>
        <v>0</v>
      </c>
      <c r="AA103" s="416">
        <f t="shared" si="23"/>
        <v>0</v>
      </c>
    </row>
    <row r="104" spans="1:27">
      <c r="A104" s="458" t="s">
        <v>298</v>
      </c>
      <c r="B104" s="422"/>
      <c r="C104" s="422"/>
      <c r="D104" s="422"/>
      <c r="E104" s="422"/>
      <c r="F104" s="422">
        <v>0</v>
      </c>
      <c r="G104" s="422"/>
      <c r="H104" s="422">
        <v>0</v>
      </c>
      <c r="I104" s="422">
        <v>0</v>
      </c>
      <c r="J104" s="423" t="s">
        <v>58</v>
      </c>
      <c r="K104" s="426" t="s">
        <v>58</v>
      </c>
      <c r="L104" s="422"/>
      <c r="M104" s="422"/>
      <c r="N104" s="422"/>
      <c r="O104" s="422"/>
      <c r="P104" s="422">
        <v>0</v>
      </c>
      <c r="Q104" s="422">
        <v>0</v>
      </c>
      <c r="R104" s="422">
        <v>0</v>
      </c>
      <c r="S104" s="422">
        <v>0</v>
      </c>
      <c r="T104" s="422"/>
      <c r="U104" s="422"/>
      <c r="V104" s="422">
        <f>_xlfn.IFNA(VLOOKUP(A104,[5]進出口值表查詢結果!$C$11:$F$68,4,0),-[4]整車!$B$22)</f>
        <v>0</v>
      </c>
      <c r="W104" s="422">
        <f>_xlfn.IFNA(VLOOKUP(A104,[5]進出口值表查詢結果!$C$11:$F$68,3,0),-[4]整車!$B$22)</f>
        <v>0</v>
      </c>
      <c r="X104" s="422">
        <f>_xlfn.IFNA(VLOOKUP(A104,[6]進出口值表查詢結果!$C$11:$F$68,4,0),-[4]整車!$B$22)</f>
        <v>0</v>
      </c>
      <c r="Y104" s="422">
        <f>_xlfn.IFNA(VLOOKUP(A104,[6]進出口值表查詢結果!$C$11:$F$68,3,0),-[4]整車!$B$22)</f>
        <v>0</v>
      </c>
      <c r="Z104" s="416">
        <f t="shared" si="22"/>
        <v>0</v>
      </c>
      <c r="AA104" s="416">
        <f t="shared" si="23"/>
        <v>0</v>
      </c>
    </row>
    <row r="105" spans="1:27">
      <c r="A105" s="458" t="s">
        <v>188</v>
      </c>
      <c r="B105" s="422">
        <v>382</v>
      </c>
      <c r="C105" s="422">
        <v>382841</v>
      </c>
      <c r="D105" s="422">
        <v>506</v>
      </c>
      <c r="E105" s="422">
        <v>765722</v>
      </c>
      <c r="F105" s="422">
        <v>527</v>
      </c>
      <c r="G105" s="422">
        <v>600067</v>
      </c>
      <c r="H105" s="422">
        <v>281</v>
      </c>
      <c r="I105" s="422">
        <v>404903</v>
      </c>
      <c r="J105" s="423">
        <v>848</v>
      </c>
      <c r="K105" s="424">
        <v>1410992</v>
      </c>
      <c r="L105" s="422">
        <v>1653</v>
      </c>
      <c r="M105" s="422">
        <v>2346012</v>
      </c>
      <c r="N105" s="436">
        <v>944</v>
      </c>
      <c r="O105" s="436">
        <v>1389114</v>
      </c>
      <c r="P105" s="422">
        <v>509</v>
      </c>
      <c r="Q105" s="422">
        <v>808506</v>
      </c>
      <c r="R105" s="422">
        <v>533</v>
      </c>
      <c r="S105" s="422">
        <v>864334</v>
      </c>
      <c r="T105" s="422">
        <v>159</v>
      </c>
      <c r="U105" s="422">
        <v>215147</v>
      </c>
      <c r="V105" s="422">
        <f>_xlfn.IFNA(VLOOKUP(A105,[5]進出口值表查詢結果!$C$11:$F$68,4,0),-[4]整車!$B$22)</f>
        <v>323</v>
      </c>
      <c r="W105" s="422">
        <f>_xlfn.IFNA(VLOOKUP(A105,[5]進出口值表查詢結果!$C$11:$F$68,3,0),-[4]整車!$B$22)</f>
        <v>284126</v>
      </c>
      <c r="X105" s="422">
        <f>_xlfn.IFNA(VLOOKUP(A105,[6]進出口值表查詢結果!$C$11:$F$68,4,0),-[4]整車!$B$22)</f>
        <v>146</v>
      </c>
      <c r="Y105" s="422">
        <f>_xlfn.IFNA(VLOOKUP(A105,[6]進出口值表查詢結果!$C$11:$F$68,3,0),-[4]整車!$B$22)</f>
        <v>145591</v>
      </c>
      <c r="Z105" s="416">
        <f t="shared" si="22"/>
        <v>6811</v>
      </c>
      <c r="AA105" s="416">
        <f t="shared" si="23"/>
        <v>9617355</v>
      </c>
    </row>
    <row r="106" spans="1:27">
      <c r="A106" s="458" t="s">
        <v>300</v>
      </c>
      <c r="B106" s="422">
        <v>192</v>
      </c>
      <c r="C106" s="422">
        <v>147251</v>
      </c>
      <c r="D106" s="422">
        <v>186</v>
      </c>
      <c r="E106" s="422">
        <v>185042</v>
      </c>
      <c r="F106" s="422">
        <v>10</v>
      </c>
      <c r="G106" s="422">
        <v>16229</v>
      </c>
      <c r="H106" s="422">
        <v>0</v>
      </c>
      <c r="I106" s="422">
        <v>0</v>
      </c>
      <c r="J106" s="423" t="s">
        <v>58</v>
      </c>
      <c r="K106" s="426" t="s">
        <v>58</v>
      </c>
      <c r="L106" s="422">
        <v>204</v>
      </c>
      <c r="M106" s="422">
        <v>355563</v>
      </c>
      <c r="N106" s="436">
        <v>92</v>
      </c>
      <c r="O106" s="436">
        <v>125017</v>
      </c>
      <c r="P106" s="422">
        <v>232</v>
      </c>
      <c r="Q106" s="422">
        <v>213453</v>
      </c>
      <c r="R106" s="422">
        <v>211</v>
      </c>
      <c r="S106" s="422">
        <v>248506</v>
      </c>
      <c r="T106" s="422">
        <v>234</v>
      </c>
      <c r="U106" s="422">
        <v>172701</v>
      </c>
      <c r="V106" s="422">
        <f>_xlfn.IFNA(VLOOKUP(A106,[5]進出口值表查詢結果!$C$11:$F$68,4,0),-[4]整車!$B$22)</f>
        <v>169</v>
      </c>
      <c r="W106" s="422">
        <f>_xlfn.IFNA(VLOOKUP(A106,[5]進出口值表查詢結果!$C$11:$F$68,3,0),-[4]整車!$B$22)</f>
        <v>193761</v>
      </c>
      <c r="X106" s="422">
        <f>_xlfn.IFNA(VLOOKUP(A106,[6]進出口值表查詢結果!$C$11:$F$68,4,0),-[4]整車!$B$22)</f>
        <v>364</v>
      </c>
      <c r="Y106" s="422">
        <f>_xlfn.IFNA(VLOOKUP(A106,[6]進出口值表查詢結果!$C$11:$F$68,3,0),-[4]整車!$B$22)</f>
        <v>300945</v>
      </c>
      <c r="Z106" s="416">
        <f t="shared" si="22"/>
        <v>1894</v>
      </c>
      <c r="AA106" s="416">
        <f t="shared" si="23"/>
        <v>1958468</v>
      </c>
    </row>
    <row r="107" spans="1:27">
      <c r="A107" s="458" t="s">
        <v>301</v>
      </c>
      <c r="B107" s="422">
        <v>781</v>
      </c>
      <c r="C107" s="422">
        <v>548150</v>
      </c>
      <c r="D107" s="422">
        <v>111</v>
      </c>
      <c r="E107" s="422">
        <v>89240</v>
      </c>
      <c r="F107" s="422">
        <v>351</v>
      </c>
      <c r="G107" s="422">
        <v>470294</v>
      </c>
      <c r="H107" s="422">
        <v>198</v>
      </c>
      <c r="I107" s="422">
        <v>307652</v>
      </c>
      <c r="J107" s="423">
        <v>229</v>
      </c>
      <c r="K107" s="424">
        <v>430170</v>
      </c>
      <c r="L107" s="422">
        <v>510</v>
      </c>
      <c r="M107" s="422">
        <v>633446</v>
      </c>
      <c r="N107" s="436">
        <v>1151</v>
      </c>
      <c r="O107" s="436">
        <v>1551960</v>
      </c>
      <c r="P107" s="422">
        <v>889</v>
      </c>
      <c r="Q107" s="422">
        <v>1212809</v>
      </c>
      <c r="R107" s="422">
        <v>540</v>
      </c>
      <c r="S107" s="422">
        <v>582846</v>
      </c>
      <c r="T107" s="422">
        <v>602</v>
      </c>
      <c r="U107" s="422">
        <v>676489</v>
      </c>
      <c r="V107" s="422">
        <f>_xlfn.IFNA(VLOOKUP(A107,[5]進出口值表查詢結果!$C$11:$F$68,4,0),-[4]整車!$B$22)</f>
        <v>546</v>
      </c>
      <c r="W107" s="422">
        <f>_xlfn.IFNA(VLOOKUP(A107,[5]進出口值表查詢結果!$C$11:$F$68,3,0),-[4]整車!$B$22)</f>
        <v>727903</v>
      </c>
      <c r="X107" s="422">
        <f>_xlfn.IFNA(VLOOKUP(A107,[6]進出口值表查詢結果!$C$11:$F$68,4,0),-[4]整車!$B$22)</f>
        <v>233</v>
      </c>
      <c r="Y107" s="422">
        <f>_xlfn.IFNA(VLOOKUP(A107,[6]進出口值表查詢結果!$C$11:$F$68,3,0),-[4]整車!$B$22)</f>
        <v>261722</v>
      </c>
      <c r="Z107" s="416">
        <f t="shared" si="22"/>
        <v>6141</v>
      </c>
      <c r="AA107" s="416">
        <f t="shared" si="23"/>
        <v>7492681</v>
      </c>
    </row>
    <row r="108" spans="1:27">
      <c r="A108" s="458" t="s">
        <v>302</v>
      </c>
      <c r="B108" s="422">
        <v>17</v>
      </c>
      <c r="C108" s="422">
        <v>25258</v>
      </c>
      <c r="D108" s="422"/>
      <c r="E108" s="422"/>
      <c r="F108" s="422">
        <v>35</v>
      </c>
      <c r="G108" s="422">
        <v>25788</v>
      </c>
      <c r="H108" s="422">
        <v>12</v>
      </c>
      <c r="I108" s="422">
        <v>16694</v>
      </c>
      <c r="J108" s="423">
        <v>206</v>
      </c>
      <c r="K108" s="426">
        <v>450652</v>
      </c>
      <c r="L108" s="422">
        <v>105</v>
      </c>
      <c r="M108" s="422">
        <v>123626</v>
      </c>
      <c r="N108" s="422">
        <v>201</v>
      </c>
      <c r="O108" s="436">
        <v>350913</v>
      </c>
      <c r="P108" s="422">
        <v>238</v>
      </c>
      <c r="Q108" s="422">
        <v>267808</v>
      </c>
      <c r="R108" s="422">
        <v>35</v>
      </c>
      <c r="S108" s="422">
        <v>51563</v>
      </c>
      <c r="T108" s="422">
        <v>445</v>
      </c>
      <c r="U108" s="422">
        <v>486920</v>
      </c>
      <c r="V108" s="422">
        <f>_xlfn.IFNA(VLOOKUP(A108,[5]進出口值表查詢結果!$C$11:$F$68,4,0),-[4]整車!$B$22)</f>
        <v>432</v>
      </c>
      <c r="W108" s="422">
        <f>_xlfn.IFNA(VLOOKUP(A108,[5]進出口值表查詢結果!$C$11:$F$68,3,0),-[4]整車!$B$22)</f>
        <v>333448</v>
      </c>
      <c r="X108" s="422">
        <f>_xlfn.IFNA(VLOOKUP(A108,[6]進出口值表查詢結果!$C$11:$F$68,4,0),-[4]整車!$B$22)</f>
        <v>408</v>
      </c>
      <c r="Y108" s="422">
        <f>_xlfn.IFNA(VLOOKUP(A108,[6]進出口值表查詢結果!$C$11:$F$68,3,0),-[4]整車!$B$22)</f>
        <v>492827</v>
      </c>
      <c r="Z108" s="416">
        <f t="shared" si="22"/>
        <v>2134</v>
      </c>
      <c r="AA108" s="416">
        <f t="shared" si="23"/>
        <v>2625497</v>
      </c>
    </row>
    <row r="109" spans="1:27">
      <c r="A109" s="458" t="s">
        <v>397</v>
      </c>
      <c r="B109" s="422">
        <v>21</v>
      </c>
      <c r="C109" s="422">
        <v>26824</v>
      </c>
      <c r="D109" s="422"/>
      <c r="E109" s="422"/>
      <c r="F109" s="422">
        <v>99</v>
      </c>
      <c r="G109" s="422">
        <v>93761</v>
      </c>
      <c r="H109" s="422">
        <v>0</v>
      </c>
      <c r="I109" s="422">
        <v>0</v>
      </c>
      <c r="J109" s="423">
        <v>106</v>
      </c>
      <c r="K109" s="424">
        <v>83461</v>
      </c>
      <c r="L109" s="422">
        <v>38</v>
      </c>
      <c r="M109" s="422">
        <v>42862</v>
      </c>
      <c r="N109" s="436">
        <v>99</v>
      </c>
      <c r="O109" s="436">
        <v>102704</v>
      </c>
      <c r="P109" s="422">
        <v>90</v>
      </c>
      <c r="Q109" s="422">
        <v>90308</v>
      </c>
      <c r="R109" s="422">
        <v>58</v>
      </c>
      <c r="S109" s="422">
        <v>70380</v>
      </c>
      <c r="T109" s="422">
        <v>106</v>
      </c>
      <c r="U109" s="422">
        <v>106953</v>
      </c>
      <c r="V109" s="422">
        <f>_xlfn.IFNA(VLOOKUP(A109,[5]進出口值表查詢結果!$C$11:$F$68,4,0),-[4]整車!$B$22)</f>
        <v>50</v>
      </c>
      <c r="W109" s="422">
        <f>_xlfn.IFNA(VLOOKUP(A109,[5]進出口值表查詢結果!$C$11:$F$68,3,0),-[4]整車!$B$22)</f>
        <v>61248</v>
      </c>
      <c r="X109" s="422">
        <f>_xlfn.IFNA(VLOOKUP(A109,[6]進出口值表查詢結果!$C$11:$F$68,4,0),-[4]整車!$B$22)</f>
        <v>24</v>
      </c>
      <c r="Y109" s="422">
        <f>_xlfn.IFNA(VLOOKUP(A109,[6]進出口值表查詢結果!$C$11:$F$68,3,0),-[4]整車!$B$22)</f>
        <v>4829</v>
      </c>
      <c r="Z109" s="416">
        <f t="shared" si="22"/>
        <v>691</v>
      </c>
      <c r="AA109" s="416">
        <f t="shared" si="23"/>
        <v>683330</v>
      </c>
    </row>
    <row r="110" spans="1:27">
      <c r="A110" s="458" t="s">
        <v>303</v>
      </c>
      <c r="B110" s="422"/>
      <c r="C110" s="422"/>
      <c r="D110" s="422">
        <v>26</v>
      </c>
      <c r="E110" s="422">
        <v>36509</v>
      </c>
      <c r="F110" s="422">
        <v>69</v>
      </c>
      <c r="G110" s="422">
        <v>58115</v>
      </c>
      <c r="H110" s="422">
        <v>0</v>
      </c>
      <c r="I110" s="422">
        <v>0</v>
      </c>
      <c r="J110" s="423" t="s">
        <v>58</v>
      </c>
      <c r="K110" s="426" t="s">
        <v>58</v>
      </c>
      <c r="L110" s="422"/>
      <c r="M110" s="422"/>
      <c r="N110" s="422"/>
      <c r="O110" s="422"/>
      <c r="P110" s="422">
        <v>0</v>
      </c>
      <c r="Q110" s="422">
        <v>0</v>
      </c>
      <c r="R110" s="422">
        <v>0</v>
      </c>
      <c r="S110" s="422">
        <v>0</v>
      </c>
      <c r="T110" s="422"/>
      <c r="U110" s="422"/>
      <c r="V110" s="422">
        <f>_xlfn.IFNA(VLOOKUP(A110,[5]進出口值表查詢結果!$C$11:$F$68,4,0),-[4]整車!$B$22)</f>
        <v>0</v>
      </c>
      <c r="W110" s="422">
        <f>_xlfn.IFNA(VLOOKUP(A110,[5]進出口值表查詢結果!$C$11:$F$68,3,0),-[4]整車!$B$22)</f>
        <v>0</v>
      </c>
      <c r="X110" s="422">
        <f>_xlfn.IFNA(VLOOKUP(A110,[6]進出口值表查詢結果!$C$11:$F$68,4,0),-[4]整車!$B$22)</f>
        <v>0</v>
      </c>
      <c r="Y110" s="422">
        <f>_xlfn.IFNA(VLOOKUP(A110,[6]進出口值表查詢結果!$C$11:$F$68,3,0),-[4]整車!$B$22)</f>
        <v>0</v>
      </c>
      <c r="Z110" s="416">
        <f t="shared" si="22"/>
        <v>95</v>
      </c>
      <c r="AA110" s="416">
        <f t="shared" si="23"/>
        <v>94624</v>
      </c>
    </row>
    <row r="111" spans="1:27">
      <c r="A111" s="458" t="s">
        <v>304</v>
      </c>
      <c r="B111" s="422">
        <v>38</v>
      </c>
      <c r="C111" s="422">
        <v>57613</v>
      </c>
      <c r="D111" s="422">
        <v>239</v>
      </c>
      <c r="E111" s="422">
        <v>192071</v>
      </c>
      <c r="F111" s="422">
        <v>218</v>
      </c>
      <c r="G111" s="422">
        <v>140890</v>
      </c>
      <c r="H111" s="422">
        <v>5</v>
      </c>
      <c r="I111" s="422">
        <v>10500</v>
      </c>
      <c r="J111" s="423">
        <v>175</v>
      </c>
      <c r="K111" s="426">
        <v>220849</v>
      </c>
      <c r="L111" s="422">
        <v>319</v>
      </c>
      <c r="M111" s="422">
        <v>305430</v>
      </c>
      <c r="N111" s="436">
        <v>392</v>
      </c>
      <c r="O111" s="436">
        <v>586309</v>
      </c>
      <c r="P111" s="422">
        <v>106</v>
      </c>
      <c r="Q111" s="422">
        <v>196069</v>
      </c>
      <c r="R111" s="422">
        <v>435</v>
      </c>
      <c r="S111" s="422">
        <v>558493</v>
      </c>
      <c r="T111" s="422">
        <v>345</v>
      </c>
      <c r="U111" s="422">
        <v>422823</v>
      </c>
      <c r="V111" s="422">
        <f>_xlfn.IFNA(VLOOKUP(A111,[5]進出口值表查詢結果!$C$11:$F$68,4,0),-[4]整車!$B$22)</f>
        <v>81</v>
      </c>
      <c r="W111" s="422">
        <f>_xlfn.IFNA(VLOOKUP(A111,[5]進出口值表查詢結果!$C$11:$F$68,3,0),-[4]整車!$B$22)</f>
        <v>132131</v>
      </c>
      <c r="X111" s="422">
        <f>_xlfn.IFNA(VLOOKUP(A111,[6]進出口值表查詢結果!$C$11:$F$68,4,0),-[4]整車!$B$22)</f>
        <v>22</v>
      </c>
      <c r="Y111" s="422">
        <f>_xlfn.IFNA(VLOOKUP(A111,[6]進出口值表查詢結果!$C$11:$F$68,3,0),-[4]整車!$B$22)</f>
        <v>32015</v>
      </c>
      <c r="Z111" s="416">
        <f t="shared" si="22"/>
        <v>2375</v>
      </c>
      <c r="AA111" s="416">
        <f t="shared" si="23"/>
        <v>2855193</v>
      </c>
    </row>
    <row r="112" spans="1:27">
      <c r="A112" s="458" t="s">
        <v>306</v>
      </c>
      <c r="B112" s="422">
        <v>271</v>
      </c>
      <c r="C112" s="422">
        <v>335554</v>
      </c>
      <c r="D112" s="422">
        <v>333</v>
      </c>
      <c r="E112" s="422">
        <v>314324</v>
      </c>
      <c r="F112" s="422">
        <v>378</v>
      </c>
      <c r="G112" s="422">
        <v>429439</v>
      </c>
      <c r="H112" s="422">
        <v>379</v>
      </c>
      <c r="I112" s="422">
        <v>273535</v>
      </c>
      <c r="J112" s="423">
        <v>257</v>
      </c>
      <c r="K112" s="424">
        <v>307852</v>
      </c>
      <c r="L112" s="422">
        <v>224</v>
      </c>
      <c r="M112" s="422">
        <v>305162</v>
      </c>
      <c r="N112" s="436">
        <v>431</v>
      </c>
      <c r="O112" s="436">
        <v>330830</v>
      </c>
      <c r="P112" s="422">
        <v>626</v>
      </c>
      <c r="Q112" s="422">
        <v>920976</v>
      </c>
      <c r="R112" s="422">
        <v>781</v>
      </c>
      <c r="S112" s="422">
        <v>864845</v>
      </c>
      <c r="T112" s="422">
        <v>613</v>
      </c>
      <c r="U112" s="422">
        <v>641240</v>
      </c>
      <c r="V112" s="422">
        <f>_xlfn.IFNA(VLOOKUP(A112,[5]進出口值表查詢結果!$C$11:$F$68,4,0),-[4]整車!$B$22)</f>
        <v>188</v>
      </c>
      <c r="W112" s="422">
        <f>_xlfn.IFNA(VLOOKUP(A112,[5]進出口值表查詢結果!$C$11:$F$68,3,0),-[4]整車!$B$22)</f>
        <v>254834</v>
      </c>
      <c r="X112" s="422">
        <f>_xlfn.IFNA(VLOOKUP(A112,[6]進出口值表查詢結果!$C$11:$F$68,4,0),-[4]整車!$B$22)</f>
        <v>933</v>
      </c>
      <c r="Y112" s="422">
        <f>_xlfn.IFNA(VLOOKUP(A112,[6]進出口值表查詢結果!$C$11:$F$68,3,0),-[4]整車!$B$22)</f>
        <v>495836</v>
      </c>
      <c r="Z112" s="416">
        <f t="shared" si="22"/>
        <v>5414</v>
      </c>
      <c r="AA112" s="416">
        <f t="shared" si="23"/>
        <v>5474427</v>
      </c>
    </row>
    <row r="113" spans="1:27">
      <c r="A113" s="458" t="s">
        <v>307</v>
      </c>
      <c r="B113" s="422"/>
      <c r="C113" s="422"/>
      <c r="D113" s="422">
        <v>64</v>
      </c>
      <c r="E113" s="422">
        <v>60093</v>
      </c>
      <c r="F113" s="422">
        <v>13</v>
      </c>
      <c r="G113" s="422">
        <v>12413</v>
      </c>
      <c r="H113" s="422">
        <v>0</v>
      </c>
      <c r="I113" s="422">
        <v>0</v>
      </c>
      <c r="J113" s="423">
        <v>52</v>
      </c>
      <c r="K113" s="426">
        <v>77514</v>
      </c>
      <c r="L113" s="422">
        <v>0</v>
      </c>
      <c r="M113" s="422">
        <v>0</v>
      </c>
      <c r="N113" s="436">
        <v>105</v>
      </c>
      <c r="O113" s="436">
        <v>127620</v>
      </c>
      <c r="P113" s="422">
        <v>125</v>
      </c>
      <c r="Q113" s="422">
        <v>149169</v>
      </c>
      <c r="R113" s="422">
        <v>27</v>
      </c>
      <c r="S113" s="422">
        <v>36039</v>
      </c>
      <c r="T113" s="422">
        <v>211</v>
      </c>
      <c r="U113" s="422">
        <v>20138</v>
      </c>
      <c r="V113" s="422">
        <f>_xlfn.IFNA(VLOOKUP(A113,[5]進出口值表查詢結果!$C$11:$F$68,4,0),-[4]整車!$B$22)</f>
        <v>0</v>
      </c>
      <c r="W113" s="422">
        <f>_xlfn.IFNA(VLOOKUP(A113,[5]進出口值表查詢結果!$C$11:$F$68,3,0),-[4]整車!$B$22)</f>
        <v>0</v>
      </c>
      <c r="X113" s="422">
        <f>_xlfn.IFNA(VLOOKUP(A113,[6]進出口值表查詢結果!$C$11:$F$68,4,0),-[4]整車!$B$22)</f>
        <v>38</v>
      </c>
      <c r="Y113" s="422">
        <f>_xlfn.IFNA(VLOOKUP(A113,[6]進出口值表查詢結果!$C$11:$F$68,3,0),-[4]整車!$B$22)</f>
        <v>41358</v>
      </c>
      <c r="Z113" s="416">
        <f t="shared" si="22"/>
        <v>635</v>
      </c>
      <c r="AA113" s="416">
        <f t="shared" si="23"/>
        <v>524344</v>
      </c>
    </row>
    <row r="114" spans="1:27">
      <c r="A114" s="458" t="s">
        <v>308</v>
      </c>
      <c r="B114" s="422"/>
      <c r="C114" s="422"/>
      <c r="D114" s="422"/>
      <c r="E114" s="422"/>
      <c r="F114" s="422">
        <v>0</v>
      </c>
      <c r="G114" s="422"/>
      <c r="H114" s="422">
        <v>0</v>
      </c>
      <c r="I114" s="422">
        <v>0</v>
      </c>
      <c r="J114" s="423" t="s">
        <v>58</v>
      </c>
      <c r="K114" s="426" t="s">
        <v>58</v>
      </c>
      <c r="L114" s="422">
        <v>0</v>
      </c>
      <c r="M114" s="422">
        <v>0</v>
      </c>
      <c r="N114" s="422">
        <v>0</v>
      </c>
      <c r="O114" s="422">
        <v>0</v>
      </c>
      <c r="P114" s="422">
        <v>0</v>
      </c>
      <c r="Q114" s="422">
        <v>0</v>
      </c>
      <c r="R114" s="422">
        <v>65</v>
      </c>
      <c r="S114" s="422">
        <v>16882</v>
      </c>
      <c r="T114" s="422"/>
      <c r="U114" s="422"/>
      <c r="V114" s="422">
        <f>_xlfn.IFNA(VLOOKUP(A114,[5]進出口值表查詢結果!$C$11:$F$68,4,0),-[4]整車!$B$22)</f>
        <v>0</v>
      </c>
      <c r="W114" s="422">
        <f>_xlfn.IFNA(VLOOKUP(A114,[5]進出口值表查詢結果!$C$11:$F$68,3,0),-[4]整車!$B$22)</f>
        <v>0</v>
      </c>
      <c r="X114" s="422">
        <f>_xlfn.IFNA(VLOOKUP(A114,[6]進出口值表查詢結果!$C$11:$F$68,4,0),-[4]整車!$B$22)</f>
        <v>0</v>
      </c>
      <c r="Y114" s="422">
        <f>_xlfn.IFNA(VLOOKUP(A114,[6]進出口值表查詢結果!$C$11:$F$68,3,0),-[4]整車!$B$22)</f>
        <v>0</v>
      </c>
      <c r="Z114" s="416">
        <f t="shared" si="22"/>
        <v>65</v>
      </c>
      <c r="AA114" s="416">
        <f t="shared" si="23"/>
        <v>16882</v>
      </c>
    </row>
    <row r="115" spans="1:27">
      <c r="A115" s="458" t="s">
        <v>186</v>
      </c>
      <c r="B115" s="422"/>
      <c r="C115" s="422"/>
      <c r="D115" s="422"/>
      <c r="E115" s="422"/>
      <c r="F115" s="422">
        <v>0</v>
      </c>
      <c r="G115" s="422"/>
      <c r="H115" s="422">
        <v>0</v>
      </c>
      <c r="I115" s="422">
        <v>0</v>
      </c>
      <c r="J115" s="423" t="s">
        <v>58</v>
      </c>
      <c r="K115" s="426" t="s">
        <v>58</v>
      </c>
      <c r="L115" s="422">
        <v>0</v>
      </c>
      <c r="M115" s="422">
        <v>0</v>
      </c>
      <c r="N115" s="436">
        <v>36</v>
      </c>
      <c r="O115" s="436">
        <v>54902</v>
      </c>
      <c r="P115" s="422">
        <v>0</v>
      </c>
      <c r="Q115" s="422">
        <v>0</v>
      </c>
      <c r="R115" s="422">
        <v>59</v>
      </c>
      <c r="S115" s="422">
        <v>60292</v>
      </c>
      <c r="T115" s="422">
        <v>13</v>
      </c>
      <c r="U115" s="422">
        <v>24991</v>
      </c>
      <c r="V115" s="422">
        <f>_xlfn.IFNA(VLOOKUP(A115,[5]進出口值表查詢結果!$C$11:$F$68,4,0),-[4]整車!$B$22)</f>
        <v>0</v>
      </c>
      <c r="W115" s="422">
        <f>_xlfn.IFNA(VLOOKUP(A115,[5]進出口值表查詢結果!$C$11:$F$68,3,0),-[4]整車!$B$22)</f>
        <v>0</v>
      </c>
      <c r="X115" s="422">
        <f>_xlfn.IFNA(VLOOKUP(A115,[6]進出口值表查詢結果!$C$11:$F$68,4,0),-[4]整車!$B$22)</f>
        <v>90</v>
      </c>
      <c r="Y115" s="422">
        <f>_xlfn.IFNA(VLOOKUP(A115,[6]進出口值表查詢結果!$C$11:$F$68,3,0),-[4]整車!$B$22)</f>
        <v>155913</v>
      </c>
      <c r="Z115" s="416">
        <f t="shared" si="22"/>
        <v>198</v>
      </c>
      <c r="AA115" s="416">
        <f t="shared" si="23"/>
        <v>296098</v>
      </c>
    </row>
    <row r="116" spans="1:27">
      <c r="A116" s="458" t="s">
        <v>309</v>
      </c>
      <c r="B116" s="422"/>
      <c r="C116" s="422"/>
      <c r="D116" s="422">
        <v>58</v>
      </c>
      <c r="E116" s="422">
        <v>17155</v>
      </c>
      <c r="F116" s="422">
        <v>0</v>
      </c>
      <c r="G116" s="422"/>
      <c r="H116" s="422">
        <v>0</v>
      </c>
      <c r="I116" s="422">
        <v>0</v>
      </c>
      <c r="J116" s="423" t="s">
        <v>58</v>
      </c>
      <c r="K116" s="426" t="s">
        <v>58</v>
      </c>
      <c r="L116" s="422">
        <v>66</v>
      </c>
      <c r="M116" s="422">
        <v>91388</v>
      </c>
      <c r="N116" s="436">
        <v>93</v>
      </c>
      <c r="O116" s="436">
        <v>28161</v>
      </c>
      <c r="P116" s="422">
        <v>1</v>
      </c>
      <c r="Q116" s="422">
        <v>1898</v>
      </c>
      <c r="R116" s="422">
        <v>0</v>
      </c>
      <c r="S116" s="422">
        <v>0</v>
      </c>
      <c r="T116" s="422">
        <v>70</v>
      </c>
      <c r="U116" s="422">
        <v>76661</v>
      </c>
      <c r="V116" s="422">
        <f>_xlfn.IFNA(VLOOKUP(A116,[5]進出口值表查詢結果!$C$11:$F$68,4,0),-[4]整車!$B$22)</f>
        <v>0</v>
      </c>
      <c r="W116" s="422">
        <f>_xlfn.IFNA(VLOOKUP(A116,[5]進出口值表查詢結果!$C$11:$F$68,3,0),-[4]整車!$B$22)</f>
        <v>0</v>
      </c>
      <c r="X116" s="422">
        <f>_xlfn.IFNA(VLOOKUP(A116,[6]進出口值表查詢結果!$C$11:$F$68,4,0),-[4]整車!$B$22)</f>
        <v>0</v>
      </c>
      <c r="Y116" s="422">
        <f>_xlfn.IFNA(VLOOKUP(A116,[6]進出口值表查詢結果!$C$11:$F$68,3,0),-[4]整車!$B$22)</f>
        <v>0</v>
      </c>
      <c r="Z116" s="416">
        <f t="shared" si="22"/>
        <v>288</v>
      </c>
      <c r="AA116" s="416">
        <f t="shared" si="23"/>
        <v>215263</v>
      </c>
    </row>
    <row r="117" spans="1:27">
      <c r="A117" s="458" t="s">
        <v>310</v>
      </c>
      <c r="B117" s="422">
        <v>91</v>
      </c>
      <c r="C117" s="422">
        <v>105365</v>
      </c>
      <c r="D117" s="422"/>
      <c r="E117" s="422"/>
      <c r="F117" s="422">
        <v>0</v>
      </c>
      <c r="G117" s="422"/>
      <c r="H117" s="422">
        <v>0</v>
      </c>
      <c r="I117" s="422">
        <v>0</v>
      </c>
      <c r="J117" s="423" t="s">
        <v>58</v>
      </c>
      <c r="K117" s="426" t="s">
        <v>58</v>
      </c>
      <c r="L117" s="422">
        <v>0</v>
      </c>
      <c r="M117" s="422">
        <v>0</v>
      </c>
      <c r="N117" s="436">
        <v>92</v>
      </c>
      <c r="O117" s="436">
        <v>98850</v>
      </c>
      <c r="P117" s="422">
        <v>0</v>
      </c>
      <c r="Q117" s="422">
        <v>0</v>
      </c>
      <c r="R117" s="422">
        <v>0</v>
      </c>
      <c r="S117" s="422">
        <v>0</v>
      </c>
      <c r="T117" s="422"/>
      <c r="U117" s="422"/>
      <c r="V117" s="422">
        <f>_xlfn.IFNA(VLOOKUP(A117,[5]進出口值表查詢結果!$C$11:$F$68,4,0),-[4]整車!$B$22)</f>
        <v>22</v>
      </c>
      <c r="W117" s="422">
        <f>_xlfn.IFNA(VLOOKUP(A117,[5]進出口值表查詢結果!$C$11:$F$68,3,0),-[4]整車!$B$22)</f>
        <v>28492</v>
      </c>
      <c r="X117" s="422">
        <f>_xlfn.IFNA(VLOOKUP(A117,[6]進出口值表查詢結果!$C$11:$F$68,4,0),-[4]整車!$B$22)</f>
        <v>0</v>
      </c>
      <c r="Y117" s="422">
        <f>_xlfn.IFNA(VLOOKUP(A117,[6]進出口值表查詢結果!$C$11:$F$68,3,0),-[4]整車!$B$22)</f>
        <v>0</v>
      </c>
      <c r="Z117" s="416">
        <f t="shared" si="22"/>
        <v>205</v>
      </c>
      <c r="AA117" s="416">
        <f t="shared" si="23"/>
        <v>232707</v>
      </c>
    </row>
    <row r="118" spans="1:27">
      <c r="A118" s="458" t="s">
        <v>311</v>
      </c>
      <c r="B118" s="422"/>
      <c r="C118" s="422"/>
      <c r="D118" s="422"/>
      <c r="E118" s="422"/>
      <c r="F118" s="422">
        <v>0</v>
      </c>
      <c r="G118" s="422"/>
      <c r="H118" s="422">
        <v>0</v>
      </c>
      <c r="I118" s="422">
        <v>0</v>
      </c>
      <c r="J118" s="423" t="s">
        <v>58</v>
      </c>
      <c r="K118" s="426" t="s">
        <v>58</v>
      </c>
      <c r="L118" s="422">
        <v>0</v>
      </c>
      <c r="M118" s="422">
        <v>0</v>
      </c>
      <c r="N118" s="422">
        <v>0</v>
      </c>
      <c r="O118" s="422">
        <v>0</v>
      </c>
      <c r="P118" s="422">
        <v>0</v>
      </c>
      <c r="Q118" s="422">
        <v>0</v>
      </c>
      <c r="R118" s="422">
        <v>4</v>
      </c>
      <c r="S118" s="422">
        <v>4008</v>
      </c>
      <c r="T118" s="422"/>
      <c r="U118" s="422"/>
      <c r="V118" s="422">
        <f>_xlfn.IFNA(VLOOKUP(A118,[5]進出口值表查詢結果!$C$11:$F$68,4,0),-[4]整車!$B$22)</f>
        <v>0</v>
      </c>
      <c r="W118" s="422">
        <f>_xlfn.IFNA(VLOOKUP(A118,[5]進出口值表查詢結果!$C$11:$F$68,3,0),-[4]整車!$B$22)</f>
        <v>0</v>
      </c>
      <c r="X118" s="422">
        <f>_xlfn.IFNA(VLOOKUP(A118,[6]進出口值表查詢結果!$C$11:$F$68,4,0),-[4]整車!$B$22)</f>
        <v>0</v>
      </c>
      <c r="Y118" s="422">
        <f>_xlfn.IFNA(VLOOKUP(A118,[6]進出口值表查詢結果!$C$11:$F$68,3,0),-[4]整車!$B$22)</f>
        <v>0</v>
      </c>
      <c r="Z118" s="416">
        <f t="shared" si="22"/>
        <v>4</v>
      </c>
      <c r="AA118" s="416">
        <f t="shared" si="23"/>
        <v>4008</v>
      </c>
    </row>
    <row r="119" spans="1:27">
      <c r="A119" s="458" t="s">
        <v>312</v>
      </c>
      <c r="B119" s="422"/>
      <c r="C119" s="422"/>
      <c r="D119" s="422"/>
      <c r="E119" s="422"/>
      <c r="F119" s="422">
        <v>0</v>
      </c>
      <c r="G119" s="422"/>
      <c r="H119" s="422">
        <v>0</v>
      </c>
      <c r="I119" s="422">
        <v>0</v>
      </c>
      <c r="J119" s="423" t="s">
        <v>58</v>
      </c>
      <c r="K119" s="426" t="s">
        <v>58</v>
      </c>
      <c r="L119" s="422">
        <v>0</v>
      </c>
      <c r="M119" s="422">
        <v>0</v>
      </c>
      <c r="N119" s="422">
        <v>0</v>
      </c>
      <c r="O119" s="422">
        <v>0</v>
      </c>
      <c r="P119" s="422">
        <v>0</v>
      </c>
      <c r="Q119" s="422">
        <v>0</v>
      </c>
      <c r="R119" s="422">
        <v>0</v>
      </c>
      <c r="S119" s="422">
        <v>0</v>
      </c>
      <c r="T119" s="422"/>
      <c r="U119" s="422"/>
      <c r="V119" s="422">
        <f>_xlfn.IFNA(VLOOKUP(A119,[5]進出口值表查詢結果!$C$11:$F$68,4,0),-[4]整車!$B$22)</f>
        <v>0</v>
      </c>
      <c r="W119" s="422">
        <f>_xlfn.IFNA(VLOOKUP(A119,[5]進出口值表查詢結果!$C$11:$F$68,3,0),-[4]整車!$B$22)</f>
        <v>0</v>
      </c>
      <c r="X119" s="422">
        <f>_xlfn.IFNA(VLOOKUP(A119,[6]進出口值表查詢結果!$C$11:$F$68,4,0),-[4]整車!$B$22)</f>
        <v>0</v>
      </c>
      <c r="Y119" s="422">
        <f>_xlfn.IFNA(VLOOKUP(A119,[6]進出口值表查詢結果!$C$11:$F$68,3,0),-[4]整車!$B$22)</f>
        <v>0</v>
      </c>
      <c r="Z119" s="416">
        <f t="shared" si="22"/>
        <v>0</v>
      </c>
      <c r="AA119" s="416">
        <f t="shared" si="23"/>
        <v>0</v>
      </c>
    </row>
    <row r="120" spans="1:27">
      <c r="A120" s="458" t="s">
        <v>398</v>
      </c>
      <c r="B120" s="422">
        <v>30</v>
      </c>
      <c r="C120" s="422">
        <v>47684</v>
      </c>
      <c r="D120" s="422">
        <v>18</v>
      </c>
      <c r="E120" s="422">
        <v>21652</v>
      </c>
      <c r="F120" s="422">
        <v>40</v>
      </c>
      <c r="G120" s="422">
        <v>80054</v>
      </c>
      <c r="H120" s="422">
        <v>31</v>
      </c>
      <c r="I120" s="422">
        <v>62073</v>
      </c>
      <c r="J120" s="423" t="s">
        <v>58</v>
      </c>
      <c r="K120" s="426" t="s">
        <v>58</v>
      </c>
      <c r="L120" s="422">
        <v>93</v>
      </c>
      <c r="M120" s="422">
        <v>149531</v>
      </c>
      <c r="N120" s="436">
        <v>44</v>
      </c>
      <c r="O120" s="436">
        <v>69675</v>
      </c>
      <c r="P120" s="422">
        <v>115</v>
      </c>
      <c r="Q120" s="422">
        <v>177702</v>
      </c>
      <c r="R120" s="422">
        <v>11</v>
      </c>
      <c r="S120" s="422">
        <v>29144</v>
      </c>
      <c r="T120" s="422">
        <v>86</v>
      </c>
      <c r="U120" s="422">
        <v>116179</v>
      </c>
      <c r="V120" s="422">
        <f>_xlfn.IFNA(VLOOKUP(A120,[5]進出口值表查詢結果!$C$11:$F$68,4,0),-[4]整車!$B$22)</f>
        <v>1</v>
      </c>
      <c r="W120" s="422">
        <f>_xlfn.IFNA(VLOOKUP(A120,[5]進出口值表查詢結果!$C$11:$F$68,3,0),-[4]整車!$B$22)</f>
        <v>3605</v>
      </c>
      <c r="X120" s="422">
        <f>_xlfn.IFNA(VLOOKUP(A120,[6]進出口值表查詢結果!$C$11:$F$68,4,0),-[4]整車!$B$22)</f>
        <v>246</v>
      </c>
      <c r="Y120" s="422">
        <f>_xlfn.IFNA(VLOOKUP(A120,[6]進出口值表查詢結果!$C$11:$F$68,3,0),-[4]整車!$B$22)</f>
        <v>224562</v>
      </c>
      <c r="Z120" s="416">
        <f t="shared" si="22"/>
        <v>715</v>
      </c>
      <c r="AA120" s="416">
        <f t="shared" si="23"/>
        <v>981861</v>
      </c>
    </row>
    <row r="121" spans="1:27">
      <c r="A121" s="458" t="s">
        <v>313</v>
      </c>
      <c r="B121" s="422"/>
      <c r="C121" s="422"/>
      <c r="D121" s="422"/>
      <c r="E121" s="422"/>
      <c r="F121" s="422">
        <v>0</v>
      </c>
      <c r="G121" s="422"/>
      <c r="H121" s="422">
        <v>0</v>
      </c>
      <c r="I121" s="422">
        <v>0</v>
      </c>
      <c r="J121" s="423" t="s">
        <v>58</v>
      </c>
      <c r="K121" s="426" t="s">
        <v>58</v>
      </c>
      <c r="L121" s="422">
        <v>0</v>
      </c>
      <c r="M121" s="422">
        <v>0</v>
      </c>
      <c r="N121" s="422">
        <v>0</v>
      </c>
      <c r="O121" s="422">
        <v>0</v>
      </c>
      <c r="P121" s="422">
        <v>0</v>
      </c>
      <c r="Q121" s="422">
        <v>0</v>
      </c>
      <c r="R121" s="422">
        <v>0</v>
      </c>
      <c r="S121" s="422">
        <v>0</v>
      </c>
      <c r="T121" s="422"/>
      <c r="U121" s="422"/>
      <c r="V121" s="422">
        <f>_xlfn.IFNA(VLOOKUP(A121,[5]進出口值表查詢結果!$C$11:$F$68,4,0),-[4]整車!$B$22)</f>
        <v>0</v>
      </c>
      <c r="W121" s="422">
        <f>_xlfn.IFNA(VLOOKUP(A121,[5]進出口值表查詢結果!$C$11:$F$68,3,0),-[4]整車!$B$22)</f>
        <v>0</v>
      </c>
      <c r="X121" s="422">
        <f>_xlfn.IFNA(VLOOKUP(A121,[6]進出口值表查詢結果!$C$11:$F$68,4,0),-[4]整車!$B$22)</f>
        <v>0</v>
      </c>
      <c r="Y121" s="422">
        <f>_xlfn.IFNA(VLOOKUP(A121,[6]進出口值表查詢結果!$C$11:$F$68,3,0),-[4]整車!$B$22)</f>
        <v>0</v>
      </c>
      <c r="Z121" s="416">
        <f t="shared" si="22"/>
        <v>0</v>
      </c>
      <c r="AA121" s="416">
        <f t="shared" si="23"/>
        <v>0</v>
      </c>
    </row>
    <row r="122" spans="1:27">
      <c r="A122" s="458" t="s">
        <v>314</v>
      </c>
      <c r="B122" s="422"/>
      <c r="C122" s="422"/>
      <c r="D122" s="422"/>
      <c r="E122" s="422"/>
      <c r="F122" s="422">
        <v>0</v>
      </c>
      <c r="G122" s="422"/>
      <c r="H122" s="422">
        <v>0</v>
      </c>
      <c r="I122" s="422">
        <v>0</v>
      </c>
      <c r="J122" s="423" t="s">
        <v>58</v>
      </c>
      <c r="K122" s="426" t="s">
        <v>58</v>
      </c>
      <c r="L122" s="422">
        <v>0</v>
      </c>
      <c r="M122" s="422">
        <v>0</v>
      </c>
      <c r="N122" s="422">
        <v>0</v>
      </c>
      <c r="O122" s="422">
        <v>0</v>
      </c>
      <c r="P122" s="422">
        <v>0</v>
      </c>
      <c r="Q122" s="422">
        <v>0</v>
      </c>
      <c r="R122" s="422">
        <v>0</v>
      </c>
      <c r="S122" s="422">
        <v>0</v>
      </c>
      <c r="T122" s="422"/>
      <c r="U122" s="422"/>
      <c r="V122" s="422">
        <f>_xlfn.IFNA(VLOOKUP(A122,[5]進出口值表查詢結果!$C$11:$F$68,4,0),-[4]整車!$B$22)</f>
        <v>0</v>
      </c>
      <c r="W122" s="422">
        <f>_xlfn.IFNA(VLOOKUP(A122,[5]進出口值表查詢結果!$C$11:$F$68,3,0),-[4]整車!$B$22)</f>
        <v>0</v>
      </c>
      <c r="X122" s="422">
        <f>_xlfn.IFNA(VLOOKUP(A122,[6]進出口值表查詢結果!$C$11:$F$68,4,0),-[4]整車!$B$22)</f>
        <v>0</v>
      </c>
      <c r="Y122" s="422">
        <f>_xlfn.IFNA(VLOOKUP(A122,[6]進出口值表查詢結果!$C$11:$F$68,3,0),-[4]整車!$B$22)</f>
        <v>0</v>
      </c>
      <c r="Z122" s="416">
        <f t="shared" si="22"/>
        <v>0</v>
      </c>
      <c r="AA122" s="416">
        <f t="shared" si="23"/>
        <v>0</v>
      </c>
    </row>
    <row r="123" spans="1:27">
      <c r="A123" s="458" t="s">
        <v>315</v>
      </c>
      <c r="B123" s="422"/>
      <c r="C123" s="422"/>
      <c r="D123" s="422"/>
      <c r="E123" s="422"/>
      <c r="F123" s="422">
        <v>0</v>
      </c>
      <c r="G123" s="422"/>
      <c r="H123" s="422">
        <v>0</v>
      </c>
      <c r="I123" s="422">
        <v>0</v>
      </c>
      <c r="J123" s="423" t="s">
        <v>58</v>
      </c>
      <c r="K123" s="426" t="s">
        <v>58</v>
      </c>
      <c r="L123" s="422">
        <v>0</v>
      </c>
      <c r="M123" s="422">
        <v>0</v>
      </c>
      <c r="N123" s="422">
        <v>0</v>
      </c>
      <c r="O123" s="422">
        <v>0</v>
      </c>
      <c r="P123" s="422">
        <v>0</v>
      </c>
      <c r="Q123" s="422">
        <v>0</v>
      </c>
      <c r="R123" s="422">
        <v>0</v>
      </c>
      <c r="S123" s="422">
        <v>0</v>
      </c>
      <c r="T123" s="422"/>
      <c r="U123" s="422"/>
      <c r="V123" s="422">
        <f>_xlfn.IFNA(VLOOKUP(A123,[5]進出口值表查詢結果!$C$11:$F$68,4,0),-[4]整車!$B$22)</f>
        <v>0</v>
      </c>
      <c r="W123" s="422">
        <f>_xlfn.IFNA(VLOOKUP(A123,[5]進出口值表查詢結果!$C$11:$F$68,3,0),-[4]整車!$B$22)</f>
        <v>0</v>
      </c>
      <c r="X123" s="422">
        <f>_xlfn.IFNA(VLOOKUP(A123,[6]進出口值表查詢結果!$C$11:$F$68,4,0),-[4]整車!$B$22)</f>
        <v>0</v>
      </c>
      <c r="Y123" s="422">
        <f>_xlfn.IFNA(VLOOKUP(A123,[6]進出口值表查詢結果!$C$11:$F$68,3,0),-[4]整車!$B$22)</f>
        <v>0</v>
      </c>
      <c r="Z123" s="416">
        <f t="shared" si="22"/>
        <v>0</v>
      </c>
      <c r="AA123" s="416">
        <f t="shared" si="23"/>
        <v>0</v>
      </c>
    </row>
    <row r="124" spans="1:27">
      <c r="A124" s="458" t="s">
        <v>316</v>
      </c>
      <c r="B124" s="422"/>
      <c r="C124" s="422"/>
      <c r="D124" s="422"/>
      <c r="E124" s="422"/>
      <c r="F124" s="422">
        <v>0</v>
      </c>
      <c r="G124" s="422"/>
      <c r="H124" s="422">
        <v>0</v>
      </c>
      <c r="I124" s="422">
        <v>0</v>
      </c>
      <c r="J124" s="423" t="s">
        <v>58</v>
      </c>
      <c r="K124" s="426" t="s">
        <v>58</v>
      </c>
      <c r="L124" s="422">
        <v>0</v>
      </c>
      <c r="M124" s="422">
        <v>0</v>
      </c>
      <c r="N124" s="422">
        <v>0</v>
      </c>
      <c r="O124" s="422">
        <v>0</v>
      </c>
      <c r="P124" s="422">
        <v>0</v>
      </c>
      <c r="Q124" s="422">
        <v>0</v>
      </c>
      <c r="R124" s="422">
        <v>0</v>
      </c>
      <c r="S124" s="422">
        <v>0</v>
      </c>
      <c r="T124" s="422"/>
      <c r="U124" s="422"/>
      <c r="V124" s="422">
        <f>_xlfn.IFNA(VLOOKUP(A124,[5]進出口值表查詢結果!$C$11:$F$68,4,0),-[4]整車!$B$22)</f>
        <v>0</v>
      </c>
      <c r="W124" s="422">
        <f>_xlfn.IFNA(VLOOKUP(A124,[5]進出口值表查詢結果!$C$11:$F$68,3,0),-[4]整車!$B$22)</f>
        <v>0</v>
      </c>
      <c r="X124" s="422">
        <f>_xlfn.IFNA(VLOOKUP(A124,[6]進出口值表查詢結果!$C$11:$F$68,4,0),-[4]整車!$B$22)</f>
        <v>0</v>
      </c>
      <c r="Y124" s="422">
        <f>_xlfn.IFNA(VLOOKUP(A124,[6]進出口值表查詢結果!$C$11:$F$68,3,0),-[4]整車!$B$22)</f>
        <v>0</v>
      </c>
      <c r="Z124" s="416">
        <f t="shared" si="22"/>
        <v>0</v>
      </c>
      <c r="AA124" s="416">
        <f t="shared" si="23"/>
        <v>0</v>
      </c>
    </row>
    <row r="125" spans="1:27">
      <c r="A125" s="458" t="s">
        <v>317</v>
      </c>
      <c r="B125" s="422"/>
      <c r="C125" s="422"/>
      <c r="D125" s="422"/>
      <c r="E125" s="422"/>
      <c r="F125" s="422">
        <v>0</v>
      </c>
      <c r="G125" s="422"/>
      <c r="H125" s="422">
        <v>0</v>
      </c>
      <c r="I125" s="422">
        <v>0</v>
      </c>
      <c r="J125" s="423" t="s">
        <v>58</v>
      </c>
      <c r="K125" s="426" t="s">
        <v>58</v>
      </c>
      <c r="L125" s="422">
        <v>0</v>
      </c>
      <c r="M125" s="422">
        <v>0</v>
      </c>
      <c r="N125" s="422">
        <v>0</v>
      </c>
      <c r="O125" s="422">
        <v>0</v>
      </c>
      <c r="P125" s="422">
        <v>0</v>
      </c>
      <c r="Q125" s="422">
        <v>0</v>
      </c>
      <c r="R125" s="422">
        <v>0</v>
      </c>
      <c r="S125" s="422">
        <v>0</v>
      </c>
      <c r="T125" s="422"/>
      <c r="U125" s="422"/>
      <c r="V125" s="422">
        <f>_xlfn.IFNA(VLOOKUP(A125,[5]進出口值表查詢結果!$C$11:$F$68,4,0),-[4]整車!$B$22)</f>
        <v>0</v>
      </c>
      <c r="W125" s="422">
        <f>_xlfn.IFNA(VLOOKUP(A125,[5]進出口值表查詢結果!$C$11:$F$68,3,0),-[4]整車!$B$22)</f>
        <v>0</v>
      </c>
      <c r="X125" s="422">
        <f>_xlfn.IFNA(VLOOKUP(A125,[6]進出口值表查詢結果!$C$11:$F$68,4,0),-[4]整車!$B$22)</f>
        <v>0</v>
      </c>
      <c r="Y125" s="422">
        <f>_xlfn.IFNA(VLOOKUP(A125,[6]進出口值表查詢結果!$C$11:$F$68,3,0),-[4]整車!$B$22)</f>
        <v>0</v>
      </c>
      <c r="Z125" s="416">
        <f t="shared" si="22"/>
        <v>0</v>
      </c>
      <c r="AA125" s="416">
        <f t="shared" si="23"/>
        <v>0</v>
      </c>
    </row>
    <row r="126" spans="1:27">
      <c r="A126" s="458" t="s">
        <v>192</v>
      </c>
      <c r="B126" s="422"/>
      <c r="C126" s="422"/>
      <c r="D126" s="422"/>
      <c r="E126" s="422"/>
      <c r="F126" s="422">
        <v>0</v>
      </c>
      <c r="G126" s="422"/>
      <c r="H126" s="422">
        <v>0</v>
      </c>
      <c r="I126" s="422">
        <v>0</v>
      </c>
      <c r="J126" s="423" t="s">
        <v>58</v>
      </c>
      <c r="K126" s="426" t="s">
        <v>58</v>
      </c>
      <c r="L126" s="422">
        <v>0</v>
      </c>
      <c r="M126" s="422">
        <v>0</v>
      </c>
      <c r="N126" s="422">
        <v>0</v>
      </c>
      <c r="O126" s="422">
        <v>0</v>
      </c>
      <c r="P126" s="422">
        <v>0</v>
      </c>
      <c r="Q126" s="422">
        <v>0</v>
      </c>
      <c r="R126" s="422">
        <v>0</v>
      </c>
      <c r="S126" s="422">
        <v>0</v>
      </c>
      <c r="T126" s="422"/>
      <c r="U126" s="422"/>
      <c r="V126" s="422">
        <f>_xlfn.IFNA(VLOOKUP(A126,[5]進出口值表查詢結果!$C$11:$F$68,4,0),-[4]整車!$B$22)</f>
        <v>0</v>
      </c>
      <c r="W126" s="422">
        <f>_xlfn.IFNA(VLOOKUP(A126,[5]進出口值表查詢結果!$C$11:$F$68,3,0),-[4]整車!$B$22)</f>
        <v>0</v>
      </c>
      <c r="X126" s="422">
        <f>_xlfn.IFNA(VLOOKUP(A126,[6]進出口值表查詢結果!$C$11:$F$68,4,0),-[4]整車!$B$22)</f>
        <v>0</v>
      </c>
      <c r="Y126" s="422">
        <f>_xlfn.IFNA(VLOOKUP(A126,[6]進出口值表查詢結果!$C$11:$F$68,3,0),-[4]整車!$B$22)</f>
        <v>0</v>
      </c>
      <c r="Z126" s="416">
        <f t="shared" si="22"/>
        <v>0</v>
      </c>
      <c r="AA126" s="416">
        <f t="shared" si="23"/>
        <v>0</v>
      </c>
    </row>
    <row r="127" spans="1:27">
      <c r="A127" s="458" t="s">
        <v>318</v>
      </c>
      <c r="B127" s="422">
        <v>111</v>
      </c>
      <c r="C127" s="422">
        <v>54549</v>
      </c>
      <c r="D127" s="422">
        <v>92</v>
      </c>
      <c r="E127" s="422">
        <v>90640</v>
      </c>
      <c r="F127" s="422">
        <v>82</v>
      </c>
      <c r="G127" s="422">
        <v>150017</v>
      </c>
      <c r="H127" s="422">
        <v>0</v>
      </c>
      <c r="I127" s="422">
        <v>0</v>
      </c>
      <c r="J127" s="423">
        <v>84</v>
      </c>
      <c r="K127" s="424">
        <v>97060</v>
      </c>
      <c r="L127" s="422">
        <v>0</v>
      </c>
      <c r="M127" s="422">
        <v>0</v>
      </c>
      <c r="N127" s="436">
        <v>68</v>
      </c>
      <c r="O127" s="436">
        <v>99493</v>
      </c>
      <c r="P127" s="422">
        <v>0</v>
      </c>
      <c r="Q127" s="422">
        <v>0</v>
      </c>
      <c r="R127" s="422">
        <v>0</v>
      </c>
      <c r="S127" s="422">
        <v>0</v>
      </c>
      <c r="T127" s="422">
        <v>65</v>
      </c>
      <c r="U127" s="422">
        <v>92599</v>
      </c>
      <c r="V127" s="422">
        <f>_xlfn.IFNA(VLOOKUP(A127,[5]進出口值表查詢結果!$C$11:$F$68,4,0),-[4]整車!$B$22)</f>
        <v>0</v>
      </c>
      <c r="W127" s="422">
        <f>_xlfn.IFNA(VLOOKUP(A127,[5]進出口值表查詢結果!$C$11:$F$68,3,0),-[4]整車!$B$22)</f>
        <v>0</v>
      </c>
      <c r="X127" s="422">
        <f>_xlfn.IFNA(VLOOKUP(A127,[6]進出口值表查詢結果!$C$11:$F$68,4,0),-[4]整車!$B$22)</f>
        <v>184</v>
      </c>
      <c r="Y127" s="422">
        <f>_xlfn.IFNA(VLOOKUP(A127,[6]進出口值表查詢結果!$C$11:$F$68,3,0),-[4]整車!$B$22)</f>
        <v>163785</v>
      </c>
      <c r="Z127" s="416">
        <f t="shared" si="22"/>
        <v>686</v>
      </c>
      <c r="AA127" s="416">
        <f t="shared" si="23"/>
        <v>748143</v>
      </c>
    </row>
    <row r="128" spans="1:27">
      <c r="A128" s="458" t="s">
        <v>319</v>
      </c>
      <c r="B128" s="422"/>
      <c r="C128" s="422"/>
      <c r="D128" s="422"/>
      <c r="E128" s="422"/>
      <c r="F128" s="422">
        <v>0</v>
      </c>
      <c r="G128" s="422"/>
      <c r="H128" s="422">
        <v>0</v>
      </c>
      <c r="I128" s="422">
        <v>0</v>
      </c>
      <c r="J128" s="423" t="s">
        <v>58</v>
      </c>
      <c r="K128" s="426" t="s">
        <v>58</v>
      </c>
      <c r="L128" s="422">
        <v>0</v>
      </c>
      <c r="M128" s="422">
        <v>0</v>
      </c>
      <c r="N128" s="422">
        <v>0</v>
      </c>
      <c r="O128" s="422">
        <v>0</v>
      </c>
      <c r="P128" s="422">
        <v>0</v>
      </c>
      <c r="Q128" s="422">
        <v>0</v>
      </c>
      <c r="R128" s="422">
        <v>0</v>
      </c>
      <c r="S128" s="422">
        <v>0</v>
      </c>
      <c r="T128" s="422"/>
      <c r="U128" s="422"/>
      <c r="V128" s="422">
        <f>_xlfn.IFNA(VLOOKUP(A128,[5]進出口值表查詢結果!$C$11:$F$68,4,0),-[4]整車!$B$22)</f>
        <v>0</v>
      </c>
      <c r="W128" s="422">
        <f>_xlfn.IFNA(VLOOKUP(A128,[5]進出口值表查詢結果!$C$11:$F$68,3,0),-[4]整車!$B$22)</f>
        <v>0</v>
      </c>
      <c r="X128" s="422">
        <f>_xlfn.IFNA(VLOOKUP(A128,[6]進出口值表查詢結果!$C$11:$F$68,4,0),-[4]整車!$B$22)</f>
        <v>0</v>
      </c>
      <c r="Y128" s="422">
        <f>_xlfn.IFNA(VLOOKUP(A128,[6]進出口值表查詢結果!$C$11:$F$68,3,0),-[4]整車!$B$22)</f>
        <v>0</v>
      </c>
      <c r="Z128" s="416">
        <f t="shared" si="22"/>
        <v>0</v>
      </c>
      <c r="AA128" s="416">
        <f t="shared" si="23"/>
        <v>0</v>
      </c>
    </row>
    <row r="129" spans="1:27">
      <c r="A129" s="458" t="s">
        <v>320</v>
      </c>
      <c r="B129" s="422"/>
      <c r="C129" s="422"/>
      <c r="D129" s="422"/>
      <c r="E129" s="422"/>
      <c r="F129" s="422">
        <v>0</v>
      </c>
      <c r="G129" s="422"/>
      <c r="H129" s="422">
        <v>0</v>
      </c>
      <c r="I129" s="422">
        <v>0</v>
      </c>
      <c r="J129" s="423" t="s">
        <v>58</v>
      </c>
      <c r="K129" s="426" t="s">
        <v>58</v>
      </c>
      <c r="L129" s="422">
        <v>0</v>
      </c>
      <c r="M129" s="422">
        <v>0</v>
      </c>
      <c r="N129" s="422">
        <v>0</v>
      </c>
      <c r="O129" s="422">
        <v>0</v>
      </c>
      <c r="P129" s="422">
        <v>0</v>
      </c>
      <c r="Q129" s="422">
        <v>0</v>
      </c>
      <c r="R129" s="422">
        <v>0</v>
      </c>
      <c r="S129" s="422">
        <v>0</v>
      </c>
      <c r="T129" s="422"/>
      <c r="U129" s="422"/>
      <c r="V129" s="422">
        <f>_xlfn.IFNA(VLOOKUP(A129,[5]進出口值表查詢結果!$C$11:$F$68,4,0),-[4]整車!$B$22)</f>
        <v>0</v>
      </c>
      <c r="W129" s="422">
        <f>_xlfn.IFNA(VLOOKUP(A129,[5]進出口值表查詢結果!$C$11:$F$68,3,0),-[4]整車!$B$22)</f>
        <v>0</v>
      </c>
      <c r="X129" s="422">
        <f>_xlfn.IFNA(VLOOKUP(A129,[6]進出口值表查詢結果!$C$11:$F$68,4,0),-[4]整車!$B$22)</f>
        <v>0</v>
      </c>
      <c r="Y129" s="422">
        <f>_xlfn.IFNA(VLOOKUP(A129,[6]進出口值表查詢結果!$C$11:$F$68,3,0),-[4]整車!$B$22)</f>
        <v>0</v>
      </c>
      <c r="Z129" s="416">
        <f t="shared" si="22"/>
        <v>0</v>
      </c>
      <c r="AA129" s="416">
        <f t="shared" si="23"/>
        <v>0</v>
      </c>
    </row>
    <row r="130" spans="1:27">
      <c r="A130" s="421" t="s">
        <v>321</v>
      </c>
      <c r="B130" s="422"/>
      <c r="C130" s="422"/>
      <c r="D130" s="422"/>
      <c r="E130" s="422"/>
      <c r="F130" s="422">
        <v>0</v>
      </c>
      <c r="G130" s="422"/>
      <c r="H130" s="422">
        <v>0</v>
      </c>
      <c r="I130" s="422">
        <v>0</v>
      </c>
      <c r="J130" s="423" t="s">
        <v>58</v>
      </c>
      <c r="K130" s="426" t="s">
        <v>58</v>
      </c>
      <c r="L130" s="422">
        <v>0</v>
      </c>
      <c r="M130" s="422">
        <v>0</v>
      </c>
      <c r="N130" s="422">
        <v>0</v>
      </c>
      <c r="O130" s="422">
        <v>0</v>
      </c>
      <c r="P130" s="422">
        <v>0</v>
      </c>
      <c r="Q130" s="422">
        <v>0</v>
      </c>
      <c r="R130" s="422">
        <v>0</v>
      </c>
      <c r="S130" s="422">
        <v>0</v>
      </c>
      <c r="T130" s="422"/>
      <c r="U130" s="422"/>
      <c r="V130" s="422">
        <f>_xlfn.IFNA(VLOOKUP(A130,[5]進出口值表查詢結果!$C$11:$F$68,4,0),-[4]整車!$B$22)</f>
        <v>0</v>
      </c>
      <c r="W130" s="422">
        <f>_xlfn.IFNA(VLOOKUP(A130,[5]進出口值表查詢結果!$C$11:$F$68,3,0),-[4]整車!$B$22)</f>
        <v>0</v>
      </c>
      <c r="X130" s="422">
        <f>_xlfn.IFNA(VLOOKUP(A130,[6]進出口值表查詢結果!$C$11:$F$68,4,0),-[4]整車!$B$22)</f>
        <v>0</v>
      </c>
      <c r="Y130" s="422">
        <f>_xlfn.IFNA(VLOOKUP(A130,[6]進出口值表查詢結果!$C$11:$F$68,3,0),-[4]整車!$B$22)</f>
        <v>0</v>
      </c>
      <c r="Z130" s="416">
        <f t="shared" si="22"/>
        <v>0</v>
      </c>
      <c r="AA130" s="416">
        <f t="shared" si="23"/>
        <v>0</v>
      </c>
    </row>
    <row r="131" spans="1:27">
      <c r="A131" s="458" t="s">
        <v>322</v>
      </c>
      <c r="B131" s="422"/>
      <c r="C131" s="422"/>
      <c r="D131" s="422"/>
      <c r="E131" s="422"/>
      <c r="F131" s="422">
        <v>0</v>
      </c>
      <c r="G131" s="422"/>
      <c r="H131" s="422">
        <v>0</v>
      </c>
      <c r="I131" s="422">
        <v>0</v>
      </c>
      <c r="J131" s="423" t="s">
        <v>58</v>
      </c>
      <c r="K131" s="426" t="s">
        <v>58</v>
      </c>
      <c r="L131" s="422">
        <v>0</v>
      </c>
      <c r="M131" s="422">
        <v>0</v>
      </c>
      <c r="N131" s="422">
        <v>0</v>
      </c>
      <c r="O131" s="422">
        <v>0</v>
      </c>
      <c r="P131" s="422">
        <v>0</v>
      </c>
      <c r="Q131" s="422">
        <v>0</v>
      </c>
      <c r="R131" s="422">
        <v>0</v>
      </c>
      <c r="S131" s="422">
        <v>0</v>
      </c>
      <c r="T131" s="422"/>
      <c r="U131" s="422"/>
      <c r="V131" s="422">
        <f>_xlfn.IFNA(VLOOKUP(A131,[5]進出口值表查詢結果!$C$11:$F$68,4,0),-[4]整車!$B$22)</f>
        <v>0</v>
      </c>
      <c r="W131" s="422">
        <f>_xlfn.IFNA(VLOOKUP(A131,[5]進出口值表查詢結果!$C$11:$F$68,3,0),-[4]整車!$B$22)</f>
        <v>0</v>
      </c>
      <c r="X131" s="422">
        <f>_xlfn.IFNA(VLOOKUP(A131,[6]進出口值表查詢結果!$C$11:$F$68,4,0),-[4]整車!$B$22)</f>
        <v>0</v>
      </c>
      <c r="Y131" s="422">
        <f>_xlfn.IFNA(VLOOKUP(A131,[6]進出口值表查詢結果!$C$11:$F$68,3,0),-[4]整車!$B$22)</f>
        <v>0</v>
      </c>
      <c r="Z131" s="416">
        <f t="shared" si="22"/>
        <v>0</v>
      </c>
      <c r="AA131" s="416">
        <f t="shared" si="23"/>
        <v>0</v>
      </c>
    </row>
    <row r="132" spans="1:27">
      <c r="A132" s="458" t="s">
        <v>323</v>
      </c>
      <c r="B132" s="422"/>
      <c r="C132" s="422"/>
      <c r="D132" s="422"/>
      <c r="E132" s="422"/>
      <c r="F132" s="422">
        <v>0</v>
      </c>
      <c r="G132" s="422"/>
      <c r="H132" s="422">
        <v>0</v>
      </c>
      <c r="I132" s="422">
        <v>0</v>
      </c>
      <c r="J132" s="423" t="s">
        <v>58</v>
      </c>
      <c r="K132" s="426" t="s">
        <v>58</v>
      </c>
      <c r="L132" s="422">
        <v>0</v>
      </c>
      <c r="M132" s="422">
        <v>0</v>
      </c>
      <c r="N132" s="422">
        <v>0</v>
      </c>
      <c r="O132" s="422">
        <v>0</v>
      </c>
      <c r="P132" s="422">
        <v>0</v>
      </c>
      <c r="Q132" s="422">
        <v>0</v>
      </c>
      <c r="R132" s="422">
        <v>0</v>
      </c>
      <c r="S132" s="422">
        <v>0</v>
      </c>
      <c r="T132" s="422"/>
      <c r="U132" s="422"/>
      <c r="V132" s="422">
        <f>_xlfn.IFNA(VLOOKUP(A132,[5]進出口值表查詢結果!$C$11:$F$68,4,0),-[4]整車!$B$22)</f>
        <v>0</v>
      </c>
      <c r="W132" s="422">
        <f>_xlfn.IFNA(VLOOKUP(A132,[5]進出口值表查詢結果!$C$11:$F$68,3,0),-[4]整車!$B$22)</f>
        <v>0</v>
      </c>
      <c r="X132" s="422">
        <f>_xlfn.IFNA(VLOOKUP(A132,[6]進出口值表查詢結果!$C$11:$F$68,4,0),-[4]整車!$B$22)</f>
        <v>0</v>
      </c>
      <c r="Y132" s="422">
        <f>_xlfn.IFNA(VLOOKUP(A132,[6]進出口值表查詢結果!$C$11:$F$68,3,0),-[4]整車!$B$22)</f>
        <v>0</v>
      </c>
      <c r="Z132" s="416">
        <f t="shared" si="22"/>
        <v>0</v>
      </c>
      <c r="AA132" s="416">
        <f t="shared" si="23"/>
        <v>0</v>
      </c>
    </row>
    <row r="133" spans="1:27">
      <c r="A133" s="458" t="s">
        <v>324</v>
      </c>
      <c r="B133" s="422"/>
      <c r="C133" s="422"/>
      <c r="D133" s="422"/>
      <c r="E133" s="422"/>
      <c r="F133" s="422">
        <v>0</v>
      </c>
      <c r="G133" s="422"/>
      <c r="H133" s="422">
        <v>0</v>
      </c>
      <c r="I133" s="422">
        <v>0</v>
      </c>
      <c r="J133" s="423" t="s">
        <v>58</v>
      </c>
      <c r="K133" s="426" t="s">
        <v>58</v>
      </c>
      <c r="L133" s="422">
        <v>0</v>
      </c>
      <c r="M133" s="422">
        <v>0</v>
      </c>
      <c r="N133" s="422">
        <v>0</v>
      </c>
      <c r="O133" s="422">
        <v>0</v>
      </c>
      <c r="P133" s="422">
        <v>0</v>
      </c>
      <c r="Q133" s="422">
        <v>0</v>
      </c>
      <c r="R133" s="422">
        <v>0</v>
      </c>
      <c r="S133" s="422">
        <v>0</v>
      </c>
      <c r="T133" s="422"/>
      <c r="U133" s="422"/>
      <c r="V133" s="422">
        <f>_xlfn.IFNA(VLOOKUP(A133,[5]進出口值表查詢結果!$C$11:$F$68,4,0),-[4]整車!$B$22)</f>
        <v>0</v>
      </c>
      <c r="W133" s="422">
        <f>_xlfn.IFNA(VLOOKUP(A133,[5]進出口值表查詢結果!$C$11:$F$68,3,0),-[4]整車!$B$22)</f>
        <v>0</v>
      </c>
      <c r="X133" s="422">
        <f>_xlfn.IFNA(VLOOKUP(A133,[6]進出口值表查詢結果!$C$11:$F$68,4,0),-[4]整車!$B$22)</f>
        <v>0</v>
      </c>
      <c r="Y133" s="422">
        <f>_xlfn.IFNA(VLOOKUP(A133,[6]進出口值表查詢結果!$C$11:$F$68,3,0),-[4]整車!$B$22)</f>
        <v>0</v>
      </c>
      <c r="Z133" s="416">
        <f t="shared" si="22"/>
        <v>0</v>
      </c>
      <c r="AA133" s="416">
        <f t="shared" si="23"/>
        <v>0</v>
      </c>
    </row>
    <row r="134" spans="1:27">
      <c r="A134" s="458" t="s">
        <v>325</v>
      </c>
      <c r="B134" s="422"/>
      <c r="C134" s="422"/>
      <c r="D134" s="422"/>
      <c r="E134" s="422"/>
      <c r="F134" s="422">
        <v>0</v>
      </c>
      <c r="G134" s="422"/>
      <c r="H134" s="422">
        <v>0</v>
      </c>
      <c r="I134" s="422">
        <v>0</v>
      </c>
      <c r="J134" s="423" t="s">
        <v>58</v>
      </c>
      <c r="K134" s="446" t="s">
        <v>58</v>
      </c>
      <c r="L134" s="422">
        <v>0</v>
      </c>
      <c r="M134" s="422">
        <v>0</v>
      </c>
      <c r="N134" s="422">
        <v>0</v>
      </c>
      <c r="O134" s="422">
        <v>0</v>
      </c>
      <c r="P134" s="422">
        <v>0</v>
      </c>
      <c r="Q134" s="422">
        <v>0</v>
      </c>
      <c r="R134" s="422">
        <v>0</v>
      </c>
      <c r="S134" s="422">
        <v>0</v>
      </c>
      <c r="T134" s="422"/>
      <c r="U134" s="422"/>
      <c r="V134" s="422">
        <f>_xlfn.IFNA(VLOOKUP(A134,[5]進出口值表查詢結果!$C$11:$F$68,4,0),-[4]整車!$B$22)</f>
        <v>0</v>
      </c>
      <c r="W134" s="422">
        <f>_xlfn.IFNA(VLOOKUP(A134,[5]進出口值表查詢結果!$C$11:$F$68,3,0),-[4]整車!$B$22)</f>
        <v>0</v>
      </c>
      <c r="X134" s="422">
        <f>_xlfn.IFNA(VLOOKUP(A134,[6]進出口值表查詢結果!$C$11:$F$68,4,0),-[4]整車!$B$22)</f>
        <v>0</v>
      </c>
      <c r="Y134" s="422">
        <f>_xlfn.IFNA(VLOOKUP(A134,[6]進出口值表查詢結果!$C$11:$F$68,3,0),-[4]整車!$B$22)</f>
        <v>0</v>
      </c>
      <c r="Z134" s="416">
        <f t="shared" si="22"/>
        <v>0</v>
      </c>
      <c r="AA134" s="416">
        <f t="shared" si="23"/>
        <v>0</v>
      </c>
    </row>
    <row r="135" spans="1:27">
      <c r="A135" s="425"/>
      <c r="B135" s="422"/>
      <c r="C135" s="422"/>
      <c r="D135" s="422"/>
      <c r="E135" s="422"/>
      <c r="F135" s="422"/>
      <c r="G135" s="422"/>
      <c r="H135" s="422"/>
      <c r="I135" s="422"/>
      <c r="J135" s="423"/>
      <c r="K135" s="424"/>
      <c r="L135" s="422"/>
      <c r="M135" s="422"/>
      <c r="N135" s="422"/>
      <c r="O135" s="422"/>
      <c r="P135" s="422"/>
      <c r="Q135" s="422"/>
      <c r="R135" s="422"/>
      <c r="S135" s="422"/>
      <c r="T135" s="422"/>
      <c r="U135" s="422"/>
      <c r="V135" s="422"/>
      <c r="W135" s="422"/>
      <c r="X135" s="422"/>
      <c r="Y135" s="422"/>
      <c r="Z135" s="416"/>
      <c r="AA135" s="416"/>
    </row>
    <row r="136" spans="1:27">
      <c r="A136" s="442" t="s">
        <v>144</v>
      </c>
      <c r="B136" s="443">
        <f t="shared" ref="B136:M136" si="24">SUM(B137:B150)</f>
        <v>391</v>
      </c>
      <c r="C136" s="443">
        <f t="shared" si="24"/>
        <v>601333</v>
      </c>
      <c r="D136" s="443">
        <f t="shared" si="24"/>
        <v>195</v>
      </c>
      <c r="E136" s="443">
        <f t="shared" si="24"/>
        <v>250399</v>
      </c>
      <c r="F136" s="443">
        <f t="shared" si="24"/>
        <v>714</v>
      </c>
      <c r="G136" s="443">
        <f t="shared" si="24"/>
        <v>599636</v>
      </c>
      <c r="H136" s="443">
        <f t="shared" si="24"/>
        <v>1024</v>
      </c>
      <c r="I136" s="443">
        <f t="shared" si="24"/>
        <v>190726</v>
      </c>
      <c r="J136" s="444">
        <f t="shared" si="24"/>
        <v>1213</v>
      </c>
      <c r="K136" s="445">
        <f t="shared" si="24"/>
        <v>446610</v>
      </c>
      <c r="L136" s="443">
        <f t="shared" si="24"/>
        <v>517</v>
      </c>
      <c r="M136" s="443">
        <f t="shared" si="24"/>
        <v>504422</v>
      </c>
      <c r="N136" s="443">
        <f>SUM(N137:N150)</f>
        <v>1680</v>
      </c>
      <c r="O136" s="443">
        <f>SUM(O137:O150)</f>
        <v>1034923</v>
      </c>
      <c r="P136" s="443">
        <f>SUM(P137:P149)</f>
        <v>1055</v>
      </c>
      <c r="Q136" s="443">
        <f>SUM(Q137:Q149)</f>
        <v>1060011</v>
      </c>
      <c r="R136" s="443">
        <f t="shared" ref="R136:Y136" si="25">SUM(R137:R150)</f>
        <v>1394</v>
      </c>
      <c r="S136" s="443">
        <f t="shared" si="25"/>
        <v>1001461</v>
      </c>
      <c r="T136" s="443">
        <f t="shared" si="25"/>
        <v>2073</v>
      </c>
      <c r="U136" s="443">
        <f t="shared" si="25"/>
        <v>1401961</v>
      </c>
      <c r="V136" s="443">
        <f>SUM(V137:V150)</f>
        <v>747</v>
      </c>
      <c r="W136" s="443">
        <f>SUM(W137:W150)</f>
        <v>547003</v>
      </c>
      <c r="X136" s="443">
        <f t="shared" si="25"/>
        <v>325</v>
      </c>
      <c r="Y136" s="443">
        <f t="shared" si="25"/>
        <v>457417</v>
      </c>
      <c r="Z136" s="429">
        <f t="shared" ref="Z136:Z167" si="26">SUM(B136,D136,F136,H136,J136,L136,N136,P136,R136,T136,V136,X136)</f>
        <v>11328</v>
      </c>
      <c r="AA136" s="429">
        <f t="shared" ref="AA136:AA167" si="27">SUM(C136,E136,G136,I136,K136,M136,O136,Q136,S136,U136,W136,Y136)</f>
        <v>8095902</v>
      </c>
    </row>
    <row r="137" spans="1:27">
      <c r="A137" s="463" t="s">
        <v>222</v>
      </c>
      <c r="B137" s="422">
        <v>7</v>
      </c>
      <c r="C137" s="422">
        <v>13229</v>
      </c>
      <c r="D137" s="422">
        <v>3</v>
      </c>
      <c r="E137" s="422">
        <v>2398</v>
      </c>
      <c r="F137" s="422">
        <v>74</v>
      </c>
      <c r="G137" s="422">
        <v>133887</v>
      </c>
      <c r="H137" s="422">
        <v>96</v>
      </c>
      <c r="I137" s="422">
        <v>168964</v>
      </c>
      <c r="J137" s="423"/>
      <c r="K137" s="424"/>
      <c r="L137" s="422">
        <v>198</v>
      </c>
      <c r="M137" s="422">
        <v>94268</v>
      </c>
      <c r="N137" s="422">
        <v>356</v>
      </c>
      <c r="O137" s="422">
        <v>453280</v>
      </c>
      <c r="P137" s="422">
        <v>591</v>
      </c>
      <c r="Q137" s="422">
        <v>597186</v>
      </c>
      <c r="R137" s="422">
        <v>397</v>
      </c>
      <c r="S137" s="422">
        <v>182473</v>
      </c>
      <c r="T137" s="422">
        <v>225</v>
      </c>
      <c r="U137" s="422">
        <v>224164</v>
      </c>
      <c r="V137" s="422">
        <f>_xlfn.IFNA(VLOOKUP(A137,[5]進出口值表查詢結果!$C$11:$F$68,4,0),-[4]整車!$B$22)</f>
        <v>121</v>
      </c>
      <c r="W137" s="422">
        <f>_xlfn.IFNA(VLOOKUP(A137,[5]進出口值表查詢結果!$C$11:$F$68,3,0),-[4]整車!$B$22)</f>
        <v>63501</v>
      </c>
      <c r="X137" s="422">
        <f>_xlfn.IFNA(VLOOKUP(A137,[6]進出口值表查詢結果!$C$11:$F$68,4,0),-[4]整車!$B$22)</f>
        <v>123</v>
      </c>
      <c r="Y137" s="422">
        <f>_xlfn.IFNA(VLOOKUP(A137,[6]進出口值表查詢結果!$C$11:$F$68,3,0),-[4]整車!$B$22)</f>
        <v>156263</v>
      </c>
      <c r="Z137" s="416">
        <f t="shared" si="26"/>
        <v>2191</v>
      </c>
      <c r="AA137" s="416">
        <f t="shared" si="27"/>
        <v>2089613</v>
      </c>
    </row>
    <row r="138" spans="1:27">
      <c r="A138" s="458" t="s">
        <v>166</v>
      </c>
      <c r="B138" s="422"/>
      <c r="C138" s="422"/>
      <c r="D138" s="422"/>
      <c r="E138" s="422"/>
      <c r="F138" s="422">
        <v>0</v>
      </c>
      <c r="G138" s="422"/>
      <c r="H138" s="422">
        <v>0</v>
      </c>
      <c r="I138" s="422">
        <v>0</v>
      </c>
      <c r="J138" s="423"/>
      <c r="K138" s="424"/>
      <c r="L138" s="422">
        <v>0</v>
      </c>
      <c r="M138" s="422">
        <v>0</v>
      </c>
      <c r="N138" s="422">
        <v>123</v>
      </c>
      <c r="O138" s="422">
        <v>61292</v>
      </c>
      <c r="P138" s="422">
        <v>0</v>
      </c>
      <c r="Q138" s="422">
        <v>0</v>
      </c>
      <c r="R138" s="422">
        <v>0</v>
      </c>
      <c r="S138" s="422">
        <v>0</v>
      </c>
      <c r="T138" s="422">
        <v>84</v>
      </c>
      <c r="U138" s="422">
        <v>105611</v>
      </c>
      <c r="V138" s="422">
        <f>_xlfn.IFNA(VLOOKUP(A138,[5]進出口值表查詢結果!$C$11:$F$68,4,0),-[4]整車!$B$22)</f>
        <v>68</v>
      </c>
      <c r="W138" s="422">
        <f>_xlfn.IFNA(VLOOKUP(A138,[5]進出口值表查詢結果!$C$11:$F$68,3,0),-[4]整車!$B$22)</f>
        <v>64056</v>
      </c>
      <c r="X138" s="422">
        <f>_xlfn.IFNA(VLOOKUP(A138,[6]進出口值表查詢結果!$C$11:$F$68,4,0),-[4]整車!$B$22)</f>
        <v>0</v>
      </c>
      <c r="Y138" s="422">
        <f>_xlfn.IFNA(VLOOKUP(A138,[6]進出口值表查詢結果!$C$11:$F$68,3,0),-[4]整車!$B$22)</f>
        <v>0</v>
      </c>
      <c r="Z138" s="416">
        <f t="shared" si="26"/>
        <v>275</v>
      </c>
      <c r="AA138" s="416">
        <f t="shared" si="27"/>
        <v>230959</v>
      </c>
    </row>
    <row r="139" spans="1:27">
      <c r="A139" s="458" t="s">
        <v>194</v>
      </c>
      <c r="B139" s="422">
        <v>280</v>
      </c>
      <c r="C139" s="422">
        <v>479573</v>
      </c>
      <c r="D139" s="422">
        <v>172</v>
      </c>
      <c r="E139" s="422">
        <v>228214</v>
      </c>
      <c r="F139" s="422">
        <v>600</v>
      </c>
      <c r="G139" s="422">
        <v>459244</v>
      </c>
      <c r="H139" s="422">
        <v>0</v>
      </c>
      <c r="I139" s="422">
        <v>0</v>
      </c>
      <c r="J139" s="423">
        <v>1213</v>
      </c>
      <c r="K139" s="424">
        <v>446610</v>
      </c>
      <c r="L139" s="422">
        <v>165</v>
      </c>
      <c r="M139" s="422">
        <v>220979</v>
      </c>
      <c r="N139" s="422">
        <v>339</v>
      </c>
      <c r="O139" s="422">
        <v>507640</v>
      </c>
      <c r="P139" s="422">
        <v>425</v>
      </c>
      <c r="Q139" s="422">
        <v>413046</v>
      </c>
      <c r="R139" s="422">
        <v>740</v>
      </c>
      <c r="S139" s="422">
        <v>667120</v>
      </c>
      <c r="T139" s="422">
        <v>1704</v>
      </c>
      <c r="U139" s="422">
        <v>1071291</v>
      </c>
      <c r="V139" s="422">
        <f>_xlfn.IFNA(VLOOKUP(A139,[5]進出口值表查詢結果!$C$11:$F$68,4,0),-[4]整車!$B$22)</f>
        <v>552</v>
      </c>
      <c r="W139" s="422">
        <f>_xlfn.IFNA(VLOOKUP(A139,[5]進出口值表查詢結果!$C$11:$F$68,3,0),-[4]整車!$B$22)</f>
        <v>411890</v>
      </c>
      <c r="X139" s="422">
        <f>_xlfn.IFNA(VLOOKUP(A139,[6]進出口值表查詢結果!$C$11:$F$68,4,0),-[4]整車!$B$22)</f>
        <v>108</v>
      </c>
      <c r="Y139" s="422">
        <f>_xlfn.IFNA(VLOOKUP(A139,[6]進出口值表查詢結果!$C$11:$F$68,3,0),-[4]整車!$B$22)</f>
        <v>192722</v>
      </c>
      <c r="Z139" s="416">
        <f t="shared" si="26"/>
        <v>6298</v>
      </c>
      <c r="AA139" s="416">
        <f t="shared" si="27"/>
        <v>5098329</v>
      </c>
    </row>
    <row r="140" spans="1:27">
      <c r="A140" s="458" t="s">
        <v>326</v>
      </c>
      <c r="B140" s="422"/>
      <c r="C140" s="422"/>
      <c r="D140" s="422"/>
      <c r="E140" s="422"/>
      <c r="F140" s="422">
        <v>0</v>
      </c>
      <c r="G140" s="422"/>
      <c r="H140" s="422">
        <v>0</v>
      </c>
      <c r="I140" s="422">
        <v>0</v>
      </c>
      <c r="J140" s="423"/>
      <c r="K140" s="424"/>
      <c r="L140" s="422">
        <v>0</v>
      </c>
      <c r="M140" s="422">
        <v>0</v>
      </c>
      <c r="N140" s="422">
        <v>0</v>
      </c>
      <c r="O140" s="422">
        <v>0</v>
      </c>
      <c r="P140" s="422">
        <v>0</v>
      </c>
      <c r="Q140" s="422">
        <v>0</v>
      </c>
      <c r="R140" s="422">
        <v>0</v>
      </c>
      <c r="S140" s="422">
        <v>0</v>
      </c>
      <c r="T140" s="422"/>
      <c r="U140" s="422"/>
      <c r="V140" s="422">
        <f>_xlfn.IFNA(VLOOKUP(A140,[5]進出口值表查詢結果!$C$11:$F$68,4,0),-[4]整車!$B$22)</f>
        <v>0</v>
      </c>
      <c r="W140" s="422">
        <f>_xlfn.IFNA(VLOOKUP(A140,[5]進出口值表查詢結果!$C$11:$F$68,3,0),-[4]整車!$B$22)</f>
        <v>0</v>
      </c>
      <c r="X140" s="422">
        <f>_xlfn.IFNA(VLOOKUP(A140,[6]進出口值表查詢結果!$C$11:$F$68,4,0),-[4]整車!$B$22)</f>
        <v>0</v>
      </c>
      <c r="Y140" s="422">
        <f>_xlfn.IFNA(VLOOKUP(A140,[6]進出口值表查詢結果!$C$11:$F$68,3,0),-[4]整車!$B$22)</f>
        <v>0</v>
      </c>
      <c r="Z140" s="416">
        <f t="shared" si="26"/>
        <v>0</v>
      </c>
      <c r="AA140" s="416">
        <f t="shared" si="27"/>
        <v>0</v>
      </c>
    </row>
    <row r="141" spans="1:27">
      <c r="A141" s="458" t="s">
        <v>327</v>
      </c>
      <c r="B141" s="422"/>
      <c r="C141" s="422"/>
      <c r="D141" s="422"/>
      <c r="E141" s="422"/>
      <c r="F141" s="422">
        <v>0</v>
      </c>
      <c r="G141" s="422"/>
      <c r="H141" s="422">
        <v>0</v>
      </c>
      <c r="I141" s="422">
        <v>0</v>
      </c>
      <c r="J141" s="423"/>
      <c r="K141" s="424"/>
      <c r="L141" s="422">
        <v>0</v>
      </c>
      <c r="M141" s="422">
        <v>0</v>
      </c>
      <c r="N141" s="422">
        <v>0</v>
      </c>
      <c r="O141" s="422">
        <v>0</v>
      </c>
      <c r="P141" s="422">
        <v>0</v>
      </c>
      <c r="Q141" s="422">
        <v>0</v>
      </c>
      <c r="R141" s="422">
        <v>0</v>
      </c>
      <c r="S141" s="422">
        <v>0</v>
      </c>
      <c r="T141" s="422"/>
      <c r="U141" s="422"/>
      <c r="V141" s="422">
        <f>_xlfn.IFNA(VLOOKUP(A141,[5]進出口值表查詢結果!$C$11:$F$68,4,0),-[4]整車!$B$22)</f>
        <v>0</v>
      </c>
      <c r="W141" s="422">
        <f>_xlfn.IFNA(VLOOKUP(A141,[5]進出口值表查詢結果!$C$11:$F$68,3,0),-[4]整車!$B$22)</f>
        <v>0</v>
      </c>
      <c r="X141" s="422">
        <f>_xlfn.IFNA(VLOOKUP(A141,[6]進出口值表查詢結果!$C$11:$F$68,4,0),-[4]整車!$B$22)</f>
        <v>0</v>
      </c>
      <c r="Y141" s="422">
        <f>_xlfn.IFNA(VLOOKUP(A141,[6]進出口值表查詢結果!$C$11:$F$68,3,0),-[4]整車!$B$22)</f>
        <v>0</v>
      </c>
      <c r="Z141" s="416">
        <f t="shared" si="26"/>
        <v>0</v>
      </c>
      <c r="AA141" s="416">
        <f t="shared" si="27"/>
        <v>0</v>
      </c>
    </row>
    <row r="142" spans="1:27">
      <c r="A142" s="458" t="s">
        <v>328</v>
      </c>
      <c r="B142" s="422">
        <v>77</v>
      </c>
      <c r="C142" s="422">
        <v>80740</v>
      </c>
      <c r="D142" s="422"/>
      <c r="E142" s="422"/>
      <c r="F142" s="422">
        <v>40</v>
      </c>
      <c r="G142" s="422">
        <v>6505</v>
      </c>
      <c r="H142" s="422">
        <v>0</v>
      </c>
      <c r="I142" s="422">
        <v>0</v>
      </c>
      <c r="J142" s="423"/>
      <c r="K142" s="424"/>
      <c r="L142" s="422">
        <v>101</v>
      </c>
      <c r="M142" s="422">
        <v>139946</v>
      </c>
      <c r="N142" s="422">
        <v>0</v>
      </c>
      <c r="O142" s="422">
        <v>0</v>
      </c>
      <c r="P142" s="422">
        <v>0</v>
      </c>
      <c r="Q142" s="422">
        <v>0</v>
      </c>
      <c r="R142" s="422">
        <v>0</v>
      </c>
      <c r="S142" s="422">
        <v>0</v>
      </c>
      <c r="T142" s="422"/>
      <c r="U142" s="422"/>
      <c r="V142" s="422">
        <f>_xlfn.IFNA(VLOOKUP(A142,[5]進出口值表查詢結果!$C$11:$F$68,4,0),-[4]整車!$B$22)</f>
        <v>0</v>
      </c>
      <c r="W142" s="422">
        <f>_xlfn.IFNA(VLOOKUP(A142,[5]進出口值表查詢結果!$C$11:$F$68,3,0),-[4]整車!$B$22)</f>
        <v>0</v>
      </c>
      <c r="X142" s="422">
        <f>_xlfn.IFNA(VLOOKUP(A142,[6]進出口值表查詢結果!$C$11:$F$68,4,0),-[4]整車!$B$22)</f>
        <v>94</v>
      </c>
      <c r="Y142" s="422">
        <f>_xlfn.IFNA(VLOOKUP(A142,[6]進出口值表查詢結果!$C$11:$F$68,3,0),-[4]整車!$B$22)</f>
        <v>108432</v>
      </c>
      <c r="Z142" s="416">
        <f t="shared" si="26"/>
        <v>312</v>
      </c>
      <c r="AA142" s="416">
        <f t="shared" si="27"/>
        <v>335623</v>
      </c>
    </row>
    <row r="143" spans="1:27">
      <c r="A143" s="458" t="s">
        <v>329</v>
      </c>
      <c r="B143" s="422"/>
      <c r="C143" s="422"/>
      <c r="D143" s="422"/>
      <c r="E143" s="422"/>
      <c r="F143" s="422">
        <v>0</v>
      </c>
      <c r="G143" s="422"/>
      <c r="H143" s="422">
        <v>0</v>
      </c>
      <c r="I143" s="422">
        <v>0</v>
      </c>
      <c r="J143" s="423"/>
      <c r="K143" s="424"/>
      <c r="L143" s="422">
        <v>25</v>
      </c>
      <c r="M143" s="422">
        <v>25972</v>
      </c>
      <c r="N143" s="422">
        <v>2</v>
      </c>
      <c r="O143" s="422">
        <v>3989</v>
      </c>
      <c r="P143" s="422">
        <v>6</v>
      </c>
      <c r="Q143" s="422">
        <v>5727</v>
      </c>
      <c r="R143" s="422">
        <v>5</v>
      </c>
      <c r="S143" s="422">
        <v>5843</v>
      </c>
      <c r="T143" s="422"/>
      <c r="U143" s="422"/>
      <c r="V143" s="422">
        <f>_xlfn.IFNA(VLOOKUP(A143,[5]進出口值表查詢結果!$C$11:$F$68,4,0),-[4]整車!$B$22)</f>
        <v>6</v>
      </c>
      <c r="W143" s="422">
        <f>_xlfn.IFNA(VLOOKUP(A143,[5]進出口值表查詢結果!$C$11:$F$68,3,0),-[4]整車!$B$22)</f>
        <v>7556</v>
      </c>
      <c r="X143" s="422">
        <f>_xlfn.IFNA(VLOOKUP(A143,[6]進出口值表查詢結果!$C$11:$F$68,4,0),-[4]整車!$B$22)</f>
        <v>0</v>
      </c>
      <c r="Y143" s="422">
        <f>_xlfn.IFNA(VLOOKUP(A143,[6]進出口值表查詢結果!$C$11:$F$68,3,0),-[4]整車!$B$22)</f>
        <v>0</v>
      </c>
      <c r="Z143" s="416">
        <f t="shared" si="26"/>
        <v>44</v>
      </c>
      <c r="AA143" s="416">
        <f t="shared" si="27"/>
        <v>49087</v>
      </c>
    </row>
    <row r="144" spans="1:27">
      <c r="A144" s="458" t="s">
        <v>330</v>
      </c>
      <c r="B144" s="422"/>
      <c r="C144" s="422"/>
      <c r="D144" s="422"/>
      <c r="E144" s="422"/>
      <c r="F144" s="422">
        <v>0</v>
      </c>
      <c r="G144" s="422"/>
      <c r="H144" s="422">
        <v>0</v>
      </c>
      <c r="I144" s="422">
        <v>0</v>
      </c>
      <c r="J144" s="423"/>
      <c r="K144" s="424"/>
      <c r="L144" s="422">
        <v>0</v>
      </c>
      <c r="M144" s="422">
        <v>0</v>
      </c>
      <c r="N144" s="422">
        <v>0</v>
      </c>
      <c r="O144" s="422">
        <v>0</v>
      </c>
      <c r="P144" s="422">
        <v>0</v>
      </c>
      <c r="Q144" s="422">
        <v>0</v>
      </c>
      <c r="R144" s="422">
        <v>0</v>
      </c>
      <c r="S144" s="422">
        <v>0</v>
      </c>
      <c r="T144" s="422"/>
      <c r="U144" s="422"/>
      <c r="V144" s="422">
        <f>_xlfn.IFNA(VLOOKUP(A144,[5]進出口值表查詢結果!$C$11:$F$68,4,0),-[4]整車!$B$22)</f>
        <v>0</v>
      </c>
      <c r="W144" s="422">
        <f>_xlfn.IFNA(VLOOKUP(A144,[5]進出口值表查詢結果!$C$11:$F$68,3,0),-[4]整車!$B$22)</f>
        <v>0</v>
      </c>
      <c r="X144" s="422">
        <f>_xlfn.IFNA(VLOOKUP(A144,[6]進出口值表查詢結果!$C$11:$F$68,4,0),-[4]整車!$B$22)</f>
        <v>0</v>
      </c>
      <c r="Y144" s="422">
        <f>_xlfn.IFNA(VLOOKUP(A144,[6]進出口值表查詢結果!$C$11:$F$68,3,0),-[4]整車!$B$22)</f>
        <v>0</v>
      </c>
      <c r="Z144" s="416">
        <f t="shared" si="26"/>
        <v>0</v>
      </c>
      <c r="AA144" s="416">
        <f t="shared" si="27"/>
        <v>0</v>
      </c>
    </row>
    <row r="145" spans="1:27">
      <c r="A145" s="458" t="s">
        <v>331</v>
      </c>
      <c r="B145" s="422"/>
      <c r="C145" s="422"/>
      <c r="D145" s="422">
        <v>20</v>
      </c>
      <c r="E145" s="422">
        <v>19787</v>
      </c>
      <c r="F145" s="422">
        <v>0</v>
      </c>
      <c r="G145" s="422"/>
      <c r="H145" s="422">
        <v>0</v>
      </c>
      <c r="I145" s="422">
        <v>0</v>
      </c>
      <c r="J145" s="423"/>
      <c r="K145" s="424"/>
      <c r="L145" s="422">
        <v>0</v>
      </c>
      <c r="M145" s="422">
        <v>0</v>
      </c>
      <c r="N145" s="422">
        <v>0</v>
      </c>
      <c r="O145" s="422">
        <v>0</v>
      </c>
      <c r="P145" s="422">
        <v>0</v>
      </c>
      <c r="Q145" s="422">
        <v>0</v>
      </c>
      <c r="R145" s="422">
        <v>0</v>
      </c>
      <c r="S145" s="422">
        <v>0</v>
      </c>
      <c r="T145" s="422"/>
      <c r="U145" s="422"/>
      <c r="V145" s="422">
        <f>_xlfn.IFNA(VLOOKUP(A145,[5]進出口值表查詢結果!$C$11:$F$68,4,0),-[4]整車!$B$22)</f>
        <v>0</v>
      </c>
      <c r="W145" s="422">
        <f>_xlfn.IFNA(VLOOKUP(A145,[5]進出口值表查詢結果!$C$11:$F$68,3,0),-[4]整車!$B$22)</f>
        <v>0</v>
      </c>
      <c r="X145" s="422">
        <f>_xlfn.IFNA(VLOOKUP(A145,[6]進出口值表查詢結果!$C$11:$F$68,4,0),-[4]整車!$B$22)</f>
        <v>0</v>
      </c>
      <c r="Y145" s="422">
        <f>_xlfn.IFNA(VLOOKUP(A145,[6]進出口值表查詢結果!$C$11:$F$68,3,0),-[4]整車!$B$22)</f>
        <v>0</v>
      </c>
      <c r="Z145" s="416">
        <f t="shared" si="26"/>
        <v>20</v>
      </c>
      <c r="AA145" s="416">
        <f t="shared" si="27"/>
        <v>19787</v>
      </c>
    </row>
    <row r="146" spans="1:27">
      <c r="A146" s="458" t="s">
        <v>332</v>
      </c>
      <c r="B146" s="422"/>
      <c r="C146" s="422"/>
      <c r="D146" s="422"/>
      <c r="E146" s="422"/>
      <c r="F146" s="422">
        <v>0</v>
      </c>
      <c r="G146" s="422"/>
      <c r="H146" s="422">
        <v>0</v>
      </c>
      <c r="I146" s="422">
        <v>0</v>
      </c>
      <c r="J146" s="423"/>
      <c r="K146" s="424"/>
      <c r="L146" s="422">
        <v>0</v>
      </c>
      <c r="M146" s="422">
        <v>0</v>
      </c>
      <c r="N146" s="422">
        <v>0</v>
      </c>
      <c r="O146" s="422">
        <v>0</v>
      </c>
      <c r="P146" s="422">
        <v>0</v>
      </c>
      <c r="Q146" s="422">
        <v>0</v>
      </c>
      <c r="R146" s="422">
        <v>0</v>
      </c>
      <c r="S146" s="422">
        <v>0</v>
      </c>
      <c r="T146" s="422"/>
      <c r="U146" s="422"/>
      <c r="V146" s="422">
        <f>_xlfn.IFNA(VLOOKUP(A146,[5]進出口值表查詢結果!$C$11:$F$68,4,0),-[4]整車!$B$22)</f>
        <v>0</v>
      </c>
      <c r="W146" s="422">
        <f>_xlfn.IFNA(VLOOKUP(A146,[5]進出口值表查詢結果!$C$11:$F$68,3,0),-[4]整車!$B$22)</f>
        <v>0</v>
      </c>
      <c r="X146" s="422">
        <f>_xlfn.IFNA(VLOOKUP(A146,[6]進出口值表查詢結果!$C$11:$F$68,4,0),-[4]整車!$B$22)</f>
        <v>0</v>
      </c>
      <c r="Y146" s="422">
        <f>_xlfn.IFNA(VLOOKUP(A146,[6]進出口值表查詢結果!$C$11:$F$68,3,0),-[4]整車!$B$22)</f>
        <v>0</v>
      </c>
      <c r="Z146" s="416">
        <f t="shared" si="26"/>
        <v>0</v>
      </c>
      <c r="AA146" s="416">
        <f t="shared" si="27"/>
        <v>0</v>
      </c>
    </row>
    <row r="147" spans="1:27">
      <c r="A147" s="458" t="s">
        <v>333</v>
      </c>
      <c r="B147" s="422">
        <v>27</v>
      </c>
      <c r="C147" s="422">
        <v>27791</v>
      </c>
      <c r="D147" s="422"/>
      <c r="E147" s="422"/>
      <c r="F147" s="422">
        <v>0</v>
      </c>
      <c r="G147" s="422"/>
      <c r="H147" s="422">
        <v>16</v>
      </c>
      <c r="I147" s="422">
        <v>12686</v>
      </c>
      <c r="J147" s="423"/>
      <c r="K147" s="424"/>
      <c r="L147" s="422">
        <v>28</v>
      </c>
      <c r="M147" s="422">
        <v>23257</v>
      </c>
      <c r="N147" s="422">
        <v>0</v>
      </c>
      <c r="O147" s="422">
        <v>0</v>
      </c>
      <c r="P147" s="422">
        <v>33</v>
      </c>
      <c r="Q147" s="422">
        <v>44052</v>
      </c>
      <c r="R147" s="422">
        <v>252</v>
      </c>
      <c r="S147" s="422">
        <v>146025</v>
      </c>
      <c r="T147" s="422"/>
      <c r="U147" s="422"/>
      <c r="V147" s="422">
        <f>_xlfn.IFNA(VLOOKUP(A147,[5]進出口值表查詢結果!$C$11:$F$68,4,0),-[4]整車!$B$22)</f>
        <v>0</v>
      </c>
      <c r="W147" s="422">
        <f>_xlfn.IFNA(VLOOKUP(A147,[5]進出口值表查詢結果!$C$11:$F$68,3,0),-[4]整車!$B$22)</f>
        <v>0</v>
      </c>
      <c r="X147" s="422">
        <f>_xlfn.IFNA(VLOOKUP(A147,[6]進出口值表查詢結果!$C$11:$F$68,4,0),-[4]整車!$B$22)</f>
        <v>0</v>
      </c>
      <c r="Y147" s="422">
        <f>_xlfn.IFNA(VLOOKUP(A147,[6]進出口值表查詢結果!$C$11:$F$68,3,0),-[4]整車!$B$22)</f>
        <v>0</v>
      </c>
      <c r="Z147" s="416">
        <f t="shared" si="26"/>
        <v>356</v>
      </c>
      <c r="AA147" s="416">
        <f t="shared" si="27"/>
        <v>253811</v>
      </c>
    </row>
    <row r="148" spans="1:27">
      <c r="A148" s="458" t="s">
        <v>334</v>
      </c>
      <c r="B148" s="422"/>
      <c r="C148" s="422"/>
      <c r="D148" s="422"/>
      <c r="E148" s="422"/>
      <c r="F148" s="422">
        <v>0</v>
      </c>
      <c r="G148" s="422"/>
      <c r="H148" s="422">
        <v>0</v>
      </c>
      <c r="I148" s="422">
        <v>0</v>
      </c>
      <c r="J148" s="423"/>
      <c r="K148" s="424"/>
      <c r="L148" s="422">
        <v>0</v>
      </c>
      <c r="M148" s="422">
        <v>0</v>
      </c>
      <c r="N148" s="422">
        <v>0</v>
      </c>
      <c r="O148" s="422">
        <v>0</v>
      </c>
      <c r="P148" s="422">
        <v>0</v>
      </c>
      <c r="Q148" s="422">
        <v>0</v>
      </c>
      <c r="R148" s="422">
        <v>0</v>
      </c>
      <c r="S148" s="422">
        <v>0</v>
      </c>
      <c r="T148" s="422"/>
      <c r="U148" s="422"/>
      <c r="V148" s="422">
        <f>_xlfn.IFNA(VLOOKUP(A148,[5]進出口值表查詢結果!$C$11:$F$68,4,0),-[4]整車!$B$22)</f>
        <v>0</v>
      </c>
      <c r="W148" s="422">
        <f>_xlfn.IFNA(VLOOKUP(A148,[5]進出口值表查詢結果!$C$11:$F$68,3,0),-[4]整車!$B$22)</f>
        <v>0</v>
      </c>
      <c r="X148" s="422">
        <f>_xlfn.IFNA(VLOOKUP(A148,[6]進出口值表查詢結果!$C$11:$F$68,4,0),-[4]整車!$B$22)</f>
        <v>0</v>
      </c>
      <c r="Y148" s="422">
        <f>_xlfn.IFNA(VLOOKUP(A148,[6]進出口值表查詢結果!$C$11:$F$68,3,0),-[4]整車!$B$22)</f>
        <v>0</v>
      </c>
      <c r="Z148" s="416">
        <f t="shared" si="26"/>
        <v>0</v>
      </c>
      <c r="AA148" s="416">
        <f t="shared" si="27"/>
        <v>0</v>
      </c>
    </row>
    <row r="149" spans="1:27">
      <c r="A149" s="458" t="s">
        <v>335</v>
      </c>
      <c r="B149" s="422"/>
      <c r="C149" s="422"/>
      <c r="D149" s="422"/>
      <c r="E149" s="422"/>
      <c r="F149" s="422">
        <v>0</v>
      </c>
      <c r="G149" s="422"/>
      <c r="H149" s="422">
        <v>0</v>
      </c>
      <c r="I149" s="422">
        <v>0</v>
      </c>
      <c r="J149" s="423"/>
      <c r="K149" s="424"/>
      <c r="L149" s="422">
        <v>0</v>
      </c>
      <c r="M149" s="422">
        <v>0</v>
      </c>
      <c r="N149" s="422">
        <v>0</v>
      </c>
      <c r="O149" s="422">
        <v>0</v>
      </c>
      <c r="P149" s="422">
        <v>0</v>
      </c>
      <c r="Q149" s="422">
        <v>0</v>
      </c>
      <c r="R149" s="422">
        <v>0</v>
      </c>
      <c r="S149" s="422">
        <v>0</v>
      </c>
      <c r="T149" s="422"/>
      <c r="U149" s="422"/>
      <c r="V149" s="422">
        <f>_xlfn.IFNA(VLOOKUP(A149,[5]進出口值表查詢結果!$C$11:$F$68,4,0),-[4]整車!$B$22)</f>
        <v>0</v>
      </c>
      <c r="W149" s="422">
        <f>_xlfn.IFNA(VLOOKUP(A149,[5]進出口值表查詢結果!$C$11:$F$68,3,0),-[4]整車!$B$22)</f>
        <v>0</v>
      </c>
      <c r="X149" s="422">
        <f>_xlfn.IFNA(VLOOKUP(A149,[6]進出口值表查詢結果!$C$11:$F$68,4,0),-[4]整車!$B$22)</f>
        <v>0</v>
      </c>
      <c r="Y149" s="422">
        <f>_xlfn.IFNA(VLOOKUP(A149,[6]進出口值表查詢結果!$C$11:$F$68,3,0),-[4]整車!$B$22)</f>
        <v>0</v>
      </c>
      <c r="Z149" s="416">
        <f t="shared" si="26"/>
        <v>0</v>
      </c>
      <c r="AA149" s="416">
        <f t="shared" si="27"/>
        <v>0</v>
      </c>
    </row>
    <row r="150" spans="1:27">
      <c r="A150" s="458" t="s">
        <v>336</v>
      </c>
      <c r="B150" s="422"/>
      <c r="C150" s="422"/>
      <c r="D150" s="422"/>
      <c r="E150" s="422"/>
      <c r="F150" s="422">
        <v>0</v>
      </c>
      <c r="G150" s="422"/>
      <c r="H150" s="422">
        <v>912</v>
      </c>
      <c r="I150" s="422">
        <v>9076</v>
      </c>
      <c r="J150" s="423"/>
      <c r="K150" s="424"/>
      <c r="L150" s="422">
        <v>0</v>
      </c>
      <c r="M150" s="422">
        <v>0</v>
      </c>
      <c r="N150" s="422">
        <v>860</v>
      </c>
      <c r="O150" s="422">
        <v>8722</v>
      </c>
      <c r="P150" s="422">
        <v>0</v>
      </c>
      <c r="Q150" s="422">
        <v>0</v>
      </c>
      <c r="R150" s="422">
        <v>0</v>
      </c>
      <c r="S150" s="422">
        <v>0</v>
      </c>
      <c r="T150" s="422">
        <v>60</v>
      </c>
      <c r="U150" s="422">
        <v>895</v>
      </c>
      <c r="V150" s="422">
        <f>_xlfn.IFNA(VLOOKUP(A150,[5]進出口值表查詢結果!$C$11:$F$68,4,0),-[4]整車!$B$22)</f>
        <v>0</v>
      </c>
      <c r="W150" s="422">
        <f>_xlfn.IFNA(VLOOKUP(A150,[5]進出口值表查詢結果!$C$11:$F$68,3,0),-[4]整車!$B$22)</f>
        <v>0</v>
      </c>
      <c r="X150" s="422">
        <f>_xlfn.IFNA(VLOOKUP(A150,[6]進出口值表查詢結果!$C$11:$F$68,4,0),-[4]整車!$B$22)</f>
        <v>0</v>
      </c>
      <c r="Y150" s="422">
        <f>_xlfn.IFNA(VLOOKUP(A150,[6]進出口值表查詢結果!$C$11:$F$68,3,0),-[4]整車!$B$22)</f>
        <v>0</v>
      </c>
      <c r="Z150" s="416">
        <f t="shared" si="26"/>
        <v>1832</v>
      </c>
      <c r="AA150" s="416">
        <f t="shared" si="27"/>
        <v>18693</v>
      </c>
    </row>
    <row r="151" spans="1:27">
      <c r="A151" s="464" t="s">
        <v>337</v>
      </c>
      <c r="B151" s="443">
        <f t="shared" ref="B151:Y151" si="28">SUM(B152:B188)</f>
        <v>438</v>
      </c>
      <c r="C151" s="443">
        <f t="shared" si="28"/>
        <v>697135</v>
      </c>
      <c r="D151" s="443">
        <f t="shared" si="28"/>
        <v>255</v>
      </c>
      <c r="E151" s="443">
        <f t="shared" si="28"/>
        <v>237208</v>
      </c>
      <c r="F151" s="443">
        <f t="shared" si="28"/>
        <v>115</v>
      </c>
      <c r="G151" s="443">
        <f t="shared" si="28"/>
        <v>139562</v>
      </c>
      <c r="H151" s="443">
        <f t="shared" si="28"/>
        <v>86</v>
      </c>
      <c r="I151" s="443">
        <f t="shared" si="28"/>
        <v>117092</v>
      </c>
      <c r="J151" s="444">
        <f t="shared" si="28"/>
        <v>613</v>
      </c>
      <c r="K151" s="445">
        <f>SUM(K152:K188)</f>
        <v>1036854</v>
      </c>
      <c r="L151" s="443">
        <f t="shared" si="28"/>
        <v>427</v>
      </c>
      <c r="M151" s="443">
        <f t="shared" si="28"/>
        <v>494605</v>
      </c>
      <c r="N151" s="443">
        <f t="shared" si="28"/>
        <v>849</v>
      </c>
      <c r="O151" s="443">
        <f t="shared" si="28"/>
        <v>1256457</v>
      </c>
      <c r="P151" s="443">
        <f t="shared" si="28"/>
        <v>1223</v>
      </c>
      <c r="Q151" s="443">
        <f t="shared" si="28"/>
        <v>669332</v>
      </c>
      <c r="R151" s="443">
        <f t="shared" si="28"/>
        <v>709</v>
      </c>
      <c r="S151" s="443">
        <f t="shared" si="28"/>
        <v>987195</v>
      </c>
      <c r="T151" s="443">
        <f t="shared" si="28"/>
        <v>318</v>
      </c>
      <c r="U151" s="443">
        <f t="shared" si="28"/>
        <v>309983</v>
      </c>
      <c r="V151" s="443">
        <f>SUM(V152:V188)</f>
        <v>638</v>
      </c>
      <c r="W151" s="443">
        <f>SUM(W152:W188)</f>
        <v>766517</v>
      </c>
      <c r="X151" s="443">
        <f t="shared" si="28"/>
        <v>526</v>
      </c>
      <c r="Y151" s="443">
        <f t="shared" si="28"/>
        <v>550560</v>
      </c>
      <c r="Z151" s="429">
        <f t="shared" si="26"/>
        <v>6197</v>
      </c>
      <c r="AA151" s="429">
        <f t="shared" si="27"/>
        <v>7262500</v>
      </c>
    </row>
    <row r="152" spans="1:27">
      <c r="A152" s="458" t="s">
        <v>183</v>
      </c>
      <c r="B152" s="422">
        <v>384</v>
      </c>
      <c r="C152" s="422">
        <v>666044</v>
      </c>
      <c r="D152" s="422">
        <v>225</v>
      </c>
      <c r="E152" s="422">
        <v>237041</v>
      </c>
      <c r="F152" s="422">
        <v>111</v>
      </c>
      <c r="G152" s="422">
        <v>136011</v>
      </c>
      <c r="H152" s="422">
        <v>36</v>
      </c>
      <c r="I152" s="422">
        <v>67009</v>
      </c>
      <c r="J152" s="423">
        <v>449</v>
      </c>
      <c r="K152" s="424">
        <v>996359</v>
      </c>
      <c r="L152" s="422">
        <v>306</v>
      </c>
      <c r="M152" s="422">
        <v>433512</v>
      </c>
      <c r="N152" s="422">
        <v>849</v>
      </c>
      <c r="O152" s="422">
        <v>1256457</v>
      </c>
      <c r="P152" s="422">
        <v>395</v>
      </c>
      <c r="Q152" s="422">
        <v>604709</v>
      </c>
      <c r="R152" s="422">
        <v>684</v>
      </c>
      <c r="S152" s="422">
        <v>986787</v>
      </c>
      <c r="T152" s="422">
        <v>211</v>
      </c>
      <c r="U152" s="422">
        <v>279759</v>
      </c>
      <c r="V152" s="422">
        <f>_xlfn.IFNA(VLOOKUP(A152,[5]進出口值表查詢結果!$C$11:$F$68,4,0),-[4]整車!$B$22)</f>
        <v>506</v>
      </c>
      <c r="W152" s="422">
        <f>_xlfn.IFNA(VLOOKUP(A152,[5]進出口值表查詢結果!$C$11:$F$68,3,0),-[4]整車!$B$22)</f>
        <v>630607</v>
      </c>
      <c r="X152" s="422">
        <f>_xlfn.IFNA(VLOOKUP(A152,[6]進出口值表查詢結果!$C$11:$F$68,4,0),-[4]整車!$B$22)</f>
        <v>360</v>
      </c>
      <c r="Y152" s="422">
        <f>_xlfn.IFNA(VLOOKUP(A152,[6]進出口值表查詢結果!$C$11:$F$68,3,0),-[4]整車!$B$22)</f>
        <v>482820</v>
      </c>
      <c r="Z152" s="416">
        <f t="shared" si="26"/>
        <v>4516</v>
      </c>
      <c r="AA152" s="416">
        <f t="shared" si="27"/>
        <v>6777115</v>
      </c>
    </row>
    <row r="153" spans="1:27">
      <c r="A153" s="458" t="s">
        <v>339</v>
      </c>
      <c r="B153" s="422">
        <v>1</v>
      </c>
      <c r="C153" s="422">
        <v>2333</v>
      </c>
      <c r="D153" s="422"/>
      <c r="E153" s="422"/>
      <c r="F153" s="422">
        <v>0</v>
      </c>
      <c r="G153" s="422"/>
      <c r="H153" s="422">
        <v>15</v>
      </c>
      <c r="I153" s="422">
        <v>19675</v>
      </c>
      <c r="J153" s="423">
        <v>39</v>
      </c>
      <c r="K153" s="424">
        <v>39292</v>
      </c>
      <c r="L153" s="422">
        <v>0</v>
      </c>
      <c r="M153" s="422">
        <v>0</v>
      </c>
      <c r="N153" s="422">
        <v>0</v>
      </c>
      <c r="O153" s="422">
        <v>0</v>
      </c>
      <c r="P153" s="422">
        <v>0</v>
      </c>
      <c r="Q153" s="422">
        <v>0</v>
      </c>
      <c r="R153" s="422">
        <v>0</v>
      </c>
      <c r="S153" s="422">
        <v>0</v>
      </c>
      <c r="T153" s="422"/>
      <c r="U153" s="422"/>
      <c r="V153" s="422">
        <f>_xlfn.IFNA(VLOOKUP(A153,[5]進出口值表查詢結果!$C$11:$F$68,4,0),-[4]整車!$B$22)</f>
        <v>132</v>
      </c>
      <c r="W153" s="422">
        <f>_xlfn.IFNA(VLOOKUP(A153,[5]進出口值表查詢結果!$C$11:$F$68,3,0),-[4]整車!$B$22)</f>
        <v>135910</v>
      </c>
      <c r="X153" s="422">
        <f>_xlfn.IFNA(VLOOKUP(A153,[6]進出口值表查詢結果!$C$11:$F$68,4,0),-[4]整車!$B$22)</f>
        <v>0</v>
      </c>
      <c r="Y153" s="422">
        <f>_xlfn.IFNA(VLOOKUP(A153,[6]進出口值表查詢結果!$C$11:$F$68,3,0),-[4]整車!$B$22)</f>
        <v>0</v>
      </c>
      <c r="Z153" s="416">
        <f t="shared" si="26"/>
        <v>187</v>
      </c>
      <c r="AA153" s="416">
        <f t="shared" si="27"/>
        <v>197210</v>
      </c>
    </row>
    <row r="154" spans="1:27">
      <c r="A154" s="458" t="s">
        <v>340</v>
      </c>
      <c r="B154" s="422"/>
      <c r="C154" s="422"/>
      <c r="D154" s="422"/>
      <c r="E154" s="422"/>
      <c r="F154" s="422">
        <v>0</v>
      </c>
      <c r="G154" s="422"/>
      <c r="H154" s="422">
        <v>0</v>
      </c>
      <c r="I154" s="422">
        <v>0</v>
      </c>
      <c r="J154" s="423"/>
      <c r="K154" s="424"/>
      <c r="L154" s="422">
        <v>0</v>
      </c>
      <c r="M154" s="422">
        <v>0</v>
      </c>
      <c r="N154" s="422">
        <v>0</v>
      </c>
      <c r="O154" s="422">
        <v>0</v>
      </c>
      <c r="P154" s="422">
        <v>0</v>
      </c>
      <c r="Q154" s="422">
        <v>0</v>
      </c>
      <c r="R154" s="422">
        <v>0</v>
      </c>
      <c r="S154" s="422">
        <v>0</v>
      </c>
      <c r="T154" s="422"/>
      <c r="U154" s="422"/>
      <c r="V154" s="422">
        <f>_xlfn.IFNA(VLOOKUP(A154,[5]進出口值表查詢結果!$C$11:$F$68,4,0),-[4]整車!$B$22)</f>
        <v>0</v>
      </c>
      <c r="W154" s="422">
        <f>_xlfn.IFNA(VLOOKUP(A154,[5]進出口值表查詢結果!$C$11:$F$68,3,0),-[4]整車!$B$22)</f>
        <v>0</v>
      </c>
      <c r="X154" s="422">
        <f>_xlfn.IFNA(VLOOKUP(A154,[6]進出口值表查詢結果!$C$11:$F$68,4,0),-[4]整車!$B$22)</f>
        <v>0</v>
      </c>
      <c r="Y154" s="422">
        <f>_xlfn.IFNA(VLOOKUP(A154,[6]進出口值表查詢結果!$C$11:$F$68,3,0),-[4]整車!$B$22)</f>
        <v>0</v>
      </c>
      <c r="Z154" s="416">
        <f t="shared" si="26"/>
        <v>0</v>
      </c>
      <c r="AA154" s="416">
        <f t="shared" si="27"/>
        <v>0</v>
      </c>
    </row>
    <row r="155" spans="1:27">
      <c r="A155" s="458" t="s">
        <v>341</v>
      </c>
      <c r="B155" s="422"/>
      <c r="C155" s="422"/>
      <c r="D155" s="422"/>
      <c r="E155" s="422"/>
      <c r="F155" s="422">
        <v>0</v>
      </c>
      <c r="G155" s="422"/>
      <c r="H155" s="422">
        <v>0</v>
      </c>
      <c r="I155" s="422">
        <v>0</v>
      </c>
      <c r="J155" s="423"/>
      <c r="K155" s="424"/>
      <c r="L155" s="422">
        <v>0</v>
      </c>
      <c r="M155" s="422">
        <v>0</v>
      </c>
      <c r="N155" s="422">
        <v>0</v>
      </c>
      <c r="O155" s="422">
        <v>0</v>
      </c>
      <c r="P155" s="422">
        <v>0</v>
      </c>
      <c r="Q155" s="422">
        <v>0</v>
      </c>
      <c r="R155" s="422">
        <v>0</v>
      </c>
      <c r="S155" s="422">
        <v>0</v>
      </c>
      <c r="T155" s="422"/>
      <c r="U155" s="422"/>
      <c r="V155" s="422">
        <f>_xlfn.IFNA(VLOOKUP(A155,[5]進出口值表查詢結果!$C$11:$F$68,4,0),-[4]整車!$B$22)</f>
        <v>0</v>
      </c>
      <c r="W155" s="422">
        <f>_xlfn.IFNA(VLOOKUP(A155,[5]進出口值表查詢結果!$C$11:$F$68,3,0),-[4]整車!$B$22)</f>
        <v>0</v>
      </c>
      <c r="X155" s="422">
        <f>_xlfn.IFNA(VLOOKUP(A155,[6]進出口值表查詢結果!$C$11:$F$68,4,0),-[4]整車!$B$22)</f>
        <v>0</v>
      </c>
      <c r="Y155" s="422">
        <f>_xlfn.IFNA(VLOOKUP(A155,[6]進出口值表查詢結果!$C$11:$F$68,3,0),-[4]整車!$B$22)</f>
        <v>0</v>
      </c>
      <c r="Z155" s="416">
        <f t="shared" si="26"/>
        <v>0</v>
      </c>
      <c r="AA155" s="416">
        <f t="shared" si="27"/>
        <v>0</v>
      </c>
    </row>
    <row r="156" spans="1:27">
      <c r="A156" s="458" t="s">
        <v>198</v>
      </c>
      <c r="B156" s="422"/>
      <c r="C156" s="422"/>
      <c r="D156" s="422"/>
      <c r="E156" s="422"/>
      <c r="F156" s="422">
        <v>0</v>
      </c>
      <c r="G156" s="422"/>
      <c r="H156" s="422">
        <v>0</v>
      </c>
      <c r="I156" s="422">
        <v>0</v>
      </c>
      <c r="J156" s="423"/>
      <c r="K156" s="424"/>
      <c r="L156" s="422">
        <v>0</v>
      </c>
      <c r="M156" s="422">
        <v>0</v>
      </c>
      <c r="N156" s="422">
        <v>0</v>
      </c>
      <c r="O156" s="422">
        <v>0</v>
      </c>
      <c r="P156" s="422">
        <v>0</v>
      </c>
      <c r="Q156" s="422">
        <v>0</v>
      </c>
      <c r="R156" s="422">
        <v>0</v>
      </c>
      <c r="S156" s="422">
        <v>0</v>
      </c>
      <c r="T156" s="422"/>
      <c r="U156" s="422"/>
      <c r="V156" s="422">
        <f>_xlfn.IFNA(VLOOKUP(A156,[5]進出口值表查詢結果!$C$11:$F$68,4,0),-[4]整車!$B$22)</f>
        <v>0</v>
      </c>
      <c r="W156" s="422">
        <f>_xlfn.IFNA(VLOOKUP(A156,[5]進出口值表查詢結果!$C$11:$F$68,3,0),-[4]整車!$B$22)</f>
        <v>0</v>
      </c>
      <c r="X156" s="422">
        <f>_xlfn.IFNA(VLOOKUP(A156,[6]進出口值表查詢結果!$C$11:$F$68,4,0),-[4]整車!$B$22)</f>
        <v>0</v>
      </c>
      <c r="Y156" s="422">
        <f>_xlfn.IFNA(VLOOKUP(A156,[6]進出口值表查詢結果!$C$11:$F$68,3,0),-[4]整車!$B$22)</f>
        <v>0</v>
      </c>
      <c r="Z156" s="416">
        <f t="shared" si="26"/>
        <v>0</v>
      </c>
      <c r="AA156" s="416">
        <f t="shared" si="27"/>
        <v>0</v>
      </c>
    </row>
    <row r="157" spans="1:27">
      <c r="A157" s="458" t="s">
        <v>342</v>
      </c>
      <c r="B157" s="422"/>
      <c r="C157" s="422"/>
      <c r="D157" s="422"/>
      <c r="E157" s="422"/>
      <c r="F157" s="422">
        <v>0</v>
      </c>
      <c r="G157" s="422"/>
      <c r="H157" s="422">
        <v>0</v>
      </c>
      <c r="I157" s="422">
        <v>0</v>
      </c>
      <c r="J157" s="423"/>
      <c r="K157" s="424"/>
      <c r="L157" s="422">
        <v>0</v>
      </c>
      <c r="M157" s="422">
        <v>0</v>
      </c>
      <c r="N157" s="422">
        <v>0</v>
      </c>
      <c r="O157" s="422">
        <v>0</v>
      </c>
      <c r="P157" s="422">
        <v>113</v>
      </c>
      <c r="Q157" s="422">
        <v>610</v>
      </c>
      <c r="R157" s="422">
        <v>25</v>
      </c>
      <c r="S157" s="422">
        <v>408</v>
      </c>
      <c r="T157" s="422">
        <v>56</v>
      </c>
      <c r="U157" s="422">
        <v>448</v>
      </c>
      <c r="V157" s="422">
        <f>_xlfn.IFNA(VLOOKUP(A157,[5]進出口值表查詢結果!$C$11:$F$68,4,0),-[4]整車!$B$22)</f>
        <v>0</v>
      </c>
      <c r="W157" s="422">
        <f>_xlfn.IFNA(VLOOKUP(A157,[5]進出口值表查詢結果!$C$11:$F$68,3,0),-[4]整車!$B$22)</f>
        <v>0</v>
      </c>
      <c r="X157" s="422">
        <f>_xlfn.IFNA(VLOOKUP(A157,[6]進出口值表查詢結果!$C$11:$F$75,4,0),-[4]整車!$B$22)</f>
        <v>6</v>
      </c>
      <c r="Y157" s="422">
        <f>_xlfn.IFNA(VLOOKUP(A157,[6]進出口值表查詢結果!$C$11:$F$75,3,0),-[4]整車!$B$22)</f>
        <v>175</v>
      </c>
      <c r="Z157" s="416">
        <f t="shared" si="26"/>
        <v>200</v>
      </c>
      <c r="AA157" s="416">
        <f t="shared" si="27"/>
        <v>1641</v>
      </c>
    </row>
    <row r="158" spans="1:27">
      <c r="A158" s="458" t="s">
        <v>343</v>
      </c>
      <c r="B158" s="422"/>
      <c r="C158" s="422"/>
      <c r="D158" s="422"/>
      <c r="E158" s="422"/>
      <c r="F158" s="422">
        <v>0</v>
      </c>
      <c r="G158" s="422"/>
      <c r="H158" s="422">
        <v>0</v>
      </c>
      <c r="I158" s="422">
        <v>0</v>
      </c>
      <c r="J158" s="423"/>
      <c r="K158" s="424"/>
      <c r="L158" s="422">
        <v>0</v>
      </c>
      <c r="M158" s="422">
        <v>0</v>
      </c>
      <c r="N158" s="422">
        <v>0</v>
      </c>
      <c r="O158" s="422">
        <v>0</v>
      </c>
      <c r="P158" s="422">
        <v>0</v>
      </c>
      <c r="Q158" s="422">
        <v>0</v>
      </c>
      <c r="R158" s="422">
        <v>0</v>
      </c>
      <c r="S158" s="422">
        <v>0</v>
      </c>
      <c r="T158" s="422"/>
      <c r="U158" s="422"/>
      <c r="V158" s="422">
        <f>_xlfn.IFNA(VLOOKUP(A158,[5]進出口值表查詢結果!$C$11:$F$68,4,0),-[4]整車!$B$22)</f>
        <v>0</v>
      </c>
      <c r="W158" s="422">
        <f>_xlfn.IFNA(VLOOKUP(A158,[5]進出口值表查詢結果!$C$11:$F$68,3,0),-[4]整車!$B$22)</f>
        <v>0</v>
      </c>
      <c r="X158" s="422">
        <f>_xlfn.IFNA(VLOOKUP(A158,[6]進出口值表查詢結果!$C$11:$F$75,4,0),-[4]整車!$B$22)</f>
        <v>0</v>
      </c>
      <c r="Y158" s="422">
        <f>_xlfn.IFNA(VLOOKUP(A158,[6]進出口值表查詢結果!$C$11:$F$75,3,0),-[4]整車!$B$22)</f>
        <v>0</v>
      </c>
      <c r="Z158" s="416">
        <f t="shared" si="26"/>
        <v>0</v>
      </c>
      <c r="AA158" s="416">
        <f t="shared" si="27"/>
        <v>0</v>
      </c>
    </row>
    <row r="159" spans="1:27">
      <c r="A159" s="458" t="s">
        <v>344</v>
      </c>
      <c r="B159" s="422"/>
      <c r="C159" s="422"/>
      <c r="D159" s="422"/>
      <c r="E159" s="422"/>
      <c r="F159" s="422">
        <v>0</v>
      </c>
      <c r="G159" s="422"/>
      <c r="H159" s="422">
        <v>0</v>
      </c>
      <c r="I159" s="422">
        <v>0</v>
      </c>
      <c r="J159" s="423"/>
      <c r="K159" s="424"/>
      <c r="L159" s="422">
        <v>0</v>
      </c>
      <c r="M159" s="422">
        <v>0</v>
      </c>
      <c r="N159" s="422">
        <v>0</v>
      </c>
      <c r="O159" s="422">
        <v>0</v>
      </c>
      <c r="P159" s="422">
        <v>0</v>
      </c>
      <c r="Q159" s="422">
        <v>0</v>
      </c>
      <c r="R159" s="422">
        <v>0</v>
      </c>
      <c r="S159" s="422">
        <v>0</v>
      </c>
      <c r="T159" s="422"/>
      <c r="U159" s="422"/>
      <c r="V159" s="422">
        <f>_xlfn.IFNA(VLOOKUP(A159,[5]進出口值表查詢結果!$C$11:$F$68,4,0),-[4]整車!$B$22)</f>
        <v>0</v>
      </c>
      <c r="W159" s="422">
        <f>_xlfn.IFNA(VLOOKUP(A159,[5]進出口值表查詢結果!$C$11:$F$68,3,0),-[4]整車!$B$22)</f>
        <v>0</v>
      </c>
      <c r="X159" s="422">
        <f>_xlfn.IFNA(VLOOKUP(A159,[6]進出口值表查詢結果!$C$11:$F$75,4,0),-[4]整車!$B$22)</f>
        <v>0</v>
      </c>
      <c r="Y159" s="422">
        <f>_xlfn.IFNA(VLOOKUP(A159,[6]進出口值表查詢結果!$C$11:$F$75,3,0),-[4]整車!$B$22)</f>
        <v>0</v>
      </c>
      <c r="Z159" s="416">
        <f t="shared" si="26"/>
        <v>0</v>
      </c>
      <c r="AA159" s="416">
        <f t="shared" si="27"/>
        <v>0</v>
      </c>
    </row>
    <row r="160" spans="1:27">
      <c r="A160" s="458" t="s">
        <v>345</v>
      </c>
      <c r="B160" s="422"/>
      <c r="C160" s="422"/>
      <c r="D160" s="422"/>
      <c r="E160" s="422"/>
      <c r="F160" s="422">
        <v>4</v>
      </c>
      <c r="G160" s="422">
        <v>3551</v>
      </c>
      <c r="H160" s="422">
        <v>0</v>
      </c>
      <c r="I160" s="422">
        <v>0</v>
      </c>
      <c r="J160" s="423"/>
      <c r="K160" s="424"/>
      <c r="L160" s="422">
        <v>0</v>
      </c>
      <c r="M160" s="422">
        <v>0</v>
      </c>
      <c r="N160" s="422">
        <v>0</v>
      </c>
      <c r="O160" s="422">
        <v>0</v>
      </c>
      <c r="P160" s="422">
        <v>155</v>
      </c>
      <c r="Q160" s="422">
        <v>20061</v>
      </c>
      <c r="R160" s="422">
        <v>0</v>
      </c>
      <c r="S160" s="422">
        <v>0</v>
      </c>
      <c r="T160" s="422"/>
      <c r="U160" s="422"/>
      <c r="V160" s="422">
        <f>_xlfn.IFNA(VLOOKUP(A160,[5]進出口值表查詢結果!$C$11:$F$68,4,0),-[4]整車!$B$22)</f>
        <v>0</v>
      </c>
      <c r="W160" s="422">
        <f>_xlfn.IFNA(VLOOKUP(A160,[5]進出口值表查詢結果!$C$11:$F$68,3,0),-[4]整車!$B$22)</f>
        <v>0</v>
      </c>
      <c r="X160" s="422">
        <f>_xlfn.IFNA(VLOOKUP(A160,[6]進出口值表查詢結果!$C$11:$F$75,4,0),-[4]整車!$B$22)</f>
        <v>0</v>
      </c>
      <c r="Y160" s="422">
        <f>_xlfn.IFNA(VLOOKUP(A160,[6]進出口值表查詢結果!$C$11:$F$75,3,0),-[4]整車!$B$22)</f>
        <v>0</v>
      </c>
      <c r="Z160" s="416">
        <f t="shared" si="26"/>
        <v>159</v>
      </c>
      <c r="AA160" s="416">
        <f t="shared" si="27"/>
        <v>23612</v>
      </c>
    </row>
    <row r="161" spans="1:27">
      <c r="A161" s="458" t="s">
        <v>346</v>
      </c>
      <c r="B161" s="422">
        <v>17</v>
      </c>
      <c r="C161" s="422">
        <v>28291</v>
      </c>
      <c r="D161" s="422"/>
      <c r="E161" s="422"/>
      <c r="F161" s="422">
        <v>0</v>
      </c>
      <c r="G161" s="422"/>
      <c r="H161" s="422">
        <v>35</v>
      </c>
      <c r="I161" s="422">
        <v>30408</v>
      </c>
      <c r="J161" s="423"/>
      <c r="K161" s="424"/>
      <c r="L161" s="422">
        <v>39</v>
      </c>
      <c r="M161" s="422">
        <v>54290</v>
      </c>
      <c r="N161" s="422">
        <v>0</v>
      </c>
      <c r="O161" s="422">
        <v>0</v>
      </c>
      <c r="P161" s="422">
        <v>36</v>
      </c>
      <c r="Q161" s="422">
        <v>38326</v>
      </c>
      <c r="R161" s="422">
        <v>0</v>
      </c>
      <c r="S161" s="422">
        <v>0</v>
      </c>
      <c r="T161" s="422">
        <v>41</v>
      </c>
      <c r="U161" s="422">
        <v>29673</v>
      </c>
      <c r="V161" s="422">
        <f>_xlfn.IFNA(VLOOKUP(A161,[5]進出口值表查詢結果!$C$11:$F$68,4,0),-[4]整車!$B$22)</f>
        <v>0</v>
      </c>
      <c r="W161" s="422">
        <f>_xlfn.IFNA(VLOOKUP(A161,[5]進出口值表查詢結果!$C$11:$F$68,3,0),-[4]整車!$B$22)</f>
        <v>0</v>
      </c>
      <c r="X161" s="422">
        <f>_xlfn.IFNA(VLOOKUP(A161,[6]進出口值表查詢結果!$C$11:$F$75,4,0),-[4]整車!$B$22)</f>
        <v>50</v>
      </c>
      <c r="Y161" s="422">
        <f>_xlfn.IFNA(VLOOKUP(A161,[6]進出口值表查詢結果!$C$11:$F$75,3,0),-[4]整車!$B$22)</f>
        <v>63646</v>
      </c>
      <c r="Z161" s="416">
        <f t="shared" si="26"/>
        <v>218</v>
      </c>
      <c r="AA161" s="416">
        <f t="shared" si="27"/>
        <v>244634</v>
      </c>
    </row>
    <row r="162" spans="1:27">
      <c r="A162" s="458" t="s">
        <v>347</v>
      </c>
      <c r="B162" s="422"/>
      <c r="C162" s="422"/>
      <c r="D162" s="422"/>
      <c r="E162" s="422"/>
      <c r="F162" s="422">
        <v>0</v>
      </c>
      <c r="G162" s="422"/>
      <c r="H162" s="422">
        <v>0</v>
      </c>
      <c r="I162" s="422">
        <v>0</v>
      </c>
      <c r="J162" s="423">
        <v>5</v>
      </c>
      <c r="K162" s="424">
        <v>802</v>
      </c>
      <c r="L162" s="422">
        <v>0</v>
      </c>
      <c r="M162" s="422">
        <v>0</v>
      </c>
      <c r="N162" s="422">
        <v>0</v>
      </c>
      <c r="O162" s="422">
        <v>0</v>
      </c>
      <c r="P162" s="422">
        <v>0</v>
      </c>
      <c r="Q162" s="422">
        <v>0</v>
      </c>
      <c r="R162" s="422">
        <v>0</v>
      </c>
      <c r="S162" s="422">
        <v>0</v>
      </c>
      <c r="T162" s="422"/>
      <c r="U162" s="422"/>
      <c r="V162" s="422">
        <f>_xlfn.IFNA(VLOOKUP(A162,[5]進出口值表查詢結果!$C$11:$F$68,4,0),-[4]整車!$B$22)</f>
        <v>0</v>
      </c>
      <c r="W162" s="422">
        <f>_xlfn.IFNA(VLOOKUP(A162,[5]進出口值表查詢結果!$C$11:$F$68,3,0),-[4]整車!$B$22)</f>
        <v>0</v>
      </c>
      <c r="X162" s="422">
        <f>_xlfn.IFNA(VLOOKUP(A162,[6]進出口值表查詢結果!$C$11:$F$75,4,0),-[4]整車!$B$22)</f>
        <v>0</v>
      </c>
      <c r="Y162" s="422">
        <f>_xlfn.IFNA(VLOOKUP(A162,[6]進出口值表查詢結果!$C$11:$F$75,3,0),-[4]整車!$B$22)</f>
        <v>0</v>
      </c>
      <c r="Z162" s="416">
        <f t="shared" si="26"/>
        <v>5</v>
      </c>
      <c r="AA162" s="416">
        <f t="shared" si="27"/>
        <v>802</v>
      </c>
    </row>
    <row r="163" spans="1:27">
      <c r="A163" s="458" t="s">
        <v>348</v>
      </c>
      <c r="B163" s="422"/>
      <c r="C163" s="422"/>
      <c r="D163" s="422"/>
      <c r="E163" s="422"/>
      <c r="F163" s="422">
        <v>0</v>
      </c>
      <c r="G163" s="422"/>
      <c r="H163" s="422">
        <v>0</v>
      </c>
      <c r="I163" s="422">
        <v>0</v>
      </c>
      <c r="J163" s="423">
        <v>120</v>
      </c>
      <c r="K163" s="424">
        <v>401</v>
      </c>
      <c r="L163" s="422">
        <v>82</v>
      </c>
      <c r="M163" s="422">
        <v>6803</v>
      </c>
      <c r="N163" s="422">
        <v>0</v>
      </c>
      <c r="O163" s="422">
        <v>0</v>
      </c>
      <c r="P163" s="422">
        <v>512</v>
      </c>
      <c r="Q163" s="422">
        <v>5219</v>
      </c>
      <c r="R163" s="422">
        <v>0</v>
      </c>
      <c r="S163" s="422">
        <v>0</v>
      </c>
      <c r="T163" s="422"/>
      <c r="U163" s="422"/>
      <c r="V163" s="422">
        <f>_xlfn.IFNA(VLOOKUP(A163,[5]進出口值表查詢結果!$C$11:$F$68,4,0),-[4]整車!$B$22)</f>
        <v>0</v>
      </c>
      <c r="W163" s="422">
        <f>_xlfn.IFNA(VLOOKUP(A163,[5]進出口值表查詢結果!$C$11:$F$68,3,0),-[4]整車!$B$22)</f>
        <v>0</v>
      </c>
      <c r="X163" s="422">
        <f>_xlfn.IFNA(VLOOKUP(A163,[6]進出口值表查詢結果!$C$11:$F$75,4,0),-[4]整車!$B$22)</f>
        <v>0</v>
      </c>
      <c r="Y163" s="422">
        <f>_xlfn.IFNA(VLOOKUP(A163,[6]進出口值表查詢結果!$C$11:$F$75,3,0),-[4]整車!$B$22)</f>
        <v>0</v>
      </c>
      <c r="Z163" s="416">
        <f t="shared" si="26"/>
        <v>714</v>
      </c>
      <c r="AA163" s="416">
        <f t="shared" si="27"/>
        <v>12423</v>
      </c>
    </row>
    <row r="164" spans="1:27">
      <c r="A164" s="458" t="s">
        <v>349</v>
      </c>
      <c r="B164" s="422"/>
      <c r="C164" s="422"/>
      <c r="D164" s="422"/>
      <c r="E164" s="422"/>
      <c r="F164" s="422">
        <v>0</v>
      </c>
      <c r="G164" s="422"/>
      <c r="H164" s="422">
        <v>0</v>
      </c>
      <c r="I164" s="422">
        <v>0</v>
      </c>
      <c r="J164" s="423"/>
      <c r="K164" s="424"/>
      <c r="L164" s="422">
        <v>0</v>
      </c>
      <c r="M164" s="422">
        <v>0</v>
      </c>
      <c r="N164" s="422">
        <v>0</v>
      </c>
      <c r="O164" s="422">
        <v>0</v>
      </c>
      <c r="P164" s="422">
        <v>0</v>
      </c>
      <c r="Q164" s="422">
        <v>0</v>
      </c>
      <c r="R164" s="422">
        <v>0</v>
      </c>
      <c r="S164" s="422">
        <v>0</v>
      </c>
      <c r="T164" s="422"/>
      <c r="U164" s="422"/>
      <c r="V164" s="422">
        <f>_xlfn.IFNA(VLOOKUP(A164,[5]進出口值表查詢結果!$C$11:$F$68,4,0),-[4]整車!$B$22)</f>
        <v>0</v>
      </c>
      <c r="W164" s="422">
        <f>_xlfn.IFNA(VLOOKUP(A164,[5]進出口值表查詢結果!$C$11:$F$68,3,0),-[4]整車!$B$22)</f>
        <v>0</v>
      </c>
      <c r="X164" s="422">
        <f>_xlfn.IFNA(VLOOKUP(A164,[6]進出口值表查詢結果!$C$11:$F$75,4,0),-[4]整車!$B$22)</f>
        <v>0</v>
      </c>
      <c r="Y164" s="422">
        <f>_xlfn.IFNA(VLOOKUP(A164,[6]進出口值表查詢結果!$C$11:$F$75,3,0),-[4]整車!$B$22)</f>
        <v>0</v>
      </c>
      <c r="Z164" s="416">
        <f t="shared" si="26"/>
        <v>0</v>
      </c>
      <c r="AA164" s="416">
        <f t="shared" si="27"/>
        <v>0</v>
      </c>
    </row>
    <row r="165" spans="1:27">
      <c r="A165" s="458" t="s">
        <v>350</v>
      </c>
      <c r="B165" s="422"/>
      <c r="C165" s="422"/>
      <c r="D165" s="422"/>
      <c r="E165" s="422"/>
      <c r="F165" s="422">
        <v>0</v>
      </c>
      <c r="G165" s="422"/>
      <c r="H165" s="422">
        <v>0</v>
      </c>
      <c r="I165" s="422">
        <v>0</v>
      </c>
      <c r="J165" s="423"/>
      <c r="K165" s="424"/>
      <c r="L165" s="422">
        <v>0</v>
      </c>
      <c r="M165" s="422">
        <v>0</v>
      </c>
      <c r="N165" s="422">
        <v>0</v>
      </c>
      <c r="O165" s="422">
        <v>0</v>
      </c>
      <c r="P165" s="422">
        <v>0</v>
      </c>
      <c r="Q165" s="422">
        <v>0</v>
      </c>
      <c r="R165" s="422">
        <v>0</v>
      </c>
      <c r="S165" s="422">
        <v>0</v>
      </c>
      <c r="T165" s="422"/>
      <c r="U165" s="422"/>
      <c r="V165" s="422">
        <f>_xlfn.IFNA(VLOOKUP(A165,[5]進出口值表查詢結果!$C$11:$F$68,4,0),-[4]整車!$B$22)</f>
        <v>0</v>
      </c>
      <c r="W165" s="422">
        <f>_xlfn.IFNA(VLOOKUP(A165,[5]進出口值表查詢結果!$C$11:$F$68,3,0),-[4]整車!$B$22)</f>
        <v>0</v>
      </c>
      <c r="X165" s="422">
        <f>_xlfn.IFNA(VLOOKUP(A165,[6]進出口值表查詢結果!$C$11:$F$75,4,0),-[4]整車!$B$22)</f>
        <v>0</v>
      </c>
      <c r="Y165" s="422">
        <f>_xlfn.IFNA(VLOOKUP(A165,[6]進出口值表查詢結果!$C$11:$F$75,3,0),-[4]整車!$B$22)</f>
        <v>0</v>
      </c>
      <c r="Z165" s="416">
        <f t="shared" si="26"/>
        <v>0</v>
      </c>
      <c r="AA165" s="416">
        <f t="shared" si="27"/>
        <v>0</v>
      </c>
    </row>
    <row r="166" spans="1:27">
      <c r="A166" s="458" t="s">
        <v>351</v>
      </c>
      <c r="B166" s="422"/>
      <c r="C166" s="422"/>
      <c r="D166" s="422"/>
      <c r="E166" s="422"/>
      <c r="F166" s="422">
        <v>0</v>
      </c>
      <c r="G166" s="422"/>
      <c r="H166" s="422">
        <v>0</v>
      </c>
      <c r="I166" s="422">
        <v>0</v>
      </c>
      <c r="J166" s="423"/>
      <c r="K166" s="424"/>
      <c r="L166" s="422">
        <v>0</v>
      </c>
      <c r="M166" s="422">
        <v>0</v>
      </c>
      <c r="N166" s="422">
        <v>0</v>
      </c>
      <c r="O166" s="422">
        <v>0</v>
      </c>
      <c r="P166" s="422">
        <v>0</v>
      </c>
      <c r="Q166" s="422">
        <v>0</v>
      </c>
      <c r="R166" s="422">
        <v>0</v>
      </c>
      <c r="S166" s="422">
        <v>0</v>
      </c>
      <c r="T166" s="422"/>
      <c r="U166" s="422"/>
      <c r="V166" s="422">
        <f>_xlfn.IFNA(VLOOKUP(A166,[5]進出口值表查詢結果!$C$11:$F$68,4,0),-[4]整車!$B$22)</f>
        <v>0</v>
      </c>
      <c r="W166" s="422">
        <f>_xlfn.IFNA(VLOOKUP(A166,[5]進出口值表查詢結果!$C$11:$F$68,3,0),-[4]整車!$B$22)</f>
        <v>0</v>
      </c>
      <c r="X166" s="422">
        <f>_xlfn.IFNA(VLOOKUP(A166,[6]進出口值表查詢結果!$C$11:$F$75,4,0),-[4]整車!$B$22)</f>
        <v>0</v>
      </c>
      <c r="Y166" s="422">
        <f>_xlfn.IFNA(VLOOKUP(A166,[6]進出口值表查詢結果!$C$11:$F$75,3,0),-[4]整車!$B$22)</f>
        <v>0</v>
      </c>
      <c r="Z166" s="416">
        <f t="shared" si="26"/>
        <v>0</v>
      </c>
      <c r="AA166" s="416">
        <f t="shared" si="27"/>
        <v>0</v>
      </c>
    </row>
    <row r="167" spans="1:27">
      <c r="A167" s="458" t="s">
        <v>352</v>
      </c>
      <c r="B167" s="422"/>
      <c r="C167" s="422"/>
      <c r="D167" s="422"/>
      <c r="E167" s="422"/>
      <c r="F167" s="422">
        <v>0</v>
      </c>
      <c r="G167" s="422"/>
      <c r="H167" s="422">
        <v>0</v>
      </c>
      <c r="I167" s="422">
        <v>0</v>
      </c>
      <c r="J167" s="423"/>
      <c r="K167" s="424"/>
      <c r="L167" s="422">
        <v>0</v>
      </c>
      <c r="M167" s="422">
        <v>0</v>
      </c>
      <c r="N167" s="422">
        <v>0</v>
      </c>
      <c r="O167" s="422">
        <v>0</v>
      </c>
      <c r="P167" s="422">
        <v>0</v>
      </c>
      <c r="Q167" s="422">
        <v>0</v>
      </c>
      <c r="R167" s="422">
        <v>0</v>
      </c>
      <c r="S167" s="422">
        <v>0</v>
      </c>
      <c r="T167" s="422"/>
      <c r="U167" s="422"/>
      <c r="V167" s="422">
        <f>_xlfn.IFNA(VLOOKUP(A167,[5]進出口值表查詢結果!$C$11:$F$68,4,0),-[4]整車!$B$22)</f>
        <v>0</v>
      </c>
      <c r="W167" s="422">
        <f>_xlfn.IFNA(VLOOKUP(A167,[5]進出口值表查詢結果!$C$11:$F$68,3,0),-[4]整車!$B$22)</f>
        <v>0</v>
      </c>
      <c r="X167" s="422">
        <f>_xlfn.IFNA(VLOOKUP(A167,[6]進出口值表查詢結果!$C$11:$F$75,4,0),-[4]整車!$B$22)</f>
        <v>0</v>
      </c>
      <c r="Y167" s="422">
        <f>_xlfn.IFNA(VLOOKUP(A167,[6]進出口值表查詢結果!$C$11:$F$75,3,0),-[4]整車!$B$22)</f>
        <v>0</v>
      </c>
      <c r="Z167" s="416">
        <f t="shared" si="26"/>
        <v>0</v>
      </c>
      <c r="AA167" s="416">
        <f t="shared" si="27"/>
        <v>0</v>
      </c>
    </row>
    <row r="168" spans="1:27">
      <c r="A168" s="458" t="s">
        <v>353</v>
      </c>
      <c r="B168" s="422">
        <v>30</v>
      </c>
      <c r="C168" s="422">
        <v>67</v>
      </c>
      <c r="D168" s="422">
        <v>30</v>
      </c>
      <c r="E168" s="422">
        <v>167</v>
      </c>
      <c r="F168" s="422">
        <v>0</v>
      </c>
      <c r="G168" s="422"/>
      <c r="H168" s="422">
        <v>0</v>
      </c>
      <c r="I168" s="422">
        <v>0</v>
      </c>
      <c r="J168" s="423"/>
      <c r="K168" s="424"/>
      <c r="L168" s="422">
        <v>0</v>
      </c>
      <c r="M168" s="422">
        <v>0</v>
      </c>
      <c r="N168" s="422">
        <v>0</v>
      </c>
      <c r="O168" s="422">
        <v>0</v>
      </c>
      <c r="P168" s="422">
        <v>0</v>
      </c>
      <c r="Q168" s="422">
        <v>0</v>
      </c>
      <c r="R168" s="422">
        <v>0</v>
      </c>
      <c r="S168" s="422">
        <v>0</v>
      </c>
      <c r="T168" s="422">
        <v>10</v>
      </c>
      <c r="U168" s="422">
        <v>103</v>
      </c>
      <c r="V168" s="422">
        <f>_xlfn.IFNA(VLOOKUP(A168,[5]進出口值表查詢結果!$C$11:$F$68,4,0),-[4]整車!$B$22)</f>
        <v>0</v>
      </c>
      <c r="W168" s="422">
        <f>_xlfn.IFNA(VLOOKUP(A168,[5]進出口值表查詢結果!$C$11:$F$68,3,0),-[4]整車!$B$22)</f>
        <v>0</v>
      </c>
      <c r="X168" s="422">
        <f>_xlfn.IFNA(VLOOKUP(A168,[6]進出口值表查詢結果!$C$11:$F$75,4,0),-[4]整車!$B$22)</f>
        <v>0</v>
      </c>
      <c r="Y168" s="422">
        <f>_xlfn.IFNA(VLOOKUP(A168,[6]進出口值表查詢結果!$C$11:$F$75,3,0),-[4]整車!$B$22)</f>
        <v>0</v>
      </c>
      <c r="Z168" s="416">
        <f t="shared" ref="Z168:Z185" si="29">SUM(B168,D168,F168,H168,J168,L168,N168,P168,R168,T168,V168,X168)</f>
        <v>70</v>
      </c>
      <c r="AA168" s="416">
        <f t="shared" ref="AA168:AA185" si="30">SUM(C168,E168,G168,I168,K168,M168,O168,Q168,S168,U168,W168,Y168)</f>
        <v>337</v>
      </c>
    </row>
    <row r="169" spans="1:27">
      <c r="A169" s="458" t="s">
        <v>407</v>
      </c>
      <c r="B169" s="422"/>
      <c r="C169" s="422"/>
      <c r="D169" s="422"/>
      <c r="E169" s="422"/>
      <c r="F169" s="422">
        <v>0</v>
      </c>
      <c r="G169" s="422"/>
      <c r="H169" s="422">
        <v>0</v>
      </c>
      <c r="I169" s="422">
        <v>0</v>
      </c>
      <c r="J169" s="423"/>
      <c r="K169" s="424"/>
      <c r="L169" s="422">
        <v>0</v>
      </c>
      <c r="M169" s="422">
        <v>0</v>
      </c>
      <c r="N169" s="422">
        <v>0</v>
      </c>
      <c r="O169" s="422">
        <v>0</v>
      </c>
      <c r="P169" s="422">
        <v>0</v>
      </c>
      <c r="Q169" s="422">
        <v>0</v>
      </c>
      <c r="R169" s="422">
        <v>0</v>
      </c>
      <c r="S169" s="422">
        <v>0</v>
      </c>
      <c r="T169" s="422"/>
      <c r="U169" s="422"/>
      <c r="V169" s="422">
        <f>_xlfn.IFNA(VLOOKUP(A169,[5]進出口值表查詢結果!$C$11:$F$68,4,0),-[4]整車!$B$22)</f>
        <v>0</v>
      </c>
      <c r="W169" s="422">
        <f>_xlfn.IFNA(VLOOKUP(A169,[5]進出口值表查詢結果!$C$11:$F$68,3,0),-[4]整車!$B$22)</f>
        <v>0</v>
      </c>
      <c r="X169" s="422">
        <f>_xlfn.IFNA(VLOOKUP(A169,[6]進出口值表查詢結果!$C$11:$F$75,4,0),-[4]整車!$B$22)</f>
        <v>52</v>
      </c>
      <c r="Y169" s="422">
        <f>_xlfn.IFNA(VLOOKUP(A169,[6]進出口值表查詢結果!$C$11:$F$75,3,0),-[4]整車!$B$22)</f>
        <v>175</v>
      </c>
      <c r="Z169" s="416">
        <f t="shared" si="29"/>
        <v>52</v>
      </c>
      <c r="AA169" s="416">
        <f t="shared" si="30"/>
        <v>175</v>
      </c>
    </row>
    <row r="170" spans="1:27">
      <c r="A170" s="458" t="s">
        <v>354</v>
      </c>
      <c r="B170" s="422">
        <v>6</v>
      </c>
      <c r="C170" s="422">
        <v>400</v>
      </c>
      <c r="D170" s="422"/>
      <c r="E170" s="422"/>
      <c r="F170" s="422">
        <v>0</v>
      </c>
      <c r="G170" s="422"/>
      <c r="H170" s="422">
        <v>0</v>
      </c>
      <c r="I170" s="422">
        <v>0</v>
      </c>
      <c r="J170" s="423"/>
      <c r="K170" s="424"/>
      <c r="L170" s="422">
        <v>0</v>
      </c>
      <c r="M170" s="422">
        <v>0</v>
      </c>
      <c r="N170" s="422">
        <v>0</v>
      </c>
      <c r="O170" s="422">
        <v>0</v>
      </c>
      <c r="P170" s="422">
        <v>0</v>
      </c>
      <c r="Q170" s="422">
        <v>0</v>
      </c>
      <c r="R170" s="422">
        <v>0</v>
      </c>
      <c r="S170" s="422">
        <v>0</v>
      </c>
      <c r="T170" s="422"/>
      <c r="U170" s="422"/>
      <c r="V170" s="422">
        <f>_xlfn.IFNA(VLOOKUP(A170,[5]進出口值表查詢結果!$C$11:$F$68,4,0),-[4]整車!$B$22)</f>
        <v>0</v>
      </c>
      <c r="W170" s="422">
        <f>_xlfn.IFNA(VLOOKUP(A170,[5]進出口值表查詢結果!$C$11:$F$68,3,0),-[4]整車!$B$22)</f>
        <v>0</v>
      </c>
      <c r="X170" s="422">
        <f>_xlfn.IFNA(VLOOKUP(A170,[6]進出口值表查詢結果!$C$11:$F$75,4,0),-[4]整車!$B$22)</f>
        <v>0</v>
      </c>
      <c r="Y170" s="422">
        <f>_xlfn.IFNA(VLOOKUP(A170,[6]進出口值表查詢結果!$C$11:$F$75,3,0),-[4]整車!$B$22)</f>
        <v>0</v>
      </c>
      <c r="Z170" s="416">
        <f t="shared" si="29"/>
        <v>6</v>
      </c>
      <c r="AA170" s="416">
        <f t="shared" si="30"/>
        <v>400</v>
      </c>
    </row>
    <row r="171" spans="1:27">
      <c r="A171" s="458" t="s">
        <v>355</v>
      </c>
      <c r="B171" s="422"/>
      <c r="C171" s="422"/>
      <c r="D171" s="422"/>
      <c r="E171" s="422"/>
      <c r="F171" s="422">
        <v>0</v>
      </c>
      <c r="G171" s="422"/>
      <c r="H171" s="422">
        <v>0</v>
      </c>
      <c r="I171" s="422">
        <v>0</v>
      </c>
      <c r="J171" s="423"/>
      <c r="K171" s="424"/>
      <c r="L171" s="422">
        <v>0</v>
      </c>
      <c r="M171" s="422">
        <v>0</v>
      </c>
      <c r="N171" s="422">
        <v>0</v>
      </c>
      <c r="O171" s="422">
        <v>0</v>
      </c>
      <c r="P171" s="422">
        <v>12</v>
      </c>
      <c r="Q171" s="422">
        <v>407</v>
      </c>
      <c r="R171" s="422">
        <v>0</v>
      </c>
      <c r="S171" s="422">
        <v>0</v>
      </c>
      <c r="T171" s="422"/>
      <c r="U171" s="422"/>
      <c r="V171" s="422">
        <f>_xlfn.IFNA(VLOOKUP(A171,[5]進出口值表查詢結果!$C$11:$F$68,4,0),-[4]整車!$B$22)</f>
        <v>0</v>
      </c>
      <c r="W171" s="422">
        <f>_xlfn.IFNA(VLOOKUP(A171,[5]進出口值表查詢結果!$C$11:$F$68,3,0),-[4]整車!$B$22)</f>
        <v>0</v>
      </c>
      <c r="X171" s="422">
        <f>_xlfn.IFNA(VLOOKUP(A171,[6]進出口值表查詢結果!$C$11:$F$75,4,0),-[4]整車!$B$22)</f>
        <v>40</v>
      </c>
      <c r="Y171" s="422">
        <f>_xlfn.IFNA(VLOOKUP(A171,[6]進出口值表查詢結果!$C$11:$F$75,3,0),-[4]整車!$B$22)</f>
        <v>420</v>
      </c>
      <c r="Z171" s="416">
        <f t="shared" si="29"/>
        <v>52</v>
      </c>
      <c r="AA171" s="416">
        <f t="shared" si="30"/>
        <v>827</v>
      </c>
    </row>
    <row r="172" spans="1:27">
      <c r="A172" s="458" t="s">
        <v>356</v>
      </c>
      <c r="B172" s="422"/>
      <c r="C172" s="422"/>
      <c r="D172" s="422"/>
      <c r="E172" s="422"/>
      <c r="F172" s="422">
        <v>0</v>
      </c>
      <c r="G172" s="422"/>
      <c r="H172" s="422">
        <v>0</v>
      </c>
      <c r="I172" s="422">
        <v>0</v>
      </c>
      <c r="J172" s="423"/>
      <c r="K172" s="424"/>
      <c r="L172" s="422">
        <v>0</v>
      </c>
      <c r="M172" s="422">
        <v>0</v>
      </c>
      <c r="N172" s="422">
        <v>0</v>
      </c>
      <c r="O172" s="422">
        <v>0</v>
      </c>
      <c r="P172" s="422">
        <v>0</v>
      </c>
      <c r="Q172" s="422">
        <v>0</v>
      </c>
      <c r="R172" s="422">
        <v>0</v>
      </c>
      <c r="S172" s="422">
        <v>0</v>
      </c>
      <c r="T172" s="422"/>
      <c r="U172" s="422"/>
      <c r="V172" s="422">
        <f>_xlfn.IFNA(VLOOKUP(A172,[5]進出口值表查詢結果!$C$11:$F$68,4,0),-[4]整車!$B$22)</f>
        <v>0</v>
      </c>
      <c r="W172" s="422">
        <f>_xlfn.IFNA(VLOOKUP(A172,[5]進出口值表查詢結果!$C$11:$F$68,3,0),-[4]整車!$B$22)</f>
        <v>0</v>
      </c>
      <c r="X172" s="422">
        <f>_xlfn.IFNA(VLOOKUP(A172,[6]進出口值表查詢結果!$C$11:$F$75,4,0),-[4]整車!$B$22)</f>
        <v>0</v>
      </c>
      <c r="Y172" s="422">
        <f>_xlfn.IFNA(VLOOKUP(A172,[6]進出口值表查詢結果!$C$11:$F$75,3,0),-[4]整車!$B$22)</f>
        <v>0</v>
      </c>
      <c r="Z172" s="416">
        <f t="shared" si="29"/>
        <v>0</v>
      </c>
      <c r="AA172" s="416">
        <f t="shared" si="30"/>
        <v>0</v>
      </c>
    </row>
    <row r="173" spans="1:27">
      <c r="A173" s="458" t="s">
        <v>196</v>
      </c>
      <c r="B173" s="422"/>
      <c r="C173" s="422"/>
      <c r="D173" s="422"/>
      <c r="E173" s="422"/>
      <c r="F173" s="422">
        <v>0</v>
      </c>
      <c r="G173" s="422"/>
      <c r="H173" s="422">
        <v>0</v>
      </c>
      <c r="I173" s="422">
        <v>0</v>
      </c>
      <c r="J173" s="423"/>
      <c r="K173" s="424"/>
      <c r="L173" s="422">
        <v>0</v>
      </c>
      <c r="M173" s="422">
        <v>0</v>
      </c>
      <c r="N173" s="422">
        <v>0</v>
      </c>
      <c r="O173" s="422">
        <v>0</v>
      </c>
      <c r="P173" s="422">
        <v>0</v>
      </c>
      <c r="Q173" s="422">
        <v>0</v>
      </c>
      <c r="R173" s="422">
        <v>0</v>
      </c>
      <c r="S173" s="422">
        <v>0</v>
      </c>
      <c r="T173" s="422"/>
      <c r="U173" s="422"/>
      <c r="V173" s="422">
        <f>_xlfn.IFNA(VLOOKUP(A173,[5]進出口值表查詢結果!$C$11:$F$68,4,0),-[4]整車!$B$22)</f>
        <v>0</v>
      </c>
      <c r="W173" s="422">
        <f>_xlfn.IFNA(VLOOKUP(A173,[5]進出口值表查詢結果!$C$11:$F$68,3,0),-[4]整車!$B$22)</f>
        <v>0</v>
      </c>
      <c r="X173" s="422">
        <f>_xlfn.IFNA(VLOOKUP(A173,[6]進出口值表查詢結果!$C$11:$F$75,4,0),-[4]整車!$B$22)</f>
        <v>0</v>
      </c>
      <c r="Y173" s="422">
        <f>_xlfn.IFNA(VLOOKUP(A173,[6]進出口值表查詢結果!$C$11:$F$75,3,0),-[4]整車!$B$22)</f>
        <v>0</v>
      </c>
      <c r="Z173" s="416">
        <f t="shared" si="29"/>
        <v>0</v>
      </c>
      <c r="AA173" s="416">
        <f t="shared" si="30"/>
        <v>0</v>
      </c>
    </row>
    <row r="174" spans="1:27">
      <c r="A174" s="458" t="s">
        <v>357</v>
      </c>
      <c r="B174" s="422"/>
      <c r="C174" s="422"/>
      <c r="D174" s="422"/>
      <c r="E174" s="422"/>
      <c r="F174" s="422">
        <v>0</v>
      </c>
      <c r="G174" s="422"/>
      <c r="H174" s="422">
        <v>0</v>
      </c>
      <c r="I174" s="422">
        <v>0</v>
      </c>
      <c r="J174" s="423"/>
      <c r="K174" s="424"/>
      <c r="L174" s="422">
        <v>0</v>
      </c>
      <c r="M174" s="422">
        <v>0</v>
      </c>
      <c r="N174" s="422">
        <v>0</v>
      </c>
      <c r="O174" s="422">
        <v>0</v>
      </c>
      <c r="P174" s="422">
        <v>0</v>
      </c>
      <c r="Q174" s="422">
        <v>0</v>
      </c>
      <c r="R174" s="422">
        <v>0</v>
      </c>
      <c r="S174" s="422">
        <v>0</v>
      </c>
      <c r="T174" s="422"/>
      <c r="U174" s="422"/>
      <c r="V174" s="422">
        <f>_xlfn.IFNA(VLOOKUP(A174,[5]進出口值表查詢結果!$C$11:$F$68,4,0),-[4]整車!$B$22)</f>
        <v>0</v>
      </c>
      <c r="W174" s="422">
        <f>_xlfn.IFNA(VLOOKUP(A174,[5]進出口值表查詢結果!$C$11:$F$68,3,0),-[4]整車!$B$22)</f>
        <v>0</v>
      </c>
      <c r="X174" s="422">
        <f>_xlfn.IFNA(VLOOKUP(A174,[6]進出口值表查詢結果!$C$11:$F$75,4,0),-[4]整車!$B$22)</f>
        <v>18</v>
      </c>
      <c r="Y174" s="422">
        <f>_xlfn.IFNA(VLOOKUP(A174,[6]進出口值表查詢結果!$C$11:$F$75,3,0),-[4]整車!$B$22)</f>
        <v>3324</v>
      </c>
      <c r="Z174" s="416">
        <f t="shared" si="29"/>
        <v>18</v>
      </c>
      <c r="AA174" s="416">
        <f t="shared" si="30"/>
        <v>3324</v>
      </c>
    </row>
    <row r="175" spans="1:27">
      <c r="A175" s="458" t="s">
        <v>358</v>
      </c>
      <c r="B175" s="422"/>
      <c r="C175" s="422"/>
      <c r="D175" s="422"/>
      <c r="E175" s="422"/>
      <c r="F175" s="422">
        <v>0</v>
      </c>
      <c r="G175" s="422"/>
      <c r="H175" s="422">
        <v>0</v>
      </c>
      <c r="I175" s="422">
        <v>0</v>
      </c>
      <c r="J175" s="423"/>
      <c r="K175" s="424"/>
      <c r="L175" s="422">
        <v>0</v>
      </c>
      <c r="M175" s="422">
        <v>0</v>
      </c>
      <c r="N175" s="422">
        <v>0</v>
      </c>
      <c r="O175" s="422">
        <v>0</v>
      </c>
      <c r="P175" s="422">
        <v>0</v>
      </c>
      <c r="Q175" s="422">
        <v>0</v>
      </c>
      <c r="R175" s="422">
        <v>0</v>
      </c>
      <c r="S175" s="422">
        <v>0</v>
      </c>
      <c r="T175" s="422"/>
      <c r="U175" s="422"/>
      <c r="V175" s="422">
        <f>_xlfn.IFNA(VLOOKUP(A175,[5]進出口值表查詢結果!$C$11:$F$68,4,0),-[4]整車!$B$22)</f>
        <v>0</v>
      </c>
      <c r="W175" s="422">
        <f>_xlfn.IFNA(VLOOKUP(A175,[5]進出口值表查詢結果!$C$11:$F$68,3,0),-[4]整車!$B$22)</f>
        <v>0</v>
      </c>
      <c r="X175" s="422">
        <f>_xlfn.IFNA(VLOOKUP(A175,[6]進出口值表查詢結果!$C$11:$F$75,4,0),-[4]整車!$B$22)</f>
        <v>0</v>
      </c>
      <c r="Y175" s="422">
        <f>_xlfn.IFNA(VLOOKUP(A175,[6]進出口值表查詢結果!$C$11:$F$75,3,0),-[4]整車!$B$22)</f>
        <v>0</v>
      </c>
      <c r="Z175" s="416">
        <f t="shared" si="29"/>
        <v>0</v>
      </c>
      <c r="AA175" s="416">
        <f t="shared" si="30"/>
        <v>0</v>
      </c>
    </row>
    <row r="176" spans="1:27">
      <c r="A176" s="458" t="s">
        <v>359</v>
      </c>
      <c r="B176" s="422"/>
      <c r="C176" s="422"/>
      <c r="D176" s="422"/>
      <c r="E176" s="422"/>
      <c r="F176" s="422">
        <v>0</v>
      </c>
      <c r="G176" s="422"/>
      <c r="H176" s="422">
        <v>0</v>
      </c>
      <c r="I176" s="422">
        <v>0</v>
      </c>
      <c r="J176" s="423"/>
      <c r="K176" s="424"/>
      <c r="L176" s="422">
        <v>0</v>
      </c>
      <c r="M176" s="422">
        <v>0</v>
      </c>
      <c r="N176" s="422">
        <v>0</v>
      </c>
      <c r="O176" s="422">
        <v>0</v>
      </c>
      <c r="P176" s="422">
        <v>0</v>
      </c>
      <c r="Q176" s="422">
        <v>0</v>
      </c>
      <c r="R176" s="422">
        <v>0</v>
      </c>
      <c r="S176" s="422">
        <v>0</v>
      </c>
      <c r="T176" s="422"/>
      <c r="U176" s="422"/>
      <c r="V176" s="422">
        <f>_xlfn.IFNA(VLOOKUP(A176,[5]進出口值表查詢結果!$C$11:$F$68,4,0),-[4]整車!$B$22)</f>
        <v>0</v>
      </c>
      <c r="W176" s="422">
        <f>_xlfn.IFNA(VLOOKUP(A176,[5]進出口值表查詢結果!$C$11:$F$68,3,0),-[4]整車!$B$22)</f>
        <v>0</v>
      </c>
      <c r="X176" s="422">
        <f>_xlfn.IFNA(VLOOKUP(A176,[6]進出口值表查詢結果!$C$11:$F$75,4,0),-[4]整車!$B$22)</f>
        <v>0</v>
      </c>
      <c r="Y176" s="422">
        <f>_xlfn.IFNA(VLOOKUP(A176,[6]進出口值表查詢結果!$C$11:$F$75,3,0),-[4]整車!$B$22)</f>
        <v>0</v>
      </c>
      <c r="Z176" s="416">
        <f t="shared" si="29"/>
        <v>0</v>
      </c>
      <c r="AA176" s="416">
        <f t="shared" si="30"/>
        <v>0</v>
      </c>
    </row>
    <row r="177" spans="1:27">
      <c r="A177" s="458" t="s">
        <v>360</v>
      </c>
      <c r="B177" s="422"/>
      <c r="C177" s="422"/>
      <c r="D177" s="422"/>
      <c r="E177" s="422"/>
      <c r="F177" s="422">
        <v>0</v>
      </c>
      <c r="G177" s="422"/>
      <c r="H177" s="422">
        <v>0</v>
      </c>
      <c r="I177" s="422">
        <v>0</v>
      </c>
      <c r="J177" s="423"/>
      <c r="K177" s="424"/>
      <c r="L177" s="422">
        <v>0</v>
      </c>
      <c r="M177" s="422">
        <v>0</v>
      </c>
      <c r="N177" s="422">
        <v>0</v>
      </c>
      <c r="O177" s="422">
        <v>0</v>
      </c>
      <c r="P177" s="422">
        <v>0</v>
      </c>
      <c r="Q177" s="422">
        <v>0</v>
      </c>
      <c r="R177" s="422">
        <v>0</v>
      </c>
      <c r="S177" s="422">
        <v>0</v>
      </c>
      <c r="T177" s="422"/>
      <c r="U177" s="422"/>
      <c r="V177" s="422">
        <f>_xlfn.IFNA(VLOOKUP(A177,[5]進出口值表查詢結果!$C$11:$F$68,4,0),-[4]整車!$B$22)</f>
        <v>0</v>
      </c>
      <c r="W177" s="422">
        <f>_xlfn.IFNA(VLOOKUP(A177,[5]進出口值表查詢結果!$C$11:$F$68,3,0),-[4]整車!$B$22)</f>
        <v>0</v>
      </c>
      <c r="X177" s="422">
        <f>_xlfn.IFNA(VLOOKUP(A177,[6]進出口值表查詢結果!$C$11:$F$75,4,0),-[4]整車!$B$22)</f>
        <v>0</v>
      </c>
      <c r="Y177" s="422">
        <f>_xlfn.IFNA(VLOOKUP(A177,[6]進出口值表查詢結果!$C$11:$F$75,3,0),-[4]整車!$B$22)</f>
        <v>0</v>
      </c>
      <c r="Z177" s="416">
        <f t="shared" si="29"/>
        <v>0</v>
      </c>
      <c r="AA177" s="416">
        <f t="shared" si="30"/>
        <v>0</v>
      </c>
    </row>
    <row r="178" spans="1:27">
      <c r="A178" s="458" t="s">
        <v>361</v>
      </c>
      <c r="B178" s="422"/>
      <c r="C178" s="422"/>
      <c r="D178" s="422"/>
      <c r="E178" s="422"/>
      <c r="F178" s="422">
        <v>0</v>
      </c>
      <c r="G178" s="422"/>
      <c r="H178" s="422">
        <v>0</v>
      </c>
      <c r="I178" s="422">
        <v>0</v>
      </c>
      <c r="J178" s="423"/>
      <c r="K178" s="424">
        <v>0</v>
      </c>
      <c r="L178" s="422">
        <v>0</v>
      </c>
      <c r="M178" s="422">
        <v>0</v>
      </c>
      <c r="N178" s="422">
        <v>0</v>
      </c>
      <c r="O178" s="422">
        <v>0</v>
      </c>
      <c r="P178" s="422">
        <v>0</v>
      </c>
      <c r="Q178" s="422">
        <v>0</v>
      </c>
      <c r="R178" s="422">
        <v>0</v>
      </c>
      <c r="S178" s="422">
        <v>0</v>
      </c>
      <c r="T178" s="422"/>
      <c r="U178" s="422"/>
      <c r="V178" s="422">
        <f>_xlfn.IFNA(VLOOKUP(A178,[5]進出口值表查詢結果!$C$11:$F$68,4,0),-[4]整車!$B$22)</f>
        <v>0</v>
      </c>
      <c r="W178" s="422">
        <f>_xlfn.IFNA(VLOOKUP(A178,[5]進出口值表查詢結果!$C$11:$F$68,3,0),-[4]整車!$B$22)</f>
        <v>0</v>
      </c>
      <c r="X178" s="422">
        <f>_xlfn.IFNA(VLOOKUP(A178,[6]進出口值表查詢結果!$C$11:$F$75,4,0),-[4]整車!$B$22)</f>
        <v>0</v>
      </c>
      <c r="Y178" s="422">
        <f>_xlfn.IFNA(VLOOKUP(A178,[6]進出口值表查詢結果!$C$11:$F$75,3,0),-[4]整車!$B$22)</f>
        <v>0</v>
      </c>
      <c r="Z178" s="416">
        <f t="shared" si="29"/>
        <v>0</v>
      </c>
      <c r="AA178" s="416">
        <f t="shared" si="30"/>
        <v>0</v>
      </c>
    </row>
    <row r="179" spans="1:27">
      <c r="A179" s="458" t="s">
        <v>362</v>
      </c>
      <c r="B179" s="422"/>
      <c r="C179" s="422"/>
      <c r="D179" s="422"/>
      <c r="E179" s="422"/>
      <c r="F179" s="422">
        <v>0</v>
      </c>
      <c r="G179" s="422"/>
      <c r="H179" s="422">
        <v>0</v>
      </c>
      <c r="I179" s="422">
        <v>0</v>
      </c>
      <c r="J179" s="423"/>
      <c r="K179" s="424">
        <v>0</v>
      </c>
      <c r="L179" s="422">
        <v>0</v>
      </c>
      <c r="M179" s="422">
        <v>0</v>
      </c>
      <c r="N179" s="422">
        <v>0</v>
      </c>
      <c r="O179" s="422">
        <v>0</v>
      </c>
      <c r="P179" s="422">
        <v>0</v>
      </c>
      <c r="Q179" s="422">
        <v>0</v>
      </c>
      <c r="R179" s="422">
        <v>0</v>
      </c>
      <c r="S179" s="422">
        <v>0</v>
      </c>
      <c r="T179" s="422"/>
      <c r="U179" s="422"/>
      <c r="V179" s="422">
        <f>_xlfn.IFNA(VLOOKUP(A179,[5]進出口值表查詢結果!$C$11:$F$68,4,0),-[4]整車!$B$22)</f>
        <v>0</v>
      </c>
      <c r="W179" s="422">
        <f>_xlfn.IFNA(VLOOKUP(A179,[5]進出口值表查詢結果!$C$11:$F$68,3,0),-[4]整車!$B$22)</f>
        <v>0</v>
      </c>
      <c r="X179" s="422">
        <f>_xlfn.IFNA(VLOOKUP(A179,[6]進出口值表查詢結果!$C$11:$F$75,4,0),-[4]整車!$B$22)</f>
        <v>0</v>
      </c>
      <c r="Y179" s="422">
        <f>_xlfn.IFNA(VLOOKUP(A179,[6]進出口值表查詢結果!$C$11:$F$75,3,0),-[4]整車!$B$22)</f>
        <v>0</v>
      </c>
      <c r="Z179" s="416">
        <f t="shared" si="29"/>
        <v>0</v>
      </c>
      <c r="AA179" s="416">
        <f t="shared" si="30"/>
        <v>0</v>
      </c>
    </row>
    <row r="180" spans="1:27">
      <c r="A180" s="458" t="s">
        <v>363</v>
      </c>
      <c r="B180" s="422"/>
      <c r="C180" s="422"/>
      <c r="D180" s="422"/>
      <c r="E180" s="422"/>
      <c r="F180" s="422">
        <v>0</v>
      </c>
      <c r="G180" s="422"/>
      <c r="H180" s="422">
        <v>0</v>
      </c>
      <c r="I180" s="422">
        <v>0</v>
      </c>
      <c r="J180" s="423"/>
      <c r="K180" s="424">
        <v>0</v>
      </c>
      <c r="L180" s="422">
        <v>0</v>
      </c>
      <c r="M180" s="422">
        <v>0</v>
      </c>
      <c r="N180" s="422">
        <v>0</v>
      </c>
      <c r="O180" s="422">
        <v>0</v>
      </c>
      <c r="P180" s="422">
        <v>0</v>
      </c>
      <c r="Q180" s="422">
        <v>0</v>
      </c>
      <c r="R180" s="422">
        <v>0</v>
      </c>
      <c r="S180" s="422">
        <v>0</v>
      </c>
      <c r="T180" s="422"/>
      <c r="U180" s="422"/>
      <c r="V180" s="422">
        <f>_xlfn.IFNA(VLOOKUP(A180,[5]進出口值表查詢結果!$C$11:$F$68,4,0),-[4]整車!$B$22)</f>
        <v>0</v>
      </c>
      <c r="W180" s="422">
        <f>_xlfn.IFNA(VLOOKUP(A180,[5]進出口值表查詢結果!$C$11:$F$68,3,0),-[4]整車!$B$22)</f>
        <v>0</v>
      </c>
      <c r="X180" s="422">
        <f>_xlfn.IFNA(VLOOKUP(A180,[6]進出口值表查詢結果!$C$11:$F$75,4,0),-[4]整車!$B$22)</f>
        <v>0</v>
      </c>
      <c r="Y180" s="422">
        <f>_xlfn.IFNA(VLOOKUP(A180,[6]進出口值表查詢結果!$C$11:$F$75,3,0),-[4]整車!$B$22)</f>
        <v>0</v>
      </c>
      <c r="Z180" s="416">
        <f t="shared" si="29"/>
        <v>0</v>
      </c>
      <c r="AA180" s="416">
        <f t="shared" si="30"/>
        <v>0</v>
      </c>
    </row>
    <row r="181" spans="1:27">
      <c r="A181" s="458" t="s">
        <v>364</v>
      </c>
      <c r="B181" s="422"/>
      <c r="C181" s="422"/>
      <c r="D181" s="422"/>
      <c r="E181" s="422"/>
      <c r="F181" s="422">
        <v>0</v>
      </c>
      <c r="G181" s="422"/>
      <c r="H181" s="422">
        <v>0</v>
      </c>
      <c r="I181" s="422">
        <v>0</v>
      </c>
      <c r="J181" s="423"/>
      <c r="K181" s="424">
        <v>0</v>
      </c>
      <c r="L181" s="422">
        <v>0</v>
      </c>
      <c r="M181" s="422">
        <v>0</v>
      </c>
      <c r="N181" s="422">
        <v>0</v>
      </c>
      <c r="O181" s="422">
        <v>0</v>
      </c>
      <c r="P181" s="422">
        <v>0</v>
      </c>
      <c r="Q181" s="422">
        <v>0</v>
      </c>
      <c r="R181" s="422">
        <v>0</v>
      </c>
      <c r="S181" s="422">
        <v>0</v>
      </c>
      <c r="T181" s="422"/>
      <c r="U181" s="422"/>
      <c r="V181" s="422">
        <f>_xlfn.IFNA(VLOOKUP(A181,[5]進出口值表查詢結果!$C$11:$F$68,4,0),-[4]整車!$B$22)</f>
        <v>0</v>
      </c>
      <c r="W181" s="422">
        <f>_xlfn.IFNA(VLOOKUP(A181,[5]進出口值表查詢結果!$C$11:$F$68,3,0),-[4]整車!$B$22)</f>
        <v>0</v>
      </c>
      <c r="X181" s="422">
        <f>_xlfn.IFNA(VLOOKUP(A181,[6]進出口值表查詢結果!$C$11:$F$75,4,0),-[4]整車!$B$22)</f>
        <v>0</v>
      </c>
      <c r="Y181" s="422">
        <f>_xlfn.IFNA(VLOOKUP(A181,[6]進出口值表查詢結果!$C$11:$F$75,3,0),-[4]整車!$B$22)</f>
        <v>0</v>
      </c>
      <c r="Z181" s="416">
        <f t="shared" si="29"/>
        <v>0</v>
      </c>
      <c r="AA181" s="416">
        <f t="shared" si="30"/>
        <v>0</v>
      </c>
    </row>
    <row r="182" spans="1:27">
      <c r="A182" s="458" t="s">
        <v>365</v>
      </c>
      <c r="B182" s="422"/>
      <c r="C182" s="422"/>
      <c r="D182" s="422"/>
      <c r="E182" s="422"/>
      <c r="F182" s="422">
        <v>0</v>
      </c>
      <c r="G182" s="422"/>
      <c r="H182" s="422">
        <v>0</v>
      </c>
      <c r="I182" s="422">
        <v>0</v>
      </c>
      <c r="J182" s="423"/>
      <c r="K182" s="424">
        <v>0</v>
      </c>
      <c r="L182" s="422">
        <v>0</v>
      </c>
      <c r="M182" s="422">
        <v>0</v>
      </c>
      <c r="N182" s="422">
        <v>0</v>
      </c>
      <c r="O182" s="422">
        <v>0</v>
      </c>
      <c r="P182" s="422">
        <v>0</v>
      </c>
      <c r="Q182" s="422">
        <v>0</v>
      </c>
      <c r="R182" s="422">
        <v>0</v>
      </c>
      <c r="S182" s="422">
        <v>0</v>
      </c>
      <c r="T182" s="422"/>
      <c r="U182" s="422"/>
      <c r="V182" s="422">
        <f>_xlfn.IFNA(VLOOKUP(A182,[5]進出口值表查詢結果!$C$11:$F$68,4,0),-[4]整車!$B$22)</f>
        <v>0</v>
      </c>
      <c r="W182" s="422">
        <f>_xlfn.IFNA(VLOOKUP(A182,[5]進出口值表查詢結果!$C$11:$F$68,3,0),-[4]整車!$B$22)</f>
        <v>0</v>
      </c>
      <c r="X182" s="422">
        <f>_xlfn.IFNA(VLOOKUP(A182,[6]進出口值表查詢結果!$C$11:$F$75,4,0),-[4]整車!$B$22)</f>
        <v>0</v>
      </c>
      <c r="Y182" s="422">
        <f>_xlfn.IFNA(VLOOKUP(A182,[6]進出口值表查詢結果!$C$11:$F$75,3,0),-[4]整車!$B$22)</f>
        <v>0</v>
      </c>
      <c r="Z182" s="416">
        <f t="shared" si="29"/>
        <v>0</v>
      </c>
      <c r="AA182" s="416">
        <f t="shared" si="30"/>
        <v>0</v>
      </c>
    </row>
    <row r="183" spans="1:27">
      <c r="A183" s="458" t="s">
        <v>366</v>
      </c>
      <c r="B183" s="422"/>
      <c r="C183" s="422"/>
      <c r="D183" s="422"/>
      <c r="E183" s="422"/>
      <c r="F183" s="422">
        <v>0</v>
      </c>
      <c r="G183" s="422"/>
      <c r="H183" s="422">
        <v>0</v>
      </c>
      <c r="I183" s="422">
        <v>0</v>
      </c>
      <c r="J183" s="423"/>
      <c r="K183" s="424">
        <v>0</v>
      </c>
      <c r="L183" s="422">
        <v>0</v>
      </c>
      <c r="M183" s="422">
        <v>0</v>
      </c>
      <c r="N183" s="422">
        <v>0</v>
      </c>
      <c r="O183" s="422">
        <v>0</v>
      </c>
      <c r="P183" s="422">
        <v>0</v>
      </c>
      <c r="Q183" s="422">
        <v>0</v>
      </c>
      <c r="R183" s="422">
        <v>0</v>
      </c>
      <c r="S183" s="422">
        <v>0</v>
      </c>
      <c r="T183" s="422"/>
      <c r="U183" s="422"/>
      <c r="V183" s="422">
        <f>_xlfn.IFNA(VLOOKUP(A183,[5]進出口值表查詢結果!$C$11:$F$68,4,0),-[4]整車!$B$22)</f>
        <v>0</v>
      </c>
      <c r="W183" s="422">
        <f>_xlfn.IFNA(VLOOKUP(A183,[5]進出口值表查詢結果!$C$11:$F$68,3,0),-[4]整車!$B$22)</f>
        <v>0</v>
      </c>
      <c r="X183" s="422">
        <f>_xlfn.IFNA(VLOOKUP(A183,[6]進出口值表查詢結果!$C$11:$F$75,4,0),-[4]整車!$B$22)</f>
        <v>0</v>
      </c>
      <c r="Y183" s="422">
        <f>_xlfn.IFNA(VLOOKUP(A183,[6]進出口值表查詢結果!$C$11:$F$75,3,0),-[4]整車!$B$22)</f>
        <v>0</v>
      </c>
      <c r="Z183" s="416">
        <f t="shared" si="29"/>
        <v>0</v>
      </c>
      <c r="AA183" s="416">
        <f t="shared" si="30"/>
        <v>0</v>
      </c>
    </row>
    <row r="184" spans="1:27">
      <c r="A184" s="458" t="s">
        <v>367</v>
      </c>
      <c r="B184" s="422"/>
      <c r="C184" s="422"/>
      <c r="D184" s="422"/>
      <c r="E184" s="422"/>
      <c r="F184" s="422">
        <v>0</v>
      </c>
      <c r="G184" s="422"/>
      <c r="H184" s="422">
        <v>0</v>
      </c>
      <c r="I184" s="422">
        <v>0</v>
      </c>
      <c r="J184" s="423"/>
      <c r="K184" s="424">
        <v>0</v>
      </c>
      <c r="L184" s="422">
        <v>0</v>
      </c>
      <c r="M184" s="422">
        <v>0</v>
      </c>
      <c r="N184" s="422">
        <v>0</v>
      </c>
      <c r="O184" s="422">
        <v>0</v>
      </c>
      <c r="P184" s="422">
        <v>0</v>
      </c>
      <c r="Q184" s="422">
        <v>0</v>
      </c>
      <c r="R184" s="422">
        <v>0</v>
      </c>
      <c r="S184" s="422">
        <v>0</v>
      </c>
      <c r="T184" s="422"/>
      <c r="U184" s="422"/>
      <c r="V184" s="422">
        <f>_xlfn.IFNA(VLOOKUP(A184,[5]進出口值表查詢結果!$C$11:$F$68,4,0),-[4]整車!$B$22)</f>
        <v>0</v>
      </c>
      <c r="W184" s="422">
        <f>_xlfn.IFNA(VLOOKUP(A184,[5]進出口值表查詢結果!$C$11:$F$68,3,0),-[4]整車!$B$22)</f>
        <v>0</v>
      </c>
      <c r="X184" s="422">
        <f>_xlfn.IFNA(VLOOKUP(A184,[6]進出口值表查詢結果!$C$11:$F$75,4,0),-[4]整車!$B$22)</f>
        <v>0</v>
      </c>
      <c r="Y184" s="422">
        <f>_xlfn.IFNA(VLOOKUP(A184,[6]進出口值表查詢結果!$C$11:$F$75,3,0),-[4]整車!$B$22)</f>
        <v>0</v>
      </c>
      <c r="Z184" s="416">
        <f t="shared" si="29"/>
        <v>0</v>
      </c>
      <c r="AA184" s="416">
        <f t="shared" si="30"/>
        <v>0</v>
      </c>
    </row>
    <row r="185" spans="1:27">
      <c r="A185" s="458" t="s">
        <v>368</v>
      </c>
      <c r="B185" s="422"/>
      <c r="C185" s="422"/>
      <c r="D185" s="422"/>
      <c r="E185" s="422"/>
      <c r="F185" s="422">
        <v>0</v>
      </c>
      <c r="G185" s="422"/>
      <c r="H185" s="422">
        <v>0</v>
      </c>
      <c r="I185" s="422">
        <v>0</v>
      </c>
      <c r="J185" s="423"/>
      <c r="K185" s="424">
        <v>0</v>
      </c>
      <c r="L185" s="422">
        <v>0</v>
      </c>
      <c r="M185" s="422">
        <v>0</v>
      </c>
      <c r="N185" s="422">
        <v>0</v>
      </c>
      <c r="O185" s="422">
        <v>0</v>
      </c>
      <c r="P185" s="422">
        <v>0</v>
      </c>
      <c r="Q185" s="422">
        <v>0</v>
      </c>
      <c r="R185" s="422">
        <v>0</v>
      </c>
      <c r="S185" s="422">
        <v>0</v>
      </c>
      <c r="T185" s="422"/>
      <c r="U185" s="422"/>
      <c r="V185" s="422">
        <f>_xlfn.IFNA(VLOOKUP(A185,[5]進出口值表查詢結果!$C$11:$F$68,4,0),-[4]整車!$B$22)</f>
        <v>0</v>
      </c>
      <c r="W185" s="422">
        <f>_xlfn.IFNA(VLOOKUP(A185,[5]進出口值表查詢結果!$C$11:$F$68,3,0),-[4]整車!$B$22)</f>
        <v>0</v>
      </c>
      <c r="X185" s="422">
        <f>_xlfn.IFNA(VLOOKUP(A185,[6]進出口值表查詢結果!$C$11:$F$75,4,0),-[4]整車!$B$22)</f>
        <v>0</v>
      </c>
      <c r="Y185" s="422">
        <f>_xlfn.IFNA(VLOOKUP(A185,[6]進出口值表查詢結果!$C$11:$F$75,3,0),-[4]整車!$B$22)</f>
        <v>0</v>
      </c>
      <c r="Z185" s="416">
        <f t="shared" si="29"/>
        <v>0</v>
      </c>
      <c r="AA185" s="416">
        <f t="shared" si="30"/>
        <v>0</v>
      </c>
    </row>
    <row r="186" spans="1:27">
      <c r="A186" s="458" t="s">
        <v>369</v>
      </c>
      <c r="B186" s="422"/>
      <c r="C186" s="422"/>
      <c r="D186" s="422"/>
      <c r="E186" s="422"/>
      <c r="F186" s="422">
        <v>0</v>
      </c>
      <c r="G186" s="422"/>
      <c r="H186" s="422">
        <v>0</v>
      </c>
      <c r="I186" s="422">
        <v>0</v>
      </c>
      <c r="J186" s="423"/>
      <c r="K186" s="424"/>
      <c r="L186" s="422">
        <v>0</v>
      </c>
      <c r="M186" s="422">
        <v>0</v>
      </c>
      <c r="N186" s="422">
        <v>0</v>
      </c>
      <c r="O186" s="422">
        <v>0</v>
      </c>
      <c r="P186" s="422">
        <v>0</v>
      </c>
      <c r="Q186" s="422">
        <v>0</v>
      </c>
      <c r="R186" s="422">
        <v>0</v>
      </c>
      <c r="S186" s="422">
        <v>0</v>
      </c>
      <c r="T186" s="422"/>
      <c r="U186" s="422"/>
      <c r="V186" s="422">
        <f>_xlfn.IFNA(VLOOKUP(A186,[5]進出口值表查詢結果!$C$11:$F$68,4,0),-[4]整車!$B$22)</f>
        <v>0</v>
      </c>
      <c r="W186" s="422">
        <f>_xlfn.IFNA(VLOOKUP(A186,[5]進出口值表查詢結果!$C$11:$F$68,3,0),-[4]整車!$B$22)</f>
        <v>0</v>
      </c>
      <c r="X186" s="422">
        <f>_xlfn.IFNA(VLOOKUP(A186,[6]進出口值表查詢結果!$C$11:$F$75,4,0),-[4]整車!$B$22)</f>
        <v>0</v>
      </c>
      <c r="Y186" s="422">
        <f>_xlfn.IFNA(VLOOKUP(A186,[6]進出口值表查詢結果!$C$11:$F$75,3,0),-[4]整車!$B$22)</f>
        <v>0</v>
      </c>
      <c r="Z186" s="416">
        <f t="shared" ref="Z186:Z200" si="31">SUM(B186,D186,F186,H186,J186,L186,N186,P186,R186,T186,V186,X186)</f>
        <v>0</v>
      </c>
      <c r="AA186" s="416"/>
    </row>
    <row r="187" spans="1:27">
      <c r="A187" s="458" t="s">
        <v>370</v>
      </c>
      <c r="B187" s="422"/>
      <c r="C187" s="422"/>
      <c r="D187" s="422"/>
      <c r="E187" s="422"/>
      <c r="F187" s="422">
        <v>0</v>
      </c>
      <c r="G187" s="422"/>
      <c r="H187" s="422">
        <v>0</v>
      </c>
      <c r="I187" s="422">
        <v>0</v>
      </c>
      <c r="J187" s="423"/>
      <c r="K187" s="424">
        <v>0</v>
      </c>
      <c r="L187" s="422">
        <v>0</v>
      </c>
      <c r="M187" s="422">
        <v>0</v>
      </c>
      <c r="N187" s="422">
        <v>0</v>
      </c>
      <c r="O187" s="422">
        <v>0</v>
      </c>
      <c r="P187" s="422">
        <v>0</v>
      </c>
      <c r="Q187" s="422">
        <v>0</v>
      </c>
      <c r="R187" s="422">
        <v>0</v>
      </c>
      <c r="S187" s="422">
        <v>0</v>
      </c>
      <c r="T187" s="422"/>
      <c r="U187" s="422"/>
      <c r="V187" s="422">
        <f>_xlfn.IFNA(VLOOKUP(A187,[5]進出口值表查詢結果!$C$11:$F$68,4,0),-[4]整車!$B$22)</f>
        <v>0</v>
      </c>
      <c r="W187" s="422">
        <f>_xlfn.IFNA(VLOOKUP(A187,[5]進出口值表查詢結果!$C$11:$F$68,3,0),-[4]整車!$B$22)</f>
        <v>0</v>
      </c>
      <c r="X187" s="422">
        <f>_xlfn.IFNA(VLOOKUP(A187,[6]進出口值表查詢結果!$C$11:$F$75,4,0),-[4]整車!$B$22)</f>
        <v>0</v>
      </c>
      <c r="Y187" s="422">
        <f>_xlfn.IFNA(VLOOKUP(A187,[6]進出口值表查詢結果!$C$11:$F$75,3,0),-[4]整車!$B$22)</f>
        <v>0</v>
      </c>
      <c r="Z187" s="416">
        <f t="shared" si="31"/>
        <v>0</v>
      </c>
      <c r="AA187" s="416">
        <f t="shared" ref="AA187:AA200" si="32">SUM(C187,E187,G187,I187,K187,M187,O187,Q187,S187,U187,W187,Y187)</f>
        <v>0</v>
      </c>
    </row>
    <row r="188" spans="1:27">
      <c r="A188" s="458" t="s">
        <v>371</v>
      </c>
      <c r="B188" s="422"/>
      <c r="C188" s="422"/>
      <c r="D188" s="422"/>
      <c r="E188" s="422"/>
      <c r="F188" s="422">
        <v>0</v>
      </c>
      <c r="G188" s="422"/>
      <c r="H188" s="422">
        <v>0</v>
      </c>
      <c r="I188" s="422">
        <v>0</v>
      </c>
      <c r="J188" s="423"/>
      <c r="K188" s="424">
        <v>0</v>
      </c>
      <c r="L188" s="422">
        <v>0</v>
      </c>
      <c r="M188" s="422">
        <v>0</v>
      </c>
      <c r="N188" s="422">
        <v>0</v>
      </c>
      <c r="O188" s="422">
        <v>0</v>
      </c>
      <c r="P188" s="422">
        <v>0</v>
      </c>
      <c r="Q188" s="422">
        <v>0</v>
      </c>
      <c r="R188" s="422">
        <v>0</v>
      </c>
      <c r="S188" s="422">
        <v>0</v>
      </c>
      <c r="T188" s="422"/>
      <c r="U188" s="422"/>
      <c r="V188" s="422">
        <f>_xlfn.IFNA(VLOOKUP(A188,[5]進出口值表查詢結果!$C$11:$F$68,4,0),-[4]整車!$B$22)</f>
        <v>0</v>
      </c>
      <c r="W188" s="422">
        <f>_xlfn.IFNA(VLOOKUP(A188,[5]進出口值表查詢結果!$C$11:$F$68,3,0),-[4]整車!$B$22)</f>
        <v>0</v>
      </c>
      <c r="X188" s="422">
        <f>_xlfn.IFNA(VLOOKUP(A188,[6]進出口值表查詢結果!$C$11:$F$75,4,0),-[4]整車!$B$22)</f>
        <v>0</v>
      </c>
      <c r="Y188" s="422">
        <f>_xlfn.IFNA(VLOOKUP(A188,[6]進出口值表查詢結果!$C$11:$F$75,3,0),-[4]整車!$B$22)</f>
        <v>0</v>
      </c>
      <c r="Z188" s="416">
        <f t="shared" si="31"/>
        <v>0</v>
      </c>
      <c r="AA188" s="416">
        <f t="shared" si="32"/>
        <v>0</v>
      </c>
    </row>
    <row r="189" spans="1:27">
      <c r="A189" s="464" t="s">
        <v>372</v>
      </c>
      <c r="B189" s="443">
        <f t="shared" ref="B189:Y189" si="33">SUM(B190:B203)</f>
        <v>0</v>
      </c>
      <c r="C189" s="443">
        <f t="shared" si="33"/>
        <v>0</v>
      </c>
      <c r="D189" s="443">
        <f t="shared" si="33"/>
        <v>0</v>
      </c>
      <c r="E189" s="443">
        <f t="shared" si="33"/>
        <v>0</v>
      </c>
      <c r="F189" s="443">
        <f t="shared" si="33"/>
        <v>0</v>
      </c>
      <c r="G189" s="443">
        <f t="shared" si="33"/>
        <v>0</v>
      </c>
      <c r="H189" s="443">
        <f t="shared" si="33"/>
        <v>10</v>
      </c>
      <c r="I189" s="443">
        <f t="shared" si="33"/>
        <v>1060</v>
      </c>
      <c r="J189" s="444">
        <f t="shared" si="33"/>
        <v>0</v>
      </c>
      <c r="K189" s="445">
        <f t="shared" si="33"/>
        <v>0</v>
      </c>
      <c r="L189" s="443">
        <f t="shared" si="33"/>
        <v>10</v>
      </c>
      <c r="M189" s="443">
        <f t="shared" si="33"/>
        <v>1039</v>
      </c>
      <c r="N189" s="443">
        <f t="shared" si="33"/>
        <v>1</v>
      </c>
      <c r="O189" s="443">
        <f t="shared" si="33"/>
        <v>2028</v>
      </c>
      <c r="P189" s="443">
        <f t="shared" si="33"/>
        <v>0</v>
      </c>
      <c r="Q189" s="443">
        <f t="shared" si="33"/>
        <v>0</v>
      </c>
      <c r="R189" s="443">
        <f t="shared" si="33"/>
        <v>5</v>
      </c>
      <c r="S189" s="443">
        <f t="shared" si="33"/>
        <v>543</v>
      </c>
      <c r="T189" s="443">
        <f t="shared" si="33"/>
        <v>19</v>
      </c>
      <c r="U189" s="443">
        <f t="shared" si="33"/>
        <v>12461</v>
      </c>
      <c r="V189" s="443">
        <f>SUM(V190:V203)</f>
        <v>7</v>
      </c>
      <c r="W189" s="443">
        <f>SUM(W190:W203)</f>
        <v>8701</v>
      </c>
      <c r="X189" s="443">
        <f t="shared" si="33"/>
        <v>0</v>
      </c>
      <c r="Y189" s="443">
        <f t="shared" si="33"/>
        <v>0</v>
      </c>
      <c r="Z189" s="429">
        <f t="shared" si="31"/>
        <v>52</v>
      </c>
      <c r="AA189" s="429">
        <f t="shared" si="32"/>
        <v>25832</v>
      </c>
    </row>
    <row r="190" spans="1:27">
      <c r="A190" s="425" t="s">
        <v>145</v>
      </c>
      <c r="B190" s="422"/>
      <c r="C190" s="422"/>
      <c r="D190" s="422">
        <v>0</v>
      </c>
      <c r="E190" s="422">
        <v>0</v>
      </c>
      <c r="F190" s="422">
        <v>0</v>
      </c>
      <c r="G190" s="422"/>
      <c r="H190" s="422">
        <v>0</v>
      </c>
      <c r="I190" s="422">
        <v>0</v>
      </c>
      <c r="J190" s="423">
        <v>0</v>
      </c>
      <c r="K190" s="424">
        <v>0</v>
      </c>
      <c r="L190" s="422">
        <v>0</v>
      </c>
      <c r="M190" s="422">
        <v>0</v>
      </c>
      <c r="N190" s="422">
        <v>0</v>
      </c>
      <c r="O190" s="422">
        <v>0</v>
      </c>
      <c r="P190" s="422">
        <v>0</v>
      </c>
      <c r="Q190" s="422">
        <v>0</v>
      </c>
      <c r="R190" s="422">
        <v>0</v>
      </c>
      <c r="S190" s="422">
        <v>0</v>
      </c>
      <c r="T190" s="422"/>
      <c r="U190" s="422"/>
      <c r="V190" s="422">
        <f>_xlfn.IFNA(VLOOKUP(A190,[5]進出口值表查詢結果!$C$11:$F$68,4,0),-[4]整車!$B$22)</f>
        <v>0</v>
      </c>
      <c r="W190" s="422">
        <f>_xlfn.IFNA(VLOOKUP(A190,[5]進出口值表查詢結果!$C$11:$F$68,3,0),-[4]整車!$B$22)</f>
        <v>0</v>
      </c>
      <c r="X190" s="422">
        <f>_xlfn.IFNA(VLOOKUP(A190,[6]進出口值表查詢結果!$C$11:$F$80,4,0),-[4]整車!$B$22)</f>
        <v>0</v>
      </c>
      <c r="Y190" s="422">
        <f>_xlfn.IFNA(VLOOKUP(A190,[6]進出口值表查詢結果!$C$11:$F$80,3,0),-[4]整車!$B$22)</f>
        <v>0</v>
      </c>
      <c r="Z190" s="416">
        <f t="shared" si="31"/>
        <v>0</v>
      </c>
      <c r="AA190" s="416">
        <f t="shared" si="32"/>
        <v>0</v>
      </c>
    </row>
    <row r="191" spans="1:27">
      <c r="A191" s="427" t="s">
        <v>373</v>
      </c>
      <c r="B191" s="422"/>
      <c r="C191" s="422"/>
      <c r="D191" s="422"/>
      <c r="E191" s="422">
        <v>0</v>
      </c>
      <c r="F191" s="422">
        <v>0</v>
      </c>
      <c r="G191" s="422"/>
      <c r="H191" s="422">
        <v>0</v>
      </c>
      <c r="I191" s="422">
        <v>0</v>
      </c>
      <c r="J191" s="423">
        <v>0</v>
      </c>
      <c r="K191" s="424">
        <v>0</v>
      </c>
      <c r="L191" s="422">
        <v>0</v>
      </c>
      <c r="M191" s="422">
        <v>0</v>
      </c>
      <c r="N191" s="422">
        <v>0</v>
      </c>
      <c r="O191" s="422">
        <v>0</v>
      </c>
      <c r="P191" s="422">
        <v>0</v>
      </c>
      <c r="Q191" s="422">
        <v>0</v>
      </c>
      <c r="R191" s="422">
        <v>0</v>
      </c>
      <c r="S191" s="422">
        <v>0</v>
      </c>
      <c r="T191" s="422"/>
      <c r="U191" s="422"/>
      <c r="V191" s="422">
        <f>_xlfn.IFNA(VLOOKUP(A191,[5]進出口值表查詢結果!$C$11:$F$68,4,0),-[4]整車!$B$22)</f>
        <v>0</v>
      </c>
      <c r="W191" s="422">
        <f>_xlfn.IFNA(VLOOKUP(A191,[5]進出口值表查詢結果!$C$11:$F$68,3,0),-[4]整車!$B$22)</f>
        <v>0</v>
      </c>
      <c r="X191" s="422">
        <f>_xlfn.IFNA(VLOOKUP(A191,[6]進出口值表查詢結果!$C$11:$F$80,4,0),-[4]整車!$B$22)</f>
        <v>0</v>
      </c>
      <c r="Y191" s="422">
        <f>_xlfn.IFNA(VLOOKUP(A191,[6]進出口值表查詢結果!$C$11:$F$80,3,0),-[4]整車!$B$22)</f>
        <v>0</v>
      </c>
      <c r="Z191" s="416">
        <f t="shared" si="31"/>
        <v>0</v>
      </c>
      <c r="AA191" s="416">
        <f t="shared" si="32"/>
        <v>0</v>
      </c>
    </row>
    <row r="192" spans="1:27">
      <c r="A192" s="425" t="s">
        <v>374</v>
      </c>
      <c r="B192" s="422"/>
      <c r="C192" s="422"/>
      <c r="D192" s="422"/>
      <c r="E192" s="422">
        <v>0</v>
      </c>
      <c r="F192" s="422">
        <v>0</v>
      </c>
      <c r="G192" s="422"/>
      <c r="H192" s="422">
        <v>0</v>
      </c>
      <c r="I192" s="422">
        <v>0</v>
      </c>
      <c r="J192" s="423">
        <v>0</v>
      </c>
      <c r="K192" s="424">
        <v>0</v>
      </c>
      <c r="L192" s="422">
        <v>0</v>
      </c>
      <c r="M192" s="422">
        <v>0</v>
      </c>
      <c r="N192" s="422">
        <v>0</v>
      </c>
      <c r="O192" s="422">
        <v>0</v>
      </c>
      <c r="P192" s="422">
        <v>0</v>
      </c>
      <c r="Q192" s="422">
        <v>0</v>
      </c>
      <c r="R192" s="422">
        <v>0</v>
      </c>
      <c r="S192" s="422">
        <v>0</v>
      </c>
      <c r="T192" s="422"/>
      <c r="U192" s="422"/>
      <c r="V192" s="422">
        <f>_xlfn.IFNA(VLOOKUP(A192,[5]進出口值表查詢結果!$C$11:$F$68,4,0),-[4]整車!$B$22)</f>
        <v>0</v>
      </c>
      <c r="W192" s="422">
        <f>_xlfn.IFNA(VLOOKUP(A192,[5]進出口值表查詢結果!$C$11:$F$68,3,0),-[4]整車!$B$22)</f>
        <v>0</v>
      </c>
      <c r="X192" s="422">
        <f>_xlfn.IFNA(VLOOKUP(A192,[6]進出口值表查詢結果!$C$11:$F$80,4,0),-[4]整車!$B$22)</f>
        <v>0</v>
      </c>
      <c r="Y192" s="422">
        <f>_xlfn.IFNA(VLOOKUP(A192,[6]進出口值表查詢結果!$C$11:$F$80,3,0),-[4]整車!$B$22)</f>
        <v>0</v>
      </c>
      <c r="Z192" s="416">
        <f t="shared" si="31"/>
        <v>0</v>
      </c>
      <c r="AA192" s="416">
        <f t="shared" si="32"/>
        <v>0</v>
      </c>
    </row>
    <row r="193" spans="1:27">
      <c r="A193" s="447" t="s">
        <v>375</v>
      </c>
      <c r="B193" s="422"/>
      <c r="C193" s="422"/>
      <c r="D193" s="422"/>
      <c r="E193" s="422">
        <v>0</v>
      </c>
      <c r="F193" s="422">
        <v>0</v>
      </c>
      <c r="G193" s="422"/>
      <c r="H193" s="422">
        <v>10</v>
      </c>
      <c r="I193" s="422">
        <v>1060</v>
      </c>
      <c r="J193" s="423">
        <v>0</v>
      </c>
      <c r="K193" s="424">
        <v>0</v>
      </c>
      <c r="L193" s="422">
        <v>0</v>
      </c>
      <c r="M193" s="422">
        <v>0</v>
      </c>
      <c r="N193" s="422">
        <v>0</v>
      </c>
      <c r="O193" s="422">
        <v>0</v>
      </c>
      <c r="P193" s="422">
        <v>0</v>
      </c>
      <c r="Q193" s="422">
        <v>0</v>
      </c>
      <c r="R193" s="422">
        <v>0</v>
      </c>
      <c r="S193" s="422">
        <v>0</v>
      </c>
      <c r="T193" s="422"/>
      <c r="U193" s="422"/>
      <c r="V193" s="422">
        <f>_xlfn.IFNA(VLOOKUP(A193,[5]進出口值表查詢結果!$C$11:$F$68,4,0),-[4]整車!$B$22)</f>
        <v>0</v>
      </c>
      <c r="W193" s="422">
        <f>_xlfn.IFNA(VLOOKUP(A193,[5]進出口值表查詢結果!$C$11:$F$68,3,0),-[4]整車!$B$22)</f>
        <v>0</v>
      </c>
      <c r="X193" s="422">
        <f>_xlfn.IFNA(VLOOKUP(A193,[6]進出口值表查詢結果!$C$11:$F$80,4,0),-[4]整車!$B$22)</f>
        <v>0</v>
      </c>
      <c r="Y193" s="422">
        <f>_xlfn.IFNA(VLOOKUP(A193,[6]進出口值表查詢結果!$C$11:$F$80,3,0),-[4]整車!$B$22)</f>
        <v>0</v>
      </c>
      <c r="Z193" s="416">
        <f t="shared" si="31"/>
        <v>10</v>
      </c>
      <c r="AA193" s="416">
        <f t="shared" si="32"/>
        <v>1060</v>
      </c>
    </row>
    <row r="194" spans="1:27">
      <c r="A194" s="458" t="s">
        <v>376</v>
      </c>
      <c r="B194" s="422"/>
      <c r="C194" s="422"/>
      <c r="D194" s="422"/>
      <c r="E194" s="422">
        <v>0</v>
      </c>
      <c r="F194" s="422">
        <v>0</v>
      </c>
      <c r="G194" s="422"/>
      <c r="H194" s="422">
        <v>0</v>
      </c>
      <c r="I194" s="422">
        <v>0</v>
      </c>
      <c r="J194" s="423">
        <v>0</v>
      </c>
      <c r="K194" s="424">
        <v>0</v>
      </c>
      <c r="L194" s="422">
        <v>0</v>
      </c>
      <c r="M194" s="422">
        <v>0</v>
      </c>
      <c r="N194" s="422">
        <v>0</v>
      </c>
      <c r="O194" s="422">
        <v>0</v>
      </c>
      <c r="P194" s="422">
        <v>0</v>
      </c>
      <c r="Q194" s="422">
        <v>0</v>
      </c>
      <c r="R194" s="422">
        <v>0</v>
      </c>
      <c r="S194" s="422">
        <v>0</v>
      </c>
      <c r="T194" s="422"/>
      <c r="U194" s="422"/>
      <c r="V194" s="422">
        <f>_xlfn.IFNA(VLOOKUP(A194,[5]進出口值表查詢結果!$C$11:$F$68,4,0),-[4]整車!$B$22)</f>
        <v>0</v>
      </c>
      <c r="W194" s="422">
        <f>_xlfn.IFNA(VLOOKUP(A194,[5]進出口值表查詢結果!$C$11:$F$68,3,0),-[4]整車!$B$22)</f>
        <v>0</v>
      </c>
      <c r="X194" s="422">
        <f>_xlfn.IFNA(VLOOKUP(A194,[6]進出口值表查詢結果!$C$11:$F$80,4,0),-[4]整車!$B$22)</f>
        <v>0</v>
      </c>
      <c r="Y194" s="422">
        <f>_xlfn.IFNA(VLOOKUP(A194,[6]進出口值表查詢結果!$C$11:$F$80,3,0),-[4]整車!$B$22)</f>
        <v>0</v>
      </c>
      <c r="Z194" s="416">
        <f t="shared" si="31"/>
        <v>0</v>
      </c>
      <c r="AA194" s="416">
        <f t="shared" si="32"/>
        <v>0</v>
      </c>
    </row>
    <row r="195" spans="1:27">
      <c r="A195" s="425" t="s">
        <v>146</v>
      </c>
      <c r="B195" s="422"/>
      <c r="C195" s="422"/>
      <c r="D195" s="422"/>
      <c r="E195" s="422">
        <v>0</v>
      </c>
      <c r="F195" s="422">
        <v>0</v>
      </c>
      <c r="G195" s="422"/>
      <c r="H195" s="422">
        <v>0</v>
      </c>
      <c r="I195" s="422">
        <v>0</v>
      </c>
      <c r="J195" s="423">
        <v>0</v>
      </c>
      <c r="K195" s="424">
        <v>0</v>
      </c>
      <c r="L195" s="422">
        <v>0</v>
      </c>
      <c r="M195" s="422">
        <v>0</v>
      </c>
      <c r="N195" s="422">
        <v>0</v>
      </c>
      <c r="O195" s="422">
        <v>0</v>
      </c>
      <c r="P195" s="422">
        <v>0</v>
      </c>
      <c r="Q195" s="422">
        <v>0</v>
      </c>
      <c r="R195" s="422">
        <v>0</v>
      </c>
      <c r="S195" s="422">
        <v>0</v>
      </c>
      <c r="T195" s="422"/>
      <c r="U195" s="422"/>
      <c r="V195" s="422">
        <f>_xlfn.IFNA(VLOOKUP(A195,[5]進出口值表查詢結果!$C$11:$F$68,4,0),-[4]整車!$B$22)</f>
        <v>0</v>
      </c>
      <c r="W195" s="422">
        <f>_xlfn.IFNA(VLOOKUP(A195,[5]進出口值表查詢結果!$C$11:$F$68,3,0),-[4]整車!$B$22)</f>
        <v>0</v>
      </c>
      <c r="X195" s="422">
        <f>_xlfn.IFNA(VLOOKUP(A195,[6]進出口值表查詢結果!$C$11:$F$80,4,0),-[4]整車!$B$22)</f>
        <v>0</v>
      </c>
      <c r="Y195" s="422">
        <f>_xlfn.IFNA(VLOOKUP(A195,[6]進出口值表查詢結果!$C$11:$F$80,3,0),-[4]整車!$B$22)</f>
        <v>0</v>
      </c>
      <c r="Z195" s="416">
        <f t="shared" si="31"/>
        <v>0</v>
      </c>
      <c r="AA195" s="416">
        <f t="shared" si="32"/>
        <v>0</v>
      </c>
    </row>
    <row r="196" spans="1:27">
      <c r="A196" s="458" t="s">
        <v>377</v>
      </c>
      <c r="B196" s="422"/>
      <c r="C196" s="422"/>
      <c r="D196" s="422"/>
      <c r="E196" s="422">
        <v>0</v>
      </c>
      <c r="F196" s="422">
        <v>0</v>
      </c>
      <c r="G196" s="422"/>
      <c r="H196" s="422">
        <v>0</v>
      </c>
      <c r="I196" s="422">
        <v>0</v>
      </c>
      <c r="J196" s="423">
        <v>0</v>
      </c>
      <c r="K196" s="424">
        <v>0</v>
      </c>
      <c r="L196" s="422">
        <v>0</v>
      </c>
      <c r="M196" s="422">
        <v>0</v>
      </c>
      <c r="N196" s="422">
        <v>0</v>
      </c>
      <c r="O196" s="422">
        <v>0</v>
      </c>
      <c r="P196" s="422">
        <v>0</v>
      </c>
      <c r="Q196" s="422">
        <v>0</v>
      </c>
      <c r="R196" s="422">
        <v>0</v>
      </c>
      <c r="S196" s="422">
        <v>0</v>
      </c>
      <c r="T196" s="422">
        <v>19</v>
      </c>
      <c r="U196" s="422">
        <v>12461</v>
      </c>
      <c r="V196" s="422">
        <f>_xlfn.IFNA(VLOOKUP(A196,[5]進出口值表查詢結果!$C$11:$F$68,4,0),-[4]整車!$B$22)</f>
        <v>0</v>
      </c>
      <c r="W196" s="422">
        <f>_xlfn.IFNA(VLOOKUP(A196,[5]進出口值表查詢結果!$C$11:$F$68,3,0),-[4]整車!$B$22)</f>
        <v>0</v>
      </c>
      <c r="X196" s="422">
        <f>_xlfn.IFNA(VLOOKUP(A196,[6]進出口值表查詢結果!$C$11:$F$80,4,0),-[4]整車!$B$22)</f>
        <v>0</v>
      </c>
      <c r="Y196" s="422">
        <f>_xlfn.IFNA(VLOOKUP(A196,[6]進出口值表查詢結果!$C$11:$F$80,3,0),-[4]整車!$B$22)</f>
        <v>0</v>
      </c>
      <c r="Z196" s="416">
        <f t="shared" si="31"/>
        <v>19</v>
      </c>
      <c r="AA196" s="416">
        <f t="shared" si="32"/>
        <v>12461</v>
      </c>
    </row>
    <row r="197" spans="1:27">
      <c r="A197" s="458" t="s">
        <v>378</v>
      </c>
      <c r="B197" s="422"/>
      <c r="C197" s="422"/>
      <c r="D197" s="422"/>
      <c r="E197" s="422">
        <v>0</v>
      </c>
      <c r="F197" s="422">
        <v>0</v>
      </c>
      <c r="G197" s="422"/>
      <c r="H197" s="422">
        <v>0</v>
      </c>
      <c r="I197" s="422">
        <v>0</v>
      </c>
      <c r="J197" s="423">
        <v>0</v>
      </c>
      <c r="K197" s="424">
        <v>0</v>
      </c>
      <c r="L197" s="422">
        <v>0</v>
      </c>
      <c r="M197" s="422">
        <v>0</v>
      </c>
      <c r="N197" s="422">
        <v>0</v>
      </c>
      <c r="O197" s="422">
        <v>0</v>
      </c>
      <c r="P197" s="422">
        <v>0</v>
      </c>
      <c r="Q197" s="422">
        <v>0</v>
      </c>
      <c r="R197" s="422">
        <v>0</v>
      </c>
      <c r="S197" s="422">
        <v>0</v>
      </c>
      <c r="T197" s="422"/>
      <c r="U197" s="422"/>
      <c r="V197" s="422">
        <f>_xlfn.IFNA(VLOOKUP(A197,[5]進出口值表查詢結果!$C$11:$F$68,4,0),-[4]整車!$B$22)</f>
        <v>0</v>
      </c>
      <c r="W197" s="422">
        <f>_xlfn.IFNA(VLOOKUP(A197,[5]進出口值表查詢結果!$C$11:$F$68,3,0),-[4]整車!$B$22)</f>
        <v>0</v>
      </c>
      <c r="X197" s="422">
        <f>_xlfn.IFNA(VLOOKUP(A197,[6]進出口值表查詢結果!$C$11:$F$80,4,0),-[4]整車!$B$22)</f>
        <v>0</v>
      </c>
      <c r="Y197" s="422">
        <f>_xlfn.IFNA(VLOOKUP(A197,[6]進出口值表查詢結果!$C$11:$F$80,3,0),-[4]整車!$B$22)</f>
        <v>0</v>
      </c>
      <c r="Z197" s="416">
        <f t="shared" si="31"/>
        <v>0</v>
      </c>
      <c r="AA197" s="416">
        <f t="shared" si="32"/>
        <v>0</v>
      </c>
    </row>
    <row r="198" spans="1:27">
      <c r="A198" s="458" t="s">
        <v>379</v>
      </c>
      <c r="B198" s="422"/>
      <c r="C198" s="422"/>
      <c r="D198" s="422"/>
      <c r="E198" s="422">
        <v>0</v>
      </c>
      <c r="F198" s="422">
        <v>0</v>
      </c>
      <c r="G198" s="422"/>
      <c r="H198" s="422">
        <v>0</v>
      </c>
      <c r="I198" s="422">
        <v>0</v>
      </c>
      <c r="J198" s="423">
        <v>0</v>
      </c>
      <c r="K198" s="424">
        <v>0</v>
      </c>
      <c r="L198" s="422">
        <v>0</v>
      </c>
      <c r="M198" s="422">
        <v>0</v>
      </c>
      <c r="N198" s="422">
        <v>0</v>
      </c>
      <c r="O198" s="422">
        <v>0</v>
      </c>
      <c r="P198" s="422">
        <v>0</v>
      </c>
      <c r="Q198" s="422">
        <v>0</v>
      </c>
      <c r="R198" s="422">
        <v>0</v>
      </c>
      <c r="S198" s="422">
        <v>0</v>
      </c>
      <c r="T198" s="422"/>
      <c r="U198" s="422"/>
      <c r="V198" s="422">
        <f>_xlfn.IFNA(VLOOKUP(A198,[5]進出口值表查詢結果!$C$11:$F$68,4,0),-[4]整車!$B$22)</f>
        <v>0</v>
      </c>
      <c r="W198" s="422">
        <f>_xlfn.IFNA(VLOOKUP(A198,[5]進出口值表查詢結果!$C$11:$F$68,3,0),-[4]整車!$B$22)</f>
        <v>0</v>
      </c>
      <c r="X198" s="422">
        <f>_xlfn.IFNA(VLOOKUP(A198,[6]進出口值表查詢結果!$C$11:$F$80,4,0),-[4]整車!$B$22)</f>
        <v>0</v>
      </c>
      <c r="Y198" s="422">
        <f>_xlfn.IFNA(VLOOKUP(A198,[6]進出口值表查詢結果!$C$11:$F$80,3,0),-[4]整車!$B$22)</f>
        <v>0</v>
      </c>
      <c r="Z198" s="416">
        <f t="shared" si="31"/>
        <v>0</v>
      </c>
      <c r="AA198" s="416">
        <f t="shared" si="32"/>
        <v>0</v>
      </c>
    </row>
    <row r="199" spans="1:27">
      <c r="A199" s="458" t="s">
        <v>399</v>
      </c>
      <c r="B199" s="422"/>
      <c r="C199" s="422"/>
      <c r="D199" s="422"/>
      <c r="E199" s="422">
        <v>0</v>
      </c>
      <c r="F199" s="422">
        <v>0</v>
      </c>
      <c r="G199" s="422"/>
      <c r="H199" s="422">
        <v>0</v>
      </c>
      <c r="I199" s="422">
        <v>0</v>
      </c>
      <c r="J199" s="423" t="s">
        <v>58</v>
      </c>
      <c r="K199" s="424">
        <v>0</v>
      </c>
      <c r="L199" s="422">
        <v>10</v>
      </c>
      <c r="M199" s="422">
        <v>1039</v>
      </c>
      <c r="N199" s="422">
        <v>0</v>
      </c>
      <c r="O199" s="422">
        <v>0</v>
      </c>
      <c r="P199" s="422">
        <v>0</v>
      </c>
      <c r="Q199" s="422">
        <v>0</v>
      </c>
      <c r="R199" s="422">
        <v>5</v>
      </c>
      <c r="S199" s="422">
        <v>543</v>
      </c>
      <c r="T199" s="422"/>
      <c r="U199" s="422"/>
      <c r="V199" s="422">
        <f>_xlfn.IFNA(VLOOKUP(A199,[5]進出口值表查詢結果!$C$11:$F$68,4,0),-[4]整車!$B$22)</f>
        <v>2</v>
      </c>
      <c r="W199" s="422">
        <f>_xlfn.IFNA(VLOOKUP(A199,[5]進出口值表查詢結果!$C$11:$F$68,3,0),-[4]整車!$B$22)</f>
        <v>763</v>
      </c>
      <c r="X199" s="422">
        <f>_xlfn.IFNA(VLOOKUP(A199,[6]進出口值表查詢結果!$C$11:$F$80,4,0),-[4]整車!$B$22)</f>
        <v>0</v>
      </c>
      <c r="Y199" s="422">
        <f>_xlfn.IFNA(VLOOKUP(A199,[6]進出口值表查詢結果!$C$11:$F$80,3,0),-[4]整車!$B$22)</f>
        <v>0</v>
      </c>
      <c r="Z199" s="416">
        <f t="shared" si="31"/>
        <v>17</v>
      </c>
      <c r="AA199" s="416">
        <f t="shared" si="32"/>
        <v>2345</v>
      </c>
    </row>
    <row r="200" spans="1:27">
      <c r="A200" s="425" t="s">
        <v>147</v>
      </c>
      <c r="B200" s="422"/>
      <c r="C200" s="422"/>
      <c r="D200" s="422"/>
      <c r="E200" s="422">
        <v>0</v>
      </c>
      <c r="F200" s="422">
        <v>0</v>
      </c>
      <c r="G200" s="422"/>
      <c r="H200" s="422">
        <v>0</v>
      </c>
      <c r="I200" s="422">
        <v>0</v>
      </c>
      <c r="J200" s="423">
        <v>0</v>
      </c>
      <c r="K200" s="424">
        <v>0</v>
      </c>
      <c r="L200" s="422">
        <v>0</v>
      </c>
      <c r="M200" s="422">
        <v>0</v>
      </c>
      <c r="N200" s="422">
        <v>1</v>
      </c>
      <c r="O200" s="422">
        <v>2028</v>
      </c>
      <c r="P200" s="422">
        <v>0</v>
      </c>
      <c r="Q200" s="422">
        <v>0</v>
      </c>
      <c r="R200" s="422">
        <v>0</v>
      </c>
      <c r="S200" s="422">
        <v>0</v>
      </c>
      <c r="T200" s="422"/>
      <c r="U200" s="422"/>
      <c r="V200" s="422">
        <f>_xlfn.IFNA(VLOOKUP(A200,[5]進出口值表查詢結果!$C$11:$F$68,4,0),-[4]整車!$B$22)</f>
        <v>0</v>
      </c>
      <c r="W200" s="422">
        <f>_xlfn.IFNA(VLOOKUP(A200,[5]進出口值表查詢結果!$C$11:$F$68,3,0),-[4]整車!$B$22)</f>
        <v>0</v>
      </c>
      <c r="X200" s="422">
        <f>_xlfn.IFNA(VLOOKUP(A200,[6]進出口值表查詢結果!$C$11:$F$80,4,0),-[4]整車!$B$22)</f>
        <v>0</v>
      </c>
      <c r="Y200" s="422">
        <f>_xlfn.IFNA(VLOOKUP(A200,[6]進出口值表查詢結果!$C$11:$F$80,3,0),-[4]整車!$B$22)</f>
        <v>0</v>
      </c>
      <c r="Z200" s="416">
        <f t="shared" si="31"/>
        <v>1</v>
      </c>
      <c r="AA200" s="416">
        <f t="shared" si="32"/>
        <v>2028</v>
      </c>
    </row>
    <row r="201" spans="1:27">
      <c r="A201" s="462" t="s">
        <v>380</v>
      </c>
      <c r="B201" s="422"/>
      <c r="C201" s="422"/>
      <c r="D201" s="422"/>
      <c r="E201" s="422"/>
      <c r="F201" s="422"/>
      <c r="G201" s="422"/>
      <c r="H201" s="422">
        <v>0</v>
      </c>
      <c r="I201" s="422">
        <v>0</v>
      </c>
      <c r="J201" s="423" t="s">
        <v>58</v>
      </c>
      <c r="K201" s="424"/>
      <c r="L201" s="422">
        <v>0</v>
      </c>
      <c r="M201" s="422">
        <v>0</v>
      </c>
      <c r="N201" s="422">
        <v>0</v>
      </c>
      <c r="O201" s="422">
        <v>0</v>
      </c>
      <c r="P201" s="422">
        <v>0</v>
      </c>
      <c r="Q201" s="422">
        <v>0</v>
      </c>
      <c r="R201" s="422">
        <v>0</v>
      </c>
      <c r="S201" s="422">
        <v>0</v>
      </c>
      <c r="T201" s="422"/>
      <c r="U201" s="422"/>
      <c r="V201" s="422">
        <f>_xlfn.IFNA(VLOOKUP(A201,[5]進出口值表查詢結果!$C$11:$F$68,4,0),-[4]整車!$B$22)</f>
        <v>0</v>
      </c>
      <c r="W201" s="422">
        <f>_xlfn.IFNA(VLOOKUP(A201,[5]進出口值表查詢結果!$C$11:$F$68,3,0),-[4]整車!$B$22)</f>
        <v>0</v>
      </c>
      <c r="X201" s="422">
        <f>_xlfn.IFNA(VLOOKUP(A201,[6]進出口值表查詢結果!$C$11:$F$80,4,0),-[4]整車!$B$22)</f>
        <v>0</v>
      </c>
      <c r="Y201" s="422">
        <f>_xlfn.IFNA(VLOOKUP(A201,[6]進出口值表查詢結果!$C$11:$F$80,3,0),-[4]整車!$B$22)</f>
        <v>0</v>
      </c>
      <c r="Z201" s="416"/>
      <c r="AA201" s="416"/>
    </row>
    <row r="202" spans="1:27">
      <c r="A202" s="458" t="s">
        <v>400</v>
      </c>
      <c r="B202" s="422"/>
      <c r="C202" s="422"/>
      <c r="D202" s="422"/>
      <c r="E202" s="422"/>
      <c r="F202" s="422"/>
      <c r="G202" s="422"/>
      <c r="H202" s="422">
        <v>0</v>
      </c>
      <c r="I202" s="422">
        <v>0</v>
      </c>
      <c r="J202" s="423" t="s">
        <v>58</v>
      </c>
      <c r="K202" s="424"/>
      <c r="L202" s="422">
        <v>0</v>
      </c>
      <c r="M202" s="422">
        <v>0</v>
      </c>
      <c r="N202" s="422">
        <v>0</v>
      </c>
      <c r="O202" s="422">
        <v>0</v>
      </c>
      <c r="P202" s="422">
        <v>0</v>
      </c>
      <c r="Q202" s="422">
        <v>0</v>
      </c>
      <c r="R202" s="422">
        <v>0</v>
      </c>
      <c r="S202" s="422">
        <v>0</v>
      </c>
      <c r="T202" s="422"/>
      <c r="U202" s="422"/>
      <c r="V202" s="422">
        <f>_xlfn.IFNA(VLOOKUP(A202,[5]進出口值表查詢結果!$C$11:$F$68,4,0),-[4]整車!$B$22)</f>
        <v>5</v>
      </c>
      <c r="W202" s="422">
        <f>_xlfn.IFNA(VLOOKUP(A202,[5]進出口值表查詢結果!$C$11:$F$68,3,0),-[4]整車!$B$22)</f>
        <v>7938</v>
      </c>
      <c r="X202" s="422">
        <f>_xlfn.IFNA(VLOOKUP(A202,[6]進出口值表查詢結果!$C$11:$F$80,4,0),-[4]整車!$B$22)</f>
        <v>0</v>
      </c>
      <c r="Y202" s="422">
        <f>_xlfn.IFNA(VLOOKUP(A202,[6]進出口值表查詢結果!$C$11:$F$80,3,0),-[4]整車!$B$22)</f>
        <v>0</v>
      </c>
      <c r="Z202" s="416"/>
      <c r="AA202" s="416"/>
    </row>
    <row r="203" spans="1:27">
      <c r="A203" s="462" t="s">
        <v>401</v>
      </c>
      <c r="B203" s="422"/>
      <c r="C203" s="422"/>
      <c r="D203" s="448">
        <v>0</v>
      </c>
      <c r="E203" s="422">
        <v>0</v>
      </c>
      <c r="F203" s="422">
        <v>0</v>
      </c>
      <c r="G203" s="449"/>
      <c r="H203" s="422">
        <v>0</v>
      </c>
      <c r="I203" s="422">
        <v>0</v>
      </c>
      <c r="J203" s="423">
        <v>0</v>
      </c>
      <c r="K203" s="424">
        <v>0</v>
      </c>
      <c r="L203" s="422">
        <v>0</v>
      </c>
      <c r="M203" s="422">
        <v>0</v>
      </c>
      <c r="N203" s="422">
        <v>0</v>
      </c>
      <c r="O203" s="422">
        <v>0</v>
      </c>
      <c r="P203" s="422">
        <v>0</v>
      </c>
      <c r="Q203" s="422">
        <v>0</v>
      </c>
      <c r="R203" s="422">
        <v>0</v>
      </c>
      <c r="S203" s="422">
        <v>0</v>
      </c>
      <c r="T203" s="422">
        <v>0</v>
      </c>
      <c r="U203" s="422">
        <v>0</v>
      </c>
      <c r="V203" s="422">
        <f>_xlfn.IFNA(VLOOKUP(A203,[5]進出口值表查詢結果!$C$11:$F$68,4,0),-[4]整車!$B$22)</f>
        <v>0</v>
      </c>
      <c r="W203" s="422">
        <f>_xlfn.IFNA(VLOOKUP(A203,[5]進出口值表查詢結果!$C$11:$F$68,3,0),-[4]整車!$B$22)</f>
        <v>0</v>
      </c>
      <c r="X203" s="422">
        <f>_xlfn.IFNA(VLOOKUP(A203,[6]進出口值表查詢結果!$C$11:$F$80,4,0),-[4]整車!$B$22)</f>
        <v>0</v>
      </c>
      <c r="Y203" s="422">
        <f>_xlfn.IFNA(VLOOKUP(A203,[6]進出口值表查詢結果!$C$11:$F$80,3,0),-[4]整車!$B$22)</f>
        <v>0</v>
      </c>
      <c r="Z203" s="422">
        <f>SUM(B203,D203,F203,H203,J203,L203,N203,P203,R203,T203,V203,X203)</f>
        <v>0</v>
      </c>
      <c r="AA203" s="422">
        <f>SUM(C203,E203,G203,I203,K203,M203,O203,Q203,S203,U203,W203,Y203)</f>
        <v>0</v>
      </c>
    </row>
    <row r="204" spans="1:27">
      <c r="A204" s="398"/>
      <c r="B204" s="569" t="s">
        <v>148</v>
      </c>
      <c r="C204" s="570"/>
      <c r="D204" s="399" t="s">
        <v>124</v>
      </c>
      <c r="E204" s="400"/>
      <c r="F204" s="399" t="s">
        <v>125</v>
      </c>
      <c r="G204" s="400"/>
      <c r="H204" s="399" t="s">
        <v>126</v>
      </c>
      <c r="I204" s="400"/>
      <c r="J204" s="401" t="s">
        <v>127</v>
      </c>
      <c r="K204" s="402"/>
      <c r="L204" s="399" t="s">
        <v>128</v>
      </c>
      <c r="M204" s="400"/>
      <c r="N204" s="399" t="s">
        <v>129</v>
      </c>
      <c r="O204" s="400"/>
      <c r="P204" s="399" t="s">
        <v>130</v>
      </c>
      <c r="Q204" s="400"/>
      <c r="R204" s="399" t="s">
        <v>131</v>
      </c>
      <c r="S204" s="400"/>
      <c r="T204" s="399" t="s">
        <v>132</v>
      </c>
      <c r="U204" s="400"/>
      <c r="V204" s="399" t="s">
        <v>133</v>
      </c>
      <c r="W204" s="400"/>
      <c r="X204" s="399" t="s">
        <v>134</v>
      </c>
      <c r="Y204" s="400"/>
      <c r="Z204" s="569" t="s">
        <v>106</v>
      </c>
      <c r="AA204" s="570"/>
    </row>
    <row r="205" spans="1:27">
      <c r="A205" s="450" t="s">
        <v>149</v>
      </c>
      <c r="B205" s="404" t="s">
        <v>136</v>
      </c>
      <c r="C205" s="404" t="s">
        <v>137</v>
      </c>
      <c r="D205" s="404" t="s">
        <v>138</v>
      </c>
      <c r="E205" s="404" t="s">
        <v>139</v>
      </c>
      <c r="F205" s="404" t="s">
        <v>138</v>
      </c>
      <c r="G205" s="404" t="s">
        <v>139</v>
      </c>
      <c r="H205" s="404" t="s">
        <v>138</v>
      </c>
      <c r="I205" s="404" t="s">
        <v>139</v>
      </c>
      <c r="J205" s="405" t="s">
        <v>138</v>
      </c>
      <c r="K205" s="406" t="s">
        <v>139</v>
      </c>
      <c r="L205" s="404" t="s">
        <v>138</v>
      </c>
      <c r="M205" s="404" t="s">
        <v>139</v>
      </c>
      <c r="N205" s="404" t="s">
        <v>138</v>
      </c>
      <c r="O205" s="404" t="s">
        <v>139</v>
      </c>
      <c r="P205" s="404" t="s">
        <v>138</v>
      </c>
      <c r="Q205" s="404" t="s">
        <v>139</v>
      </c>
      <c r="R205" s="404" t="s">
        <v>138</v>
      </c>
      <c r="S205" s="404" t="s">
        <v>139</v>
      </c>
      <c r="T205" s="404" t="s">
        <v>138</v>
      </c>
      <c r="U205" s="404" t="s">
        <v>139</v>
      </c>
      <c r="V205" s="404" t="s">
        <v>138</v>
      </c>
      <c r="W205" s="404" t="s">
        <v>139</v>
      </c>
      <c r="X205" s="404" t="s">
        <v>138</v>
      </c>
      <c r="Y205" s="404" t="s">
        <v>139</v>
      </c>
      <c r="Z205" s="404" t="s">
        <v>138</v>
      </c>
      <c r="AA205" s="404" t="s">
        <v>139</v>
      </c>
    </row>
    <row r="206" spans="1:27">
      <c r="A206" s="403" t="s">
        <v>150</v>
      </c>
      <c r="B206" s="422">
        <v>6025</v>
      </c>
      <c r="C206" s="422">
        <v>1562479</v>
      </c>
      <c r="D206" s="422">
        <v>5953</v>
      </c>
      <c r="E206" s="422">
        <v>1186109</v>
      </c>
      <c r="F206" s="422">
        <v>5066</v>
      </c>
      <c r="G206" s="422">
        <v>1570229</v>
      </c>
      <c r="H206" s="422">
        <v>7242</v>
      </c>
      <c r="I206" s="422">
        <v>1397285</v>
      </c>
      <c r="J206" s="423">
        <v>9565</v>
      </c>
      <c r="K206" s="424">
        <v>2314635</v>
      </c>
      <c r="L206" s="422">
        <v>11407</v>
      </c>
      <c r="M206" s="422">
        <v>2211195</v>
      </c>
      <c r="N206" s="422">
        <v>8718</v>
      </c>
      <c r="O206" s="422">
        <v>1911196</v>
      </c>
      <c r="P206" s="422"/>
      <c r="Q206" s="422"/>
      <c r="R206" s="422"/>
      <c r="S206" s="422"/>
      <c r="T206" s="422"/>
      <c r="U206" s="422"/>
      <c r="V206" s="422"/>
      <c r="W206" s="422"/>
      <c r="X206" s="422"/>
      <c r="Y206" s="422"/>
      <c r="Z206" s="422">
        <f>SUM(B206,D206,F206,H206,J206,L206,N206,P206,R206,T206,V206,X206)</f>
        <v>53976</v>
      </c>
      <c r="AA206" s="416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workbookViewId="0">
      <selection activeCell="I7" sqref="I7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79" t="s">
        <v>487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>SUM(C7:I7)</f>
        <v>52420</v>
      </c>
      <c r="C7" s="378">
        <v>22628</v>
      </c>
      <c r="D7" s="553">
        <v>19372</v>
      </c>
      <c r="E7" s="378">
        <v>5395</v>
      </c>
      <c r="F7" s="378">
        <v>1308</v>
      </c>
      <c r="G7" s="378">
        <v>566</v>
      </c>
      <c r="H7" s="378">
        <v>2820</v>
      </c>
      <c r="I7" s="379">
        <v>331</v>
      </c>
      <c r="J7" s="379">
        <v>0</v>
      </c>
    </row>
    <row r="8" spans="1:14">
      <c r="A8" s="127"/>
      <c r="B8" s="27">
        <f>SUM(C8:I8)</f>
        <v>48431613</v>
      </c>
      <c r="C8" s="380">
        <v>15524350</v>
      </c>
      <c r="D8" s="553">
        <v>20140774</v>
      </c>
      <c r="E8" s="380">
        <v>7136938</v>
      </c>
      <c r="F8" s="380">
        <v>2315233</v>
      </c>
      <c r="G8" s="380">
        <v>448161</v>
      </c>
      <c r="H8" s="380">
        <v>2625567</v>
      </c>
      <c r="I8" s="378">
        <v>240590</v>
      </c>
      <c r="J8" s="378">
        <v>0</v>
      </c>
    </row>
    <row r="9" spans="1:14">
      <c r="A9" s="126">
        <v>2</v>
      </c>
      <c r="B9" s="27"/>
      <c r="C9" s="378"/>
      <c r="D9" s="553"/>
      <c r="E9" s="378"/>
      <c r="F9" s="378"/>
      <c r="G9" s="378"/>
      <c r="H9" s="378"/>
      <c r="I9" s="378"/>
      <c r="J9" s="378"/>
    </row>
    <row r="10" spans="1:14">
      <c r="A10" s="127"/>
      <c r="B10" s="27"/>
      <c r="C10" s="380"/>
      <c r="D10" s="553"/>
      <c r="E10" s="380"/>
      <c r="F10" s="380"/>
      <c r="G10" s="380"/>
      <c r="H10" s="380"/>
      <c r="I10" s="380"/>
      <c r="J10" s="380"/>
    </row>
    <row r="11" spans="1:14">
      <c r="A11" s="126">
        <v>3</v>
      </c>
      <c r="B11" s="27"/>
      <c r="C11" s="378"/>
      <c r="D11" s="378"/>
      <c r="E11" s="378"/>
      <c r="F11" s="378"/>
      <c r="G11" s="378"/>
      <c r="H11" s="378"/>
      <c r="I11" s="378"/>
      <c r="J11" s="378"/>
    </row>
    <row r="12" spans="1:14">
      <c r="A12" s="127"/>
      <c r="B12" s="27"/>
      <c r="C12" s="380"/>
      <c r="D12" s="380"/>
      <c r="E12" s="380"/>
      <c r="F12" s="380"/>
      <c r="G12" s="380"/>
      <c r="H12" s="380"/>
      <c r="I12" s="380"/>
      <c r="J12" s="380"/>
      <c r="L12" s="488"/>
    </row>
    <row r="13" spans="1:14">
      <c r="A13" s="126">
        <v>4</v>
      </c>
      <c r="B13" s="27"/>
      <c r="C13" s="379"/>
      <c r="D13" s="379"/>
      <c r="E13" s="379"/>
      <c r="F13" s="379"/>
      <c r="G13" s="379"/>
      <c r="H13" s="379"/>
      <c r="I13" s="379"/>
      <c r="J13" s="380"/>
    </row>
    <row r="14" spans="1:14">
      <c r="A14" s="127"/>
      <c r="B14" s="27"/>
      <c r="C14" s="378"/>
      <c r="D14" s="378"/>
      <c r="E14" s="378"/>
      <c r="F14" s="378"/>
      <c r="G14" s="378"/>
      <c r="H14" s="378"/>
      <c r="I14" s="378"/>
      <c r="J14" s="380"/>
    </row>
    <row r="15" spans="1:14">
      <c r="A15" s="128">
        <v>5</v>
      </c>
      <c r="B15" s="27"/>
      <c r="C15" s="378"/>
      <c r="D15" s="378"/>
      <c r="E15" s="378"/>
      <c r="F15" s="378"/>
      <c r="G15" s="378"/>
      <c r="H15" s="378"/>
      <c r="I15" s="378"/>
      <c r="J15" s="378"/>
    </row>
    <row r="16" spans="1:14">
      <c r="A16" s="128"/>
      <c r="B16" s="27"/>
      <c r="C16" s="378"/>
      <c r="D16" s="378"/>
      <c r="E16" s="378"/>
      <c r="F16" s="378"/>
      <c r="G16" s="378"/>
      <c r="H16" s="378"/>
      <c r="I16" s="378"/>
      <c r="J16" s="378"/>
    </row>
    <row r="17" spans="1:10">
      <c r="A17" s="126">
        <v>6</v>
      </c>
      <c r="B17" s="27"/>
      <c r="C17" s="378"/>
      <c r="D17" s="378"/>
      <c r="E17" s="378"/>
      <c r="F17" s="378"/>
      <c r="G17" s="378"/>
      <c r="H17" s="378"/>
      <c r="I17" s="378"/>
      <c r="J17" s="378"/>
    </row>
    <row r="18" spans="1:10">
      <c r="A18" s="127"/>
      <c r="B18" s="27"/>
      <c r="C18" s="378"/>
      <c r="D18" s="378"/>
      <c r="E18" s="378"/>
      <c r="F18" s="378"/>
      <c r="G18" s="378"/>
      <c r="H18" s="378"/>
      <c r="I18" s="378"/>
      <c r="J18" s="378"/>
    </row>
    <row r="19" spans="1:10">
      <c r="A19" s="126">
        <v>7</v>
      </c>
      <c r="B19" s="27"/>
      <c r="C19" s="378"/>
      <c r="D19" s="378"/>
      <c r="E19" s="378"/>
      <c r="F19" s="378"/>
      <c r="G19" s="378"/>
      <c r="H19" s="378"/>
      <c r="I19" s="378"/>
      <c r="J19" s="378"/>
    </row>
    <row r="20" spans="1:10">
      <c r="A20" s="127"/>
      <c r="B20" s="27"/>
      <c r="C20" s="378"/>
      <c r="D20" s="378"/>
      <c r="E20" s="378"/>
      <c r="F20" s="378"/>
      <c r="G20" s="378"/>
      <c r="H20" s="378"/>
      <c r="I20" s="378"/>
      <c r="J20" s="378"/>
    </row>
    <row r="21" spans="1:10">
      <c r="A21" s="126">
        <v>8</v>
      </c>
      <c r="B21" s="27"/>
      <c r="C21" s="378"/>
      <c r="D21" s="378"/>
      <c r="E21" s="378"/>
      <c r="F21" s="378"/>
      <c r="G21" s="378"/>
      <c r="H21" s="378"/>
      <c r="I21" s="378"/>
      <c r="J21" s="378"/>
    </row>
    <row r="22" spans="1:10">
      <c r="A22" s="127"/>
      <c r="B22" s="27"/>
      <c r="C22" s="378"/>
      <c r="D22" s="378"/>
      <c r="E22" s="378"/>
      <c r="F22" s="378"/>
      <c r="G22" s="378"/>
      <c r="H22" s="378"/>
      <c r="I22" s="378"/>
      <c r="J22" s="378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20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21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1"/>
      <c r="J30" s="27">
        <v>0</v>
      </c>
    </row>
    <row r="31" spans="1:10" s="115" customFormat="1">
      <c r="A31" s="571" t="s">
        <v>50</v>
      </c>
      <c r="B31" s="33">
        <f>SUM(B7,B9,B11,B13,B15,B17,B19,B21,B23,B25,B27,B29)</f>
        <v>52420</v>
      </c>
      <c r="C31" s="33">
        <f>SUM(C7+C9+C11+C13+C15+C17+C19+C21+C23+C25+C27+C29)</f>
        <v>22628</v>
      </c>
      <c r="D31" s="33">
        <f t="shared" ref="D31:J31" si="0">SUM(D7+D9+D11+D13+D15+D17+D19+D21+D23+D25+D27+D29)</f>
        <v>19372</v>
      </c>
      <c r="E31" s="33">
        <f t="shared" si="0"/>
        <v>5395</v>
      </c>
      <c r="F31" s="33">
        <f t="shared" si="0"/>
        <v>1308</v>
      </c>
      <c r="G31" s="33">
        <f t="shared" si="0"/>
        <v>566</v>
      </c>
      <c r="H31" s="33">
        <f t="shared" si="0"/>
        <v>2820</v>
      </c>
      <c r="I31" s="33">
        <f t="shared" si="0"/>
        <v>331</v>
      </c>
      <c r="J31" s="33">
        <f t="shared" si="0"/>
        <v>0</v>
      </c>
    </row>
    <row r="32" spans="1:10" s="115" customFormat="1">
      <c r="A32" s="568"/>
      <c r="B32" s="33">
        <f>SUM(B8,B10,B12,B14,B16,B18,B20,B22,B24,B26,B28,B30)</f>
        <v>48431613</v>
      </c>
      <c r="C32" s="33">
        <f t="shared" ref="C32:J32" si="1">SUM(C8,C10,C12,C14,C16,C18,C20,C22,C24,C26,C28,C30)</f>
        <v>15524350</v>
      </c>
      <c r="D32" s="33">
        <f t="shared" si="1"/>
        <v>20140774</v>
      </c>
      <c r="E32" s="33">
        <f t="shared" si="1"/>
        <v>7136938</v>
      </c>
      <c r="F32" s="33">
        <f t="shared" si="1"/>
        <v>2315233</v>
      </c>
      <c r="G32" s="33">
        <f t="shared" si="1"/>
        <v>448161</v>
      </c>
      <c r="H32" s="33">
        <f t="shared" si="1"/>
        <v>2625567</v>
      </c>
      <c r="I32" s="33">
        <f t="shared" si="1"/>
        <v>240590</v>
      </c>
      <c r="J32" s="33">
        <f t="shared" si="1"/>
        <v>0</v>
      </c>
    </row>
    <row r="33" spans="1:10" s="115" customFormat="1">
      <c r="A33" s="498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60" t="s">
        <v>492</v>
      </c>
    </row>
    <row r="35" spans="1:10">
      <c r="D35" s="488"/>
      <c r="E35" s="488"/>
      <c r="F35" s="488"/>
      <c r="G35" s="488"/>
      <c r="H35" s="488"/>
    </row>
    <row r="36" spans="1:10">
      <c r="D36" s="488"/>
      <c r="E36" s="488"/>
      <c r="F36" s="488"/>
      <c r="G36" s="488"/>
      <c r="H36" s="488"/>
    </row>
    <row r="37" spans="1:10">
      <c r="D37" s="488"/>
      <c r="F37" s="488"/>
      <c r="G37" s="488"/>
    </row>
    <row r="38" spans="1:10">
      <c r="D38" s="488"/>
      <c r="E38" s="488"/>
      <c r="G38" s="488"/>
      <c r="H38" s="488"/>
    </row>
    <row r="39" spans="1:10">
      <c r="F39" s="488"/>
      <c r="G39" s="488"/>
      <c r="H39" s="488"/>
    </row>
    <row r="40" spans="1:10">
      <c r="F40" s="488"/>
      <c r="G40" s="488"/>
      <c r="H40" s="488"/>
    </row>
    <row r="41" spans="1:10">
      <c r="G41" s="488"/>
      <c r="H41" s="488"/>
    </row>
    <row r="42" spans="1:10">
      <c r="G42" s="488"/>
      <c r="H42" s="488"/>
    </row>
    <row r="43" spans="1:10">
      <c r="G43" s="488"/>
      <c r="H43" s="488"/>
    </row>
    <row r="44" spans="1:10">
      <c r="G44" s="488"/>
      <c r="H44" s="488"/>
    </row>
    <row r="45" spans="1:10">
      <c r="G45" s="488"/>
      <c r="H45" s="488"/>
    </row>
    <row r="46" spans="1:10">
      <c r="G46" s="488"/>
      <c r="H46" s="488"/>
    </row>
    <row r="47" spans="1:10">
      <c r="G47" s="488"/>
    </row>
    <row r="48" spans="1:10">
      <c r="G48" s="488"/>
      <c r="H48" s="488"/>
    </row>
    <row r="49" spans="7:8">
      <c r="G49" s="488"/>
    </row>
    <row r="50" spans="7:8">
      <c r="G50" s="488"/>
    </row>
    <row r="51" spans="7:8">
      <c r="G51" s="488"/>
    </row>
    <row r="52" spans="7:8">
      <c r="G52" s="488"/>
    </row>
    <row r="53" spans="7:8">
      <c r="G53" s="488"/>
    </row>
    <row r="54" spans="7:8">
      <c r="G54" s="488"/>
    </row>
    <row r="55" spans="7:8">
      <c r="G55" s="488"/>
    </row>
    <row r="56" spans="7:8">
      <c r="G56" s="488"/>
    </row>
    <row r="57" spans="7:8">
      <c r="G57" s="488"/>
    </row>
    <row r="58" spans="7:8">
      <c r="G58" s="488"/>
    </row>
    <row r="59" spans="7:8">
      <c r="G59" s="488"/>
    </row>
    <row r="60" spans="7:8">
      <c r="G60" s="488"/>
    </row>
    <row r="62" spans="7:8">
      <c r="G62" s="488"/>
      <c r="H62" s="488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="90" zoomScaleNormal="90" workbookViewId="0">
      <selection activeCell="D18" sqref="D18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72" t="s">
        <v>488</v>
      </c>
      <c r="B1" s="572"/>
      <c r="C1" s="572"/>
      <c r="D1" s="572"/>
      <c r="E1" s="572"/>
      <c r="F1" s="572"/>
      <c r="G1" s="572"/>
      <c r="H1" s="572"/>
      <c r="I1" s="572"/>
    </row>
    <row r="2" spans="1:9" ht="12" customHeight="1"/>
    <row r="3" spans="1:9">
      <c r="A3" s="544" t="s">
        <v>107</v>
      </c>
      <c r="B3" s="63"/>
      <c r="C3" s="63"/>
      <c r="D3" s="170"/>
      <c r="E3" s="63"/>
      <c r="F3" s="63"/>
      <c r="G3" s="63"/>
      <c r="H3" s="63"/>
      <c r="I3" s="170"/>
    </row>
    <row r="4" spans="1:9">
      <c r="A4" s="8" t="s">
        <v>489</v>
      </c>
      <c r="B4" s="8" t="s">
        <v>421</v>
      </c>
      <c r="C4" s="8" t="s">
        <v>422</v>
      </c>
      <c r="D4" s="9" t="s">
        <v>0</v>
      </c>
      <c r="E4" s="10" t="s">
        <v>423</v>
      </c>
      <c r="F4" s="11" t="s">
        <v>1</v>
      </c>
      <c r="G4" s="8" t="s">
        <v>424</v>
      </c>
      <c r="H4" s="11" t="s">
        <v>1</v>
      </c>
      <c r="I4" s="171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2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</v>
      </c>
      <c r="C7" s="22">
        <f>SUM(C8:C10)</f>
        <v>122</v>
      </c>
      <c r="D7" s="23">
        <f>IF(B7,C7/B7,0)</f>
        <v>122</v>
      </c>
      <c r="E7" s="22">
        <v>1</v>
      </c>
      <c r="F7" s="24">
        <v>122</v>
      </c>
      <c r="G7" s="22">
        <v>122</v>
      </c>
      <c r="H7" s="24">
        <f>G7/$G$66</f>
        <v>4.0566993563481195E-5</v>
      </c>
      <c r="I7" s="25">
        <f>IF(E7,G7/E7,0)</f>
        <v>122</v>
      </c>
    </row>
    <row r="8" spans="1:9">
      <c r="A8" s="26" t="s">
        <v>389</v>
      </c>
      <c r="B8" s="27">
        <f>VLOOKUP(A8,[7]進出口值表查詢結果!$A$10:$C$20,3,0)</f>
        <v>1</v>
      </c>
      <c r="C8" s="28">
        <f>VLOOKUP(A8,[7]進出口值表查詢結果!$A$10:$C$20,2,0)</f>
        <v>122</v>
      </c>
      <c r="D8" s="23">
        <f t="shared" ref="D8:D65" si="0">IF(B8,C8/B8,0)</f>
        <v>122</v>
      </c>
      <c r="E8" s="28">
        <v>1</v>
      </c>
      <c r="F8" s="24">
        <v>122</v>
      </c>
      <c r="G8" s="28">
        <v>122</v>
      </c>
      <c r="H8" s="24">
        <f>G8/$G$66</f>
        <v>4.0566993563481195E-5</v>
      </c>
      <c r="I8" s="25">
        <f t="shared" ref="I8:I65" si="1">IF(E8,G8/E8,0)</f>
        <v>122</v>
      </c>
    </row>
    <row r="9" spans="1:9">
      <c r="A9" s="30" t="s">
        <v>6</v>
      </c>
      <c r="B9" s="27">
        <v>0</v>
      </c>
      <c r="C9" s="28">
        <f>_xlfn.IFNA(VLOOKUP(A9,[3]進!$C$3:$F$510,3,0),-[4]整車!$B$22)</f>
        <v>0</v>
      </c>
      <c r="D9" s="23">
        <f t="shared" si="0"/>
        <v>0</v>
      </c>
      <c r="E9" s="28">
        <v>0</v>
      </c>
      <c r="F9" s="24"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7</v>
      </c>
      <c r="B10" s="27">
        <v>0</v>
      </c>
      <c r="C10" s="28">
        <f>_xlfn.IFNA(VLOOKUP(A10,[3]進!$C$3:$F$50,3,0),-[4]整車!$B$22)</f>
        <v>0</v>
      </c>
      <c r="D10" s="23">
        <f t="shared" si="0"/>
        <v>0</v>
      </c>
      <c r="E10" s="28">
        <v>0</v>
      </c>
      <c r="F10" s="24"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5</v>
      </c>
      <c r="C12" s="33">
        <f>SUM(C13:C39)</f>
        <v>17087</v>
      </c>
      <c r="D12" s="23">
        <f t="shared" si="0"/>
        <v>3417.4</v>
      </c>
      <c r="E12" s="33">
        <v>5</v>
      </c>
      <c r="F12" s="24">
        <v>17087</v>
      </c>
      <c r="G12" s="33">
        <v>17087</v>
      </c>
      <c r="H12" s="24">
        <f t="shared" ref="H12:H39" si="2">G12/$G$66</f>
        <v>5.6817067132721574E-3</v>
      </c>
      <c r="I12" s="25">
        <f t="shared" si="1"/>
        <v>3417.4</v>
      </c>
    </row>
    <row r="13" spans="1:9">
      <c r="A13" s="454" t="s">
        <v>200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v>0</v>
      </c>
      <c r="G13" s="28">
        <v>0</v>
      </c>
      <c r="H13" s="24">
        <f t="shared" si="2"/>
        <v>0</v>
      </c>
      <c r="I13" s="25">
        <f t="shared" si="1"/>
        <v>0</v>
      </c>
    </row>
    <row r="14" spans="1:9">
      <c r="A14" s="454" t="s">
        <v>201</v>
      </c>
      <c r="B14" s="27">
        <f>VLOOKUP(A14,[7]進出口值表查詢結果!$A$10:$C$20,3,0)</f>
        <v>3</v>
      </c>
      <c r="C14" s="28">
        <f>VLOOKUP(A14,[7]進出口值表查詢結果!$A$10:$C$20,2,0)</f>
        <v>16874</v>
      </c>
      <c r="D14" s="23">
        <f t="shared" si="0"/>
        <v>5624.666666666667</v>
      </c>
      <c r="E14" s="28">
        <v>3</v>
      </c>
      <c r="F14" s="24">
        <v>16874</v>
      </c>
      <c r="G14" s="28">
        <v>16874</v>
      </c>
      <c r="H14" s="24">
        <f t="shared" si="2"/>
        <v>5.6108807327064072E-3</v>
      </c>
      <c r="I14" s="25">
        <f t="shared" si="1"/>
        <v>5624.666666666667</v>
      </c>
    </row>
    <row r="15" spans="1:9">
      <c r="A15" s="455" t="s">
        <v>9</v>
      </c>
      <c r="B15" s="27">
        <v>0</v>
      </c>
      <c r="C15" s="27">
        <v>0</v>
      </c>
      <c r="D15" s="23">
        <f t="shared" si="0"/>
        <v>0</v>
      </c>
      <c r="E15" s="28">
        <v>0</v>
      </c>
      <c r="F15" s="24">
        <v>0</v>
      </c>
      <c r="G15" s="28">
        <v>0</v>
      </c>
      <c r="H15" s="24">
        <f t="shared" si="2"/>
        <v>0</v>
      </c>
      <c r="I15" s="25">
        <f t="shared" si="1"/>
        <v>0</v>
      </c>
    </row>
    <row r="16" spans="1:9">
      <c r="A16" s="454" t="s">
        <v>202</v>
      </c>
      <c r="B16" s="27">
        <f>VLOOKUP(A16,[7]進出口值表查詢結果!$A$10:$C$20,3,0)</f>
        <v>1</v>
      </c>
      <c r="C16" s="28">
        <f>VLOOKUP(A16,[7]進出口值表查詢結果!$A$10:$C$20,2,0)</f>
        <v>91</v>
      </c>
      <c r="D16" s="23">
        <f t="shared" si="0"/>
        <v>91</v>
      </c>
      <c r="E16" s="28">
        <v>1</v>
      </c>
      <c r="F16" s="24">
        <v>91</v>
      </c>
      <c r="G16" s="28">
        <v>91</v>
      </c>
      <c r="H16" s="24">
        <f t="shared" si="2"/>
        <v>3.0258987002268758E-5</v>
      </c>
      <c r="I16" s="25">
        <f t="shared" si="1"/>
        <v>91</v>
      </c>
    </row>
    <row r="17" spans="1:9">
      <c r="A17" s="455" t="s">
        <v>10</v>
      </c>
      <c r="B17" s="27">
        <f>VLOOKUP(A17,[7]進出口值表查詢結果!$A$10:$C$20,3,0)</f>
        <v>1</v>
      </c>
      <c r="C17" s="28">
        <f>VLOOKUP(A17,[7]進出口值表查詢結果!$A$10:$C$20,2,0)</f>
        <v>122</v>
      </c>
      <c r="D17" s="23">
        <f t="shared" si="0"/>
        <v>122</v>
      </c>
      <c r="E17" s="28">
        <v>1</v>
      </c>
      <c r="F17" s="24">
        <v>122</v>
      </c>
      <c r="G17" s="28">
        <v>122</v>
      </c>
      <c r="H17" s="24">
        <f t="shared" si="2"/>
        <v>4.0566993563481195E-5</v>
      </c>
      <c r="I17" s="25">
        <f t="shared" si="1"/>
        <v>122</v>
      </c>
    </row>
    <row r="18" spans="1:9">
      <c r="A18" s="455" t="s">
        <v>11</v>
      </c>
      <c r="B18" s="27">
        <v>0</v>
      </c>
      <c r="C18" s="27">
        <f>_xlfn.IFNA(VLOOKUP(A18,[3]進!$C$3:$F$550,3,0),-[4]整車!$B$22)</f>
        <v>0</v>
      </c>
      <c r="D18" s="23">
        <f t="shared" si="0"/>
        <v>0</v>
      </c>
      <c r="E18" s="28">
        <v>0</v>
      </c>
      <c r="F18" s="24">
        <v>0</v>
      </c>
      <c r="G18" s="28">
        <v>0</v>
      </c>
      <c r="H18" s="24">
        <f t="shared" si="2"/>
        <v>0</v>
      </c>
      <c r="I18" s="25">
        <f t="shared" si="1"/>
        <v>0</v>
      </c>
    </row>
    <row r="19" spans="1:9">
      <c r="A19" s="454" t="s">
        <v>203</v>
      </c>
      <c r="B19" s="27">
        <v>0</v>
      </c>
      <c r="C19" s="27">
        <f>_xlfn.IFNA(VLOOKUP(A19,[3]進!$C$3:$F$550,3,0),-[4]整車!$B$22)</f>
        <v>0</v>
      </c>
      <c r="D19" s="23">
        <f t="shared" si="0"/>
        <v>0</v>
      </c>
      <c r="E19" s="28">
        <v>0</v>
      </c>
      <c r="F19" s="24">
        <v>0</v>
      </c>
      <c r="G19" s="28">
        <v>0</v>
      </c>
      <c r="H19" s="24">
        <f t="shared" si="2"/>
        <v>0</v>
      </c>
      <c r="I19" s="25">
        <f t="shared" si="1"/>
        <v>0</v>
      </c>
    </row>
    <row r="20" spans="1:9">
      <c r="A20" s="455" t="s">
        <v>204</v>
      </c>
      <c r="B20" s="27">
        <v>0</v>
      </c>
      <c r="C20" s="27">
        <f>_xlfn.IFNA(VLOOKUP(A20,[3]進!$C$3:$F$550,3,0),-[4]整車!$B$22)</f>
        <v>0</v>
      </c>
      <c r="D20" s="23">
        <f t="shared" si="0"/>
        <v>0</v>
      </c>
      <c r="E20" s="28">
        <v>0</v>
      </c>
      <c r="F20" s="24">
        <v>0</v>
      </c>
      <c r="G20" s="28">
        <v>0</v>
      </c>
      <c r="H20" s="24">
        <f t="shared" si="2"/>
        <v>0</v>
      </c>
      <c r="I20" s="25">
        <f t="shared" si="1"/>
        <v>0</v>
      </c>
    </row>
    <row r="21" spans="1:9">
      <c r="A21" s="454" t="s">
        <v>205</v>
      </c>
      <c r="B21" s="27">
        <v>0</v>
      </c>
      <c r="C21" s="27">
        <f>_xlfn.IFNA(VLOOKUP(A21,[3]進!$C$3:$F$550,3,0),-[4]整車!$B$22)</f>
        <v>0</v>
      </c>
      <c r="D21" s="23">
        <f t="shared" si="0"/>
        <v>0</v>
      </c>
      <c r="E21" s="28">
        <v>0</v>
      </c>
      <c r="F21" s="24">
        <v>0</v>
      </c>
      <c r="G21" s="28">
        <v>0</v>
      </c>
      <c r="H21" s="24">
        <f t="shared" si="2"/>
        <v>0</v>
      </c>
      <c r="I21" s="25">
        <f t="shared" si="1"/>
        <v>0</v>
      </c>
    </row>
    <row r="22" spans="1:9">
      <c r="A22" s="455" t="s">
        <v>13</v>
      </c>
      <c r="B22" s="27">
        <v>0</v>
      </c>
      <c r="C22" s="27">
        <f>_xlfn.IFNA(VLOOKUP(A22,[3]進!$C$3:$F$550,3,0),-[4]整車!$B$22)</f>
        <v>0</v>
      </c>
      <c r="D22" s="23">
        <f t="shared" si="0"/>
        <v>0</v>
      </c>
      <c r="E22" s="28">
        <v>0</v>
      </c>
      <c r="F22" s="24">
        <v>0</v>
      </c>
      <c r="G22" s="28">
        <v>0</v>
      </c>
      <c r="H22" s="24">
        <f t="shared" si="2"/>
        <v>0</v>
      </c>
      <c r="I22" s="25">
        <f t="shared" si="1"/>
        <v>0</v>
      </c>
    </row>
    <row r="23" spans="1:9">
      <c r="A23" s="455" t="s">
        <v>14</v>
      </c>
      <c r="B23" s="27">
        <v>0</v>
      </c>
      <c r="C23" s="27">
        <f>_xlfn.IFNA(VLOOKUP(A23,[3]進!$C$3:$F$550,3,0),-[4]整車!$B$22)</f>
        <v>0</v>
      </c>
      <c r="D23" s="23">
        <f t="shared" si="0"/>
        <v>0</v>
      </c>
      <c r="E23" s="28">
        <v>0</v>
      </c>
      <c r="F23" s="24">
        <v>0</v>
      </c>
      <c r="G23" s="28">
        <v>0</v>
      </c>
      <c r="H23" s="24">
        <f t="shared" si="2"/>
        <v>0</v>
      </c>
      <c r="I23" s="25">
        <f t="shared" si="1"/>
        <v>0</v>
      </c>
    </row>
    <row r="24" spans="1:9">
      <c r="A24" s="455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v>0</v>
      </c>
      <c r="G24" s="28">
        <v>0</v>
      </c>
      <c r="H24" s="24">
        <f t="shared" si="2"/>
        <v>0</v>
      </c>
      <c r="I24" s="25">
        <f t="shared" si="1"/>
        <v>0</v>
      </c>
    </row>
    <row r="25" spans="1:9">
      <c r="A25" s="454" t="s">
        <v>206</v>
      </c>
      <c r="B25" s="27">
        <v>0</v>
      </c>
      <c r="C25" s="27">
        <f>_xlfn.IFNA(VLOOKUP(A25,[3]進!$C$3:$F$550,3,0),-[4]整車!$B$22)</f>
        <v>0</v>
      </c>
      <c r="D25" s="23">
        <f t="shared" si="0"/>
        <v>0</v>
      </c>
      <c r="E25" s="28">
        <v>0</v>
      </c>
      <c r="F25" s="24">
        <v>0</v>
      </c>
      <c r="G25" s="28">
        <v>0</v>
      </c>
      <c r="H25" s="24">
        <f t="shared" si="2"/>
        <v>0</v>
      </c>
      <c r="I25" s="25">
        <f t="shared" si="1"/>
        <v>0</v>
      </c>
    </row>
    <row r="26" spans="1:9">
      <c r="A26" s="454" t="s">
        <v>207</v>
      </c>
      <c r="B26" s="27">
        <v>0</v>
      </c>
      <c r="C26" s="27">
        <f>_xlfn.IFNA(VLOOKUP(A26,[3]進!$C$3:$F$550,3,0),-[4]整車!$B$22)</f>
        <v>0</v>
      </c>
      <c r="D26" s="23">
        <f t="shared" si="0"/>
        <v>0</v>
      </c>
      <c r="E26" s="28">
        <v>0</v>
      </c>
      <c r="F26" s="24">
        <v>0</v>
      </c>
      <c r="G26" s="28">
        <v>0</v>
      </c>
      <c r="H26" s="24">
        <f t="shared" si="2"/>
        <v>0</v>
      </c>
      <c r="I26" s="25">
        <f t="shared" si="1"/>
        <v>0</v>
      </c>
    </row>
    <row r="27" spans="1:9">
      <c r="A27" s="456" t="s">
        <v>208</v>
      </c>
      <c r="B27" s="27">
        <v>0</v>
      </c>
      <c r="C27" s="27">
        <f>_xlfn.IFNA(VLOOKUP(A27,[3]進!$C$3:$F$550,3,0),-[4]整車!$B$22)</f>
        <v>0</v>
      </c>
      <c r="D27" s="23">
        <f t="shared" si="0"/>
        <v>0</v>
      </c>
      <c r="E27" s="28">
        <v>0</v>
      </c>
      <c r="F27" s="24">
        <v>0</v>
      </c>
      <c r="G27" s="28">
        <v>0</v>
      </c>
      <c r="H27" s="24">
        <f t="shared" si="2"/>
        <v>0</v>
      </c>
      <c r="I27" s="25">
        <f t="shared" si="1"/>
        <v>0</v>
      </c>
    </row>
    <row r="28" spans="1:9">
      <c r="A28" s="456" t="s">
        <v>209</v>
      </c>
      <c r="B28" s="27">
        <v>0</v>
      </c>
      <c r="C28" s="27">
        <f>_xlfn.IFNA(VLOOKUP(A28,[3]進!$C$3:$F$550,3,0),-[4]整車!$B$22)</f>
        <v>0</v>
      </c>
      <c r="D28" s="23">
        <f t="shared" si="0"/>
        <v>0</v>
      </c>
      <c r="E28" s="28">
        <v>0</v>
      </c>
      <c r="F28" s="24">
        <v>0</v>
      </c>
      <c r="G28" s="28">
        <v>0</v>
      </c>
      <c r="H28" s="24">
        <f t="shared" si="2"/>
        <v>0</v>
      </c>
      <c r="I28" s="25">
        <f t="shared" si="1"/>
        <v>0</v>
      </c>
    </row>
    <row r="29" spans="1:9">
      <c r="A29" s="455" t="s">
        <v>210</v>
      </c>
      <c r="B29" s="27">
        <v>0</v>
      </c>
      <c r="C29" s="27">
        <f>_xlfn.IFNA(VLOOKUP(A29,[3]進!$C$3:$F$550,3,0),-[4]整車!$B$22)</f>
        <v>0</v>
      </c>
      <c r="D29" s="23">
        <f t="shared" si="0"/>
        <v>0</v>
      </c>
      <c r="E29" s="28">
        <v>0</v>
      </c>
      <c r="F29" s="24">
        <v>0</v>
      </c>
      <c r="G29" s="28">
        <v>0</v>
      </c>
      <c r="H29" s="24">
        <f t="shared" si="2"/>
        <v>0</v>
      </c>
      <c r="I29" s="25">
        <f t="shared" si="1"/>
        <v>0</v>
      </c>
    </row>
    <row r="30" spans="1:9">
      <c r="A30" s="455" t="s">
        <v>211</v>
      </c>
      <c r="B30" s="27">
        <v>0</v>
      </c>
      <c r="C30" s="27">
        <f>_xlfn.IFNA(VLOOKUP(A30,[3]進!$C$3:$F$550,3,0),-[4]整車!$B$22)</f>
        <v>0</v>
      </c>
      <c r="D30" s="23">
        <f t="shared" si="0"/>
        <v>0</v>
      </c>
      <c r="E30" s="28">
        <v>0</v>
      </c>
      <c r="F30" s="24">
        <v>0</v>
      </c>
      <c r="G30" s="28">
        <v>0</v>
      </c>
      <c r="H30" s="24">
        <f t="shared" si="2"/>
        <v>0</v>
      </c>
      <c r="I30" s="25">
        <f t="shared" si="1"/>
        <v>0</v>
      </c>
    </row>
    <row r="31" spans="1:9">
      <c r="A31" s="455" t="s">
        <v>16</v>
      </c>
      <c r="B31" s="27">
        <v>0</v>
      </c>
      <c r="C31" s="27">
        <f>_xlfn.IFNA(VLOOKUP(A31,[3]進!$C$3:$F$550,3,0),-[4]整車!$B$22)</f>
        <v>0</v>
      </c>
      <c r="D31" s="23">
        <f t="shared" si="0"/>
        <v>0</v>
      </c>
      <c r="E31" s="28">
        <v>0</v>
      </c>
      <c r="F31" s="24">
        <v>0</v>
      </c>
      <c r="G31" s="28">
        <v>0</v>
      </c>
      <c r="H31" s="24">
        <f t="shared" si="2"/>
        <v>0</v>
      </c>
      <c r="I31" s="25">
        <f t="shared" si="1"/>
        <v>0</v>
      </c>
    </row>
    <row r="32" spans="1:9">
      <c r="A32" s="455" t="s">
        <v>17</v>
      </c>
      <c r="B32" s="27">
        <v>0</v>
      </c>
      <c r="C32" s="27">
        <v>0</v>
      </c>
      <c r="D32" s="23">
        <f t="shared" si="0"/>
        <v>0</v>
      </c>
      <c r="E32" s="28">
        <v>0</v>
      </c>
      <c r="F32" s="24">
        <v>0</v>
      </c>
      <c r="G32" s="28">
        <v>0</v>
      </c>
      <c r="H32" s="24">
        <f t="shared" si="2"/>
        <v>0</v>
      </c>
      <c r="I32" s="25">
        <f t="shared" si="1"/>
        <v>0</v>
      </c>
    </row>
    <row r="33" spans="1:9">
      <c r="A33" s="455" t="s">
        <v>212</v>
      </c>
      <c r="B33" s="27">
        <v>0</v>
      </c>
      <c r="C33" s="27">
        <f>_xlfn.IFNA(VLOOKUP(A33,[3]進!$C$3:$F$550,3,0),-[4]整車!$B$22)</f>
        <v>0</v>
      </c>
      <c r="D33" s="23">
        <f t="shared" si="0"/>
        <v>0</v>
      </c>
      <c r="E33" s="28">
        <v>0</v>
      </c>
      <c r="F33" s="24">
        <v>0</v>
      </c>
      <c r="G33" s="28">
        <v>0</v>
      </c>
      <c r="H33" s="24">
        <f t="shared" si="2"/>
        <v>0</v>
      </c>
      <c r="I33" s="25">
        <f t="shared" si="1"/>
        <v>0</v>
      </c>
    </row>
    <row r="34" spans="1:9">
      <c r="A34" s="455" t="s">
        <v>213</v>
      </c>
      <c r="B34" s="27">
        <v>0</v>
      </c>
      <c r="C34" s="27">
        <f>_xlfn.IFNA(VLOOKUP(A34,[3]進!$C$3:$F$550,3,0),-[4]整車!$B$22)</f>
        <v>0</v>
      </c>
      <c r="D34" s="23">
        <f t="shared" si="0"/>
        <v>0</v>
      </c>
      <c r="E34" s="28">
        <v>0</v>
      </c>
      <c r="F34" s="24">
        <v>0</v>
      </c>
      <c r="G34" s="28">
        <v>0</v>
      </c>
      <c r="H34" s="24">
        <f t="shared" si="2"/>
        <v>0</v>
      </c>
      <c r="I34" s="25">
        <f t="shared" si="1"/>
        <v>0</v>
      </c>
    </row>
    <row r="35" spans="1:9">
      <c r="A35" s="455" t="s">
        <v>214</v>
      </c>
      <c r="B35" s="27">
        <v>0</v>
      </c>
      <c r="C35" s="27">
        <f>_xlfn.IFNA(VLOOKUP(A35,[3]進!$C$3:$F$550,3,0),-[4]整車!$B$22)</f>
        <v>0</v>
      </c>
      <c r="D35" s="23">
        <f t="shared" si="0"/>
        <v>0</v>
      </c>
      <c r="E35" s="28">
        <v>0</v>
      </c>
      <c r="F35" s="24">
        <v>0</v>
      </c>
      <c r="G35" s="28">
        <v>0</v>
      </c>
      <c r="H35" s="24">
        <f t="shared" si="2"/>
        <v>0</v>
      </c>
      <c r="I35" s="25">
        <f t="shared" si="1"/>
        <v>0</v>
      </c>
    </row>
    <row r="36" spans="1:9">
      <c r="A36" s="455" t="s">
        <v>215</v>
      </c>
      <c r="B36" s="27">
        <v>0</v>
      </c>
      <c r="C36" s="27">
        <f>_xlfn.IFNA(VLOOKUP(A36,[3]進!$C$3:$F$550,3,0),-[4]整車!$B$22)</f>
        <v>0</v>
      </c>
      <c r="D36" s="23">
        <f t="shared" si="0"/>
        <v>0</v>
      </c>
      <c r="E36" s="28">
        <v>0</v>
      </c>
      <c r="F36" s="24">
        <v>0</v>
      </c>
      <c r="G36" s="28">
        <v>0</v>
      </c>
      <c r="H36" s="24">
        <f t="shared" si="2"/>
        <v>0</v>
      </c>
      <c r="I36" s="25">
        <f t="shared" si="1"/>
        <v>0</v>
      </c>
    </row>
    <row r="37" spans="1:9">
      <c r="A37" s="455" t="s">
        <v>216</v>
      </c>
      <c r="B37" s="27">
        <v>0</v>
      </c>
      <c r="C37" s="27">
        <f>_xlfn.IFNA(VLOOKUP(A37,[3]進!$C$3:$F$550,3,0),-[4]整車!$B$22)</f>
        <v>0</v>
      </c>
      <c r="D37" s="23">
        <f t="shared" si="0"/>
        <v>0</v>
      </c>
      <c r="E37" s="28">
        <v>0</v>
      </c>
      <c r="F37" s="24">
        <v>0</v>
      </c>
      <c r="G37" s="28">
        <v>0</v>
      </c>
      <c r="H37" s="24">
        <f t="shared" si="2"/>
        <v>0</v>
      </c>
      <c r="I37" s="25">
        <f t="shared" si="1"/>
        <v>0</v>
      </c>
    </row>
    <row r="38" spans="1:9">
      <c r="A38" s="455" t="s">
        <v>217</v>
      </c>
      <c r="B38" s="27">
        <v>0</v>
      </c>
      <c r="C38" s="27">
        <f>_xlfn.IFNA(VLOOKUP(A38,[3]進!$C$3:$F$550,3,0),-[4]整車!$B$22)</f>
        <v>0</v>
      </c>
      <c r="D38" s="23">
        <f t="shared" si="0"/>
        <v>0</v>
      </c>
      <c r="E38" s="28">
        <v>0</v>
      </c>
      <c r="F38" s="24">
        <v>0</v>
      </c>
      <c r="G38" s="28">
        <v>0</v>
      </c>
      <c r="H38" s="24">
        <f t="shared" si="2"/>
        <v>0</v>
      </c>
      <c r="I38" s="25">
        <f t="shared" si="1"/>
        <v>0</v>
      </c>
    </row>
    <row r="39" spans="1:9">
      <c r="A39" s="455" t="s">
        <v>18</v>
      </c>
      <c r="B39" s="27">
        <v>0</v>
      </c>
      <c r="C39" s="27">
        <f>_xlfn.IFNA(VLOOKUP(A39,[3]進!$C$3:$F$550,3,0),-[4]整車!$B$22)</f>
        <v>0</v>
      </c>
      <c r="D39" s="23">
        <f t="shared" si="0"/>
        <v>0</v>
      </c>
      <c r="E39" s="28">
        <v>0</v>
      </c>
      <c r="F39" s="24">
        <v>0</v>
      </c>
      <c r="G39" s="28">
        <v>0</v>
      </c>
      <c r="H39" s="24">
        <f t="shared" si="2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v>0</v>
      </c>
      <c r="F41" s="24">
        <v>0</v>
      </c>
      <c r="G41" s="28">
        <v>0</v>
      </c>
      <c r="H41" s="24">
        <f>G41/$G$66</f>
        <v>0</v>
      </c>
      <c r="I41" s="25">
        <f t="shared" si="1"/>
        <v>0</v>
      </c>
    </row>
    <row r="42" spans="1:9">
      <c r="A42" s="26" t="s">
        <v>218</v>
      </c>
      <c r="B42" s="27">
        <v>0</v>
      </c>
      <c r="C42" s="27">
        <f>_xlfn.IFNA(VLOOKUP(A42,[3]進!$C$3:$F$50,3,0),-[4]整車!$B$22)</f>
        <v>0</v>
      </c>
      <c r="D42" s="23">
        <f t="shared" si="0"/>
        <v>0</v>
      </c>
      <c r="E42" s="28">
        <v>0</v>
      </c>
      <c r="F42" s="24"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219</v>
      </c>
      <c r="B43" s="27">
        <v>0</v>
      </c>
      <c r="C43" s="27">
        <f>_xlfn.IFNA(VLOOKUP(A43,[3]進!$C$3:$F$50,3,0),-[4]整車!$B$22)</f>
        <v>0</v>
      </c>
      <c r="D43" s="23">
        <f t="shared" si="0"/>
        <v>0</v>
      </c>
      <c r="E43" s="28">
        <v>0</v>
      </c>
      <c r="F43" s="24"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220</v>
      </c>
      <c r="B44" s="27">
        <v>0</v>
      </c>
      <c r="C44" s="27">
        <f>_xlfn.IFNA(VLOOKUP(A44,[3]進!$C$3:$F$50,3,0),-[4]整車!$B$22)</f>
        <v>0</v>
      </c>
      <c r="D44" s="23">
        <f t="shared" si="0"/>
        <v>0</v>
      </c>
      <c r="E44" s="28">
        <v>0</v>
      </c>
      <c r="F44" s="24"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7">
        <f>_xlfn.IFNA(VLOOKUP(A45,[3]進!$C$3:$F$50,3,0),-[4]整車!$B$22)</f>
        <v>0</v>
      </c>
      <c r="D45" s="23">
        <f t="shared" si="0"/>
        <v>0</v>
      </c>
      <c r="E45" s="28">
        <v>0</v>
      </c>
      <c r="F45" s="24"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19809</v>
      </c>
      <c r="C47" s="33">
        <f>SUM(C48:C64)</f>
        <v>2989828</v>
      </c>
      <c r="D47" s="23">
        <f t="shared" si="0"/>
        <v>150.93280831945074</v>
      </c>
      <c r="E47" s="33">
        <v>19809</v>
      </c>
      <c r="F47" s="24">
        <v>2989828</v>
      </c>
      <c r="G47" s="33">
        <v>2989828</v>
      </c>
      <c r="H47" s="24">
        <f t="shared" ref="H47:H66" si="3">G47/$G$66</f>
        <v>0.99416666583537583</v>
      </c>
      <c r="I47" s="25">
        <f t="shared" si="1"/>
        <v>150.93280831945074</v>
      </c>
    </row>
    <row r="48" spans="1:9" ht="16.899999999999999" customHeight="1">
      <c r="A48" s="486" t="s">
        <v>161</v>
      </c>
      <c r="B48" s="27">
        <f>VLOOKUP(A48,[7]進出口值表查詢結果!$A$10:$C$20,3,0)</f>
        <v>64</v>
      </c>
      <c r="C48" s="28">
        <f>VLOOKUP(A48,[7]進出口值表查詢結果!$A$10:$C$20,2,0)</f>
        <v>127759</v>
      </c>
      <c r="D48" s="23">
        <f t="shared" si="0"/>
        <v>1996.234375</v>
      </c>
      <c r="E48" s="28">
        <v>64</v>
      </c>
      <c r="F48" s="24">
        <v>127759</v>
      </c>
      <c r="G48" s="28">
        <v>127759</v>
      </c>
      <c r="H48" s="24">
        <f t="shared" si="3"/>
        <v>4.2481955169481916E-2</v>
      </c>
      <c r="I48" s="25">
        <f t="shared" si="1"/>
        <v>1996.234375</v>
      </c>
    </row>
    <row r="49" spans="1:9">
      <c r="A49" s="26" t="s">
        <v>221</v>
      </c>
      <c r="B49" s="27">
        <f>VLOOKUP(A49,[7]進出口值表查詢結果!$A$10:$C$20,3,0)</f>
        <v>13</v>
      </c>
      <c r="C49" s="28">
        <f>VLOOKUP(A49,[7]進出口值表查詢結果!$A$10:$C$20,2,0)</f>
        <v>1082</v>
      </c>
      <c r="D49" s="23">
        <f t="shared" si="0"/>
        <v>83.230769230769226</v>
      </c>
      <c r="E49" s="28">
        <v>13</v>
      </c>
      <c r="F49" s="24">
        <v>1082</v>
      </c>
      <c r="G49" s="28">
        <v>1082</v>
      </c>
      <c r="H49" s="24">
        <f t="shared" si="3"/>
        <v>3.5978268062038238E-4</v>
      </c>
      <c r="I49" s="25">
        <f t="shared" si="1"/>
        <v>83.230769230769226</v>
      </c>
    </row>
    <row r="50" spans="1:9">
      <c r="A50" s="467" t="s">
        <v>222</v>
      </c>
      <c r="B50" s="27">
        <v>0</v>
      </c>
      <c r="C50" s="27">
        <f>_xlfn.IFNA(VLOOKUP(A50,[3]進!$C$3:$F$150,3,0),-[4]整車!$B$22)</f>
        <v>0</v>
      </c>
      <c r="D50" s="23">
        <f t="shared" si="0"/>
        <v>0</v>
      </c>
      <c r="E50" s="28">
        <v>0</v>
      </c>
      <c r="F50" s="24">
        <v>0</v>
      </c>
      <c r="G50" s="28">
        <v>0</v>
      </c>
      <c r="H50" s="24">
        <f t="shared" si="3"/>
        <v>0</v>
      </c>
      <c r="I50" s="25">
        <f t="shared" si="1"/>
        <v>0</v>
      </c>
    </row>
    <row r="51" spans="1:9">
      <c r="A51" s="26" t="s">
        <v>223</v>
      </c>
      <c r="B51" s="27">
        <v>0</v>
      </c>
      <c r="C51" s="27">
        <f>_xlfn.IFNA(VLOOKUP(A51,[3]進!$C$3:$F$150,3,0),-[4]整車!$B$22)</f>
        <v>0</v>
      </c>
      <c r="D51" s="23">
        <f t="shared" si="0"/>
        <v>0</v>
      </c>
      <c r="E51" s="28">
        <v>0</v>
      </c>
      <c r="F51" s="24">
        <v>0</v>
      </c>
      <c r="G51" s="28">
        <v>0</v>
      </c>
      <c r="H51" s="24">
        <f t="shared" si="3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7">
        <f>_xlfn.IFNA(VLOOKUP(A52,[3]進!$C$3:$F$150,3,0),-[4]整車!$B$22)</f>
        <v>0</v>
      </c>
      <c r="D52" s="23">
        <f t="shared" si="0"/>
        <v>0</v>
      </c>
      <c r="E52" s="28">
        <v>0</v>
      </c>
      <c r="F52" s="24">
        <v>0</v>
      </c>
      <c r="G52" s="28">
        <v>0</v>
      </c>
      <c r="H52" s="24">
        <f t="shared" si="3"/>
        <v>0</v>
      </c>
      <c r="I52" s="25">
        <f t="shared" si="1"/>
        <v>0</v>
      </c>
    </row>
    <row r="53" spans="1:9">
      <c r="A53" s="26" t="s">
        <v>224</v>
      </c>
      <c r="B53" s="27">
        <v>0</v>
      </c>
      <c r="C53" s="27">
        <f>_xlfn.IFNA(VLOOKUP(A53,[3]進!$C$3:$F$150,3,0),-[4]整車!$B$22)</f>
        <v>0</v>
      </c>
      <c r="D53" s="23">
        <f t="shared" si="0"/>
        <v>0</v>
      </c>
      <c r="E53" s="28">
        <v>0</v>
      </c>
      <c r="F53" s="24">
        <v>0</v>
      </c>
      <c r="G53" s="28">
        <v>0</v>
      </c>
      <c r="H53" s="24">
        <f t="shared" si="3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7">
        <v>0</v>
      </c>
      <c r="D54" s="23">
        <f t="shared" si="0"/>
        <v>0</v>
      </c>
      <c r="E54" s="28">
        <v>0</v>
      </c>
      <c r="F54" s="24">
        <v>0</v>
      </c>
      <c r="G54" s="28">
        <v>0</v>
      </c>
      <c r="H54" s="24">
        <f t="shared" si="3"/>
        <v>0</v>
      </c>
      <c r="I54" s="25">
        <f t="shared" si="1"/>
        <v>0</v>
      </c>
    </row>
    <row r="55" spans="1:9">
      <c r="A55" s="30" t="s">
        <v>23</v>
      </c>
      <c r="B55" s="27">
        <v>0</v>
      </c>
      <c r="C55" s="27">
        <f>_xlfn.IFNA(VLOOKUP(A55,[3]進!$C$3:$F$150,3,0),-[4]整車!$B$22)</f>
        <v>0</v>
      </c>
      <c r="D55" s="23">
        <f t="shared" si="0"/>
        <v>0</v>
      </c>
      <c r="E55" s="28">
        <v>0</v>
      </c>
      <c r="F55" s="24">
        <v>0</v>
      </c>
      <c r="G55" s="28">
        <v>0</v>
      </c>
      <c r="H55" s="24">
        <f t="shared" si="3"/>
        <v>0</v>
      </c>
      <c r="I55" s="25">
        <f t="shared" si="1"/>
        <v>0</v>
      </c>
    </row>
    <row r="56" spans="1:9">
      <c r="A56" s="294" t="s">
        <v>229</v>
      </c>
      <c r="B56" s="27">
        <v>0</v>
      </c>
      <c r="C56" s="27">
        <v>0</v>
      </c>
      <c r="D56" s="23">
        <f t="shared" si="0"/>
        <v>0</v>
      </c>
      <c r="E56" s="28">
        <v>0</v>
      </c>
      <c r="F56" s="24">
        <v>0</v>
      </c>
      <c r="G56" s="28">
        <v>0</v>
      </c>
      <c r="H56" s="24">
        <f t="shared" si="3"/>
        <v>0</v>
      </c>
      <c r="I56" s="25">
        <f t="shared" si="1"/>
        <v>0</v>
      </c>
    </row>
    <row r="57" spans="1:9">
      <c r="A57" s="37" t="s">
        <v>227</v>
      </c>
      <c r="B57" s="27">
        <v>0</v>
      </c>
      <c r="C57" s="27">
        <v>0</v>
      </c>
      <c r="D57" s="23">
        <f t="shared" si="0"/>
        <v>0</v>
      </c>
      <c r="E57" s="28">
        <v>0</v>
      </c>
      <c r="F57" s="24">
        <v>0</v>
      </c>
      <c r="G57" s="28">
        <v>0</v>
      </c>
      <c r="H57" s="24">
        <f t="shared" si="3"/>
        <v>0</v>
      </c>
      <c r="I57" s="25">
        <f t="shared" si="1"/>
        <v>0</v>
      </c>
    </row>
    <row r="58" spans="1:9">
      <c r="A58" s="37" t="s">
        <v>390</v>
      </c>
      <c r="B58" s="27">
        <f>VLOOKUP(A58,[7]進出口值表查詢結果!$A$10:$C$20,3,0)</f>
        <v>206</v>
      </c>
      <c r="C58" s="28">
        <f>VLOOKUP(A58,[7]進出口值表查詢結果!$A$10:$C$20,2,0)</f>
        <v>207265</v>
      </c>
      <c r="D58" s="23">
        <f t="shared" si="0"/>
        <v>1006.1407766990292</v>
      </c>
      <c r="E58" s="28">
        <v>206</v>
      </c>
      <c r="F58" s="24">
        <v>207265</v>
      </c>
      <c r="G58" s="28">
        <v>207265</v>
      </c>
      <c r="H58" s="24">
        <f t="shared" si="3"/>
        <v>6.891899935192565E-2</v>
      </c>
      <c r="I58" s="25">
        <f t="shared" si="1"/>
        <v>1006.1407766990292</v>
      </c>
    </row>
    <row r="59" spans="1:9">
      <c r="A59" s="37" t="s">
        <v>112</v>
      </c>
      <c r="B59" s="27">
        <f>VLOOKUP(A59,[7]進出口值表查詢結果!$A$10:$C$20,3,0)</f>
        <v>3</v>
      </c>
      <c r="C59" s="28">
        <f>VLOOKUP(A59,[7]進出口值表查詢結果!$A$10:$C$20,2,0)</f>
        <v>2858</v>
      </c>
      <c r="D59" s="23">
        <f t="shared" si="0"/>
        <v>952.66666666666663</v>
      </c>
      <c r="E59" s="28">
        <v>3</v>
      </c>
      <c r="F59" s="24">
        <v>2858</v>
      </c>
      <c r="G59" s="28">
        <v>2858</v>
      </c>
      <c r="H59" s="24">
        <f t="shared" si="3"/>
        <v>9.5033170167564956E-4</v>
      </c>
      <c r="I59" s="25">
        <f t="shared" si="1"/>
        <v>952.66666666666663</v>
      </c>
    </row>
    <row r="60" spans="1:9">
      <c r="A60" s="37" t="s">
        <v>113</v>
      </c>
      <c r="B60" s="27">
        <v>0</v>
      </c>
      <c r="C60" s="27">
        <f>_xlfn.IFNA(VLOOKUP(A60,[3]進!$C$3:$F$150,3,0),-[4]整車!$B$22)</f>
        <v>0</v>
      </c>
      <c r="D60" s="23">
        <f t="shared" si="0"/>
        <v>0</v>
      </c>
      <c r="E60" s="28">
        <v>0</v>
      </c>
      <c r="F60" s="24">
        <v>0</v>
      </c>
      <c r="G60" s="28">
        <v>0</v>
      </c>
      <c r="H60" s="24">
        <f t="shared" si="3"/>
        <v>0</v>
      </c>
      <c r="I60" s="25">
        <f t="shared" si="1"/>
        <v>0</v>
      </c>
    </row>
    <row r="61" spans="1:9">
      <c r="A61" s="37" t="s">
        <v>114</v>
      </c>
      <c r="B61" s="27">
        <f>VLOOKUP(A61,[7]進出口值表查詢結果!$A$10:$C$20,3,0)</f>
        <v>19523</v>
      </c>
      <c r="C61" s="28">
        <f>VLOOKUP(A61,[7]進出口值表查詢結果!$A$10:$C$20,2,0)</f>
        <v>2650864</v>
      </c>
      <c r="D61" s="23">
        <f t="shared" si="0"/>
        <v>135.78159094401474</v>
      </c>
      <c r="E61" s="28">
        <v>19523</v>
      </c>
      <c r="F61" s="24">
        <v>2650864</v>
      </c>
      <c r="G61" s="28">
        <v>2650864</v>
      </c>
      <c r="H61" s="24">
        <f t="shared" si="3"/>
        <v>0.88145559693167219</v>
      </c>
      <c r="I61" s="25">
        <f t="shared" si="1"/>
        <v>135.78159094401474</v>
      </c>
    </row>
    <row r="62" spans="1:9">
      <c r="A62" s="37" t="s">
        <v>391</v>
      </c>
      <c r="B62" s="27">
        <v>0</v>
      </c>
      <c r="C62" s="27">
        <f>_xlfn.IFNA(VLOOKUP(A62,[3]進!$C$3:$F$150,3,0),-[4]整車!$B$22)</f>
        <v>0</v>
      </c>
      <c r="D62" s="23">
        <f t="shared" si="0"/>
        <v>0</v>
      </c>
      <c r="E62" s="28">
        <v>0</v>
      </c>
      <c r="F62" s="24">
        <v>0</v>
      </c>
      <c r="G62" s="28">
        <v>0</v>
      </c>
      <c r="H62" s="24">
        <f t="shared" si="3"/>
        <v>0</v>
      </c>
      <c r="I62" s="25">
        <f t="shared" si="1"/>
        <v>0</v>
      </c>
    </row>
    <row r="63" spans="1:9">
      <c r="A63" s="37" t="s">
        <v>392</v>
      </c>
      <c r="B63" s="27">
        <v>0</v>
      </c>
      <c r="C63" s="27">
        <f>_xlfn.IFNA(VLOOKUP(A63,[3]進!$C$3:$F$150,3,0),-[4]整車!$B$22)</f>
        <v>0</v>
      </c>
      <c r="D63" s="23">
        <f t="shared" si="0"/>
        <v>0</v>
      </c>
      <c r="E63" s="28">
        <v>0</v>
      </c>
      <c r="F63" s="24">
        <v>0</v>
      </c>
      <c r="G63" s="28">
        <v>0</v>
      </c>
      <c r="H63" s="24">
        <f t="shared" si="3"/>
        <v>0</v>
      </c>
      <c r="I63" s="25">
        <f t="shared" si="1"/>
        <v>0</v>
      </c>
    </row>
    <row r="64" spans="1:9">
      <c r="A64" s="37" t="s">
        <v>393</v>
      </c>
      <c r="B64" s="27">
        <v>0</v>
      </c>
      <c r="C64" s="27">
        <f>_xlfn.IFNA(VLOOKUP(A64,[3]進!$C$3:$F$150,3,0),-[4]整車!$B$22)</f>
        <v>0</v>
      </c>
      <c r="D64" s="23">
        <f t="shared" si="0"/>
        <v>0</v>
      </c>
      <c r="E64" s="28">
        <v>0</v>
      </c>
      <c r="F64" s="24">
        <v>0</v>
      </c>
      <c r="G64" s="28">
        <v>0</v>
      </c>
      <c r="H64" s="24">
        <f t="shared" si="3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1</v>
      </c>
      <c r="C65" s="27">
        <f>C66-C47-C41-C12-C7</f>
        <v>334</v>
      </c>
      <c r="D65" s="23">
        <f t="shared" si="0"/>
        <v>334</v>
      </c>
      <c r="E65" s="27">
        <v>1</v>
      </c>
      <c r="F65" s="24">
        <v>334</v>
      </c>
      <c r="G65" s="27">
        <v>334</v>
      </c>
      <c r="H65" s="24">
        <f t="shared" si="3"/>
        <v>1.1106045778854687E-4</v>
      </c>
      <c r="I65" s="25">
        <f t="shared" si="1"/>
        <v>334</v>
      </c>
    </row>
    <row r="66" spans="1:9">
      <c r="A66" s="32" t="s">
        <v>402</v>
      </c>
      <c r="B66" s="27">
        <f>VLOOKUP(A66,[7]進出口值表查詢結果!$A$10:$C$20,3,0)</f>
        <v>19816</v>
      </c>
      <c r="C66" s="558">
        <f>VLOOKUP(A66,[7]進出口值表查詢結果!$A$10:$C$20,2,0)</f>
        <v>3007371</v>
      </c>
      <c r="D66" s="52">
        <f t="shared" ref="D66" si="4">C66/B66</f>
        <v>151.76478603148971</v>
      </c>
      <c r="E66" s="27">
        <v>19816</v>
      </c>
      <c r="F66" s="559">
        <v>3007371</v>
      </c>
      <c r="G66" s="27">
        <v>3007371</v>
      </c>
      <c r="H66" s="559">
        <f t="shared" si="3"/>
        <v>1</v>
      </c>
      <c r="I66" s="52">
        <f>G66/E66</f>
        <v>151.76478603148971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152</v>
      </c>
      <c r="B68" s="102"/>
      <c r="C68" s="102"/>
      <c r="D68" s="173"/>
      <c r="E68" s="102"/>
      <c r="F68" s="174"/>
      <c r="G68" s="102"/>
      <c r="H68" s="175"/>
      <c r="I68" s="176"/>
    </row>
    <row r="69" spans="1:9">
      <c r="A69" s="8" t="s">
        <v>489</v>
      </c>
      <c r="B69" s="8" t="s">
        <v>421</v>
      </c>
      <c r="C69" s="8" t="s">
        <v>422</v>
      </c>
      <c r="D69" s="9" t="s">
        <v>0</v>
      </c>
      <c r="E69" s="10" t="s">
        <v>423</v>
      </c>
      <c r="F69" s="11" t="s">
        <v>1</v>
      </c>
      <c r="G69" s="8" t="s">
        <v>424</v>
      </c>
      <c r="H69" s="45" t="s">
        <v>1</v>
      </c>
      <c r="I69" s="512" t="s">
        <v>115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67</v>
      </c>
      <c r="C71" s="27">
        <v>28582</v>
      </c>
      <c r="D71" s="522">
        <f>C71/B71</f>
        <v>426.59701492537312</v>
      </c>
      <c r="E71" s="27">
        <v>67</v>
      </c>
      <c r="F71" s="27">
        <v>28582</v>
      </c>
      <c r="G71" s="27">
        <v>28582</v>
      </c>
      <c r="H71" s="53">
        <v>1</v>
      </c>
      <c r="I71" s="52">
        <f>G71/E71</f>
        <v>426.59701492537312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491</v>
      </c>
      <c r="B73" s="13"/>
      <c r="C73" s="168"/>
      <c r="D73" s="177"/>
      <c r="E73" s="13"/>
      <c r="F73" s="168"/>
      <c r="G73" s="169"/>
      <c r="H73" s="13"/>
      <c r="I73" s="178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topLeftCell="A41" zoomScale="80" zoomScaleNormal="80" workbookViewId="0">
      <selection activeCell="D61" sqref="D61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495</v>
      </c>
      <c r="B1" s="1"/>
      <c r="C1" s="1"/>
      <c r="D1" s="1"/>
      <c r="E1" s="2"/>
      <c r="F1" s="2"/>
      <c r="G1" s="2"/>
      <c r="H1" s="2"/>
      <c r="I1" s="2"/>
    </row>
    <row r="2" spans="1:9" ht="13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8" customFormat="1" ht="17.25">
      <c r="A3" s="214" t="s">
        <v>155</v>
      </c>
      <c r="B3" s="215"/>
      <c r="C3" s="215"/>
      <c r="D3" s="215"/>
      <c r="E3" s="216"/>
      <c r="F3" s="216"/>
      <c r="G3" s="216"/>
      <c r="H3" s="216"/>
      <c r="I3" s="217"/>
    </row>
    <row r="4" spans="1:9" s="218" customFormat="1" ht="17.25">
      <c r="A4" s="219" t="s">
        <v>159</v>
      </c>
      <c r="B4" s="220"/>
      <c r="C4" s="220"/>
      <c r="D4" s="220"/>
      <c r="E4" s="221"/>
      <c r="F4" s="221"/>
      <c r="G4" s="221"/>
      <c r="H4" s="221"/>
      <c r="I4" s="222"/>
    </row>
    <row r="5" spans="1:9" s="226" customFormat="1">
      <c r="A5" s="8" t="s">
        <v>489</v>
      </c>
      <c r="B5" s="8" t="s">
        <v>421</v>
      </c>
      <c r="C5" s="8" t="s">
        <v>422</v>
      </c>
      <c r="D5" s="9" t="s">
        <v>0</v>
      </c>
      <c r="E5" s="10" t="s">
        <v>423</v>
      </c>
      <c r="F5" s="11" t="s">
        <v>1</v>
      </c>
      <c r="G5" s="8" t="s">
        <v>424</v>
      </c>
      <c r="H5" s="225" t="s">
        <v>1</v>
      </c>
      <c r="I5" s="224" t="s">
        <v>0</v>
      </c>
    </row>
    <row r="6" spans="1:9" s="226" customFormat="1">
      <c r="A6" s="227"/>
      <c r="B6" s="228" t="s">
        <v>2</v>
      </c>
      <c r="C6" s="229" t="s">
        <v>3</v>
      </c>
      <c r="D6" s="227" t="s">
        <v>3</v>
      </c>
      <c r="E6" s="225" t="s">
        <v>2</v>
      </c>
      <c r="F6" s="225"/>
      <c r="G6" s="223" t="s">
        <v>3</v>
      </c>
      <c r="H6" s="223"/>
      <c r="I6" s="224" t="s">
        <v>3</v>
      </c>
    </row>
    <row r="7" spans="1:9" s="226" customFormat="1">
      <c r="A7" s="230" t="s">
        <v>4</v>
      </c>
      <c r="B7" s="231"/>
      <c r="C7" s="232"/>
      <c r="D7" s="230"/>
      <c r="E7" s="233"/>
      <c r="F7" s="234"/>
      <c r="G7" s="234"/>
      <c r="H7" s="234"/>
      <c r="I7" s="235"/>
    </row>
    <row r="8" spans="1:9" s="226" customFormat="1">
      <c r="A8" s="236" t="s">
        <v>5</v>
      </c>
      <c r="B8" s="237">
        <f>SUM(B9:B11)</f>
        <v>10791</v>
      </c>
      <c r="C8" s="238">
        <f>SUM(C9:C11)</f>
        <v>27422196</v>
      </c>
      <c r="D8" s="239">
        <f>IF(B8,C8/B8,0)</f>
        <v>2541.2098971365026</v>
      </c>
      <c r="E8" s="240">
        <v>10791</v>
      </c>
      <c r="F8" s="241">
        <f>E8/E64</f>
        <v>0.46974577746822216</v>
      </c>
      <c r="G8" s="242">
        <v>27422196</v>
      </c>
      <c r="H8" s="241">
        <f>G8/G64</f>
        <v>0.54635554150526111</v>
      </c>
      <c r="I8" s="243">
        <f>IF(E8,G8/E8,0)</f>
        <v>2541.2098971365026</v>
      </c>
    </row>
    <row r="9" spans="1:9" s="226" customFormat="1">
      <c r="A9" s="244" t="s">
        <v>162</v>
      </c>
      <c r="B9" s="245">
        <f>VLOOKUP(A9,[8]進出口值表查詢結果!$A$3:$C$29,3,0)</f>
        <v>10392</v>
      </c>
      <c r="C9" s="245">
        <f>VLOOKUP(A9,[8]進出口值表查詢結果!$A$3:$C$29,2,0)</f>
        <v>26361814</v>
      </c>
      <c r="D9" s="239">
        <f t="shared" ref="D9:D63" si="0">IF(B9,C9/B9,0)</f>
        <v>2536.7411470361817</v>
      </c>
      <c r="E9" s="246">
        <v>10392</v>
      </c>
      <c r="F9" s="241">
        <f>E9/E64</f>
        <v>0.45237680654710083</v>
      </c>
      <c r="G9" s="247">
        <v>26361814</v>
      </c>
      <c r="H9" s="241">
        <f>G9/G64</f>
        <v>0.52522865648801331</v>
      </c>
      <c r="I9" s="243">
        <f t="shared" ref="I9:I63" si="1">IF(E9,G9/E9,0)</f>
        <v>2536.7411470361817</v>
      </c>
    </row>
    <row r="10" spans="1:9" s="226" customFormat="1">
      <c r="A10" s="37" t="s">
        <v>6</v>
      </c>
      <c r="B10" s="245">
        <f>VLOOKUP(A10,[8]進出口值表查詢結果!$A$3:$C$29,3,0)</f>
        <v>369</v>
      </c>
      <c r="C10" s="245">
        <f>VLOOKUP(A10,[8]進出口值表查詢結果!$A$3:$C$29,2,0)</f>
        <v>1016782</v>
      </c>
      <c r="D10" s="239">
        <f t="shared" si="0"/>
        <v>2755.5067750677508</v>
      </c>
      <c r="E10" s="246">
        <v>369</v>
      </c>
      <c r="F10" s="241">
        <f>E10/E64</f>
        <v>1.6063033257879156E-2</v>
      </c>
      <c r="G10" s="247">
        <v>1016782</v>
      </c>
      <c r="H10" s="241">
        <f>G10/G64</f>
        <v>2.0258205440687623E-2</v>
      </c>
      <c r="I10" s="243">
        <f t="shared" si="1"/>
        <v>2755.5067750677508</v>
      </c>
    </row>
    <row r="11" spans="1:9" s="226" customFormat="1">
      <c r="A11" s="37" t="s">
        <v>7</v>
      </c>
      <c r="B11" s="245">
        <f>VLOOKUP(A11,[8]進出口值表查詢結果!$A$3:$C$29,3,0)</f>
        <v>30</v>
      </c>
      <c r="C11" s="245">
        <f>VLOOKUP(A11,[8]進出口值表查詢結果!$A$3:$C$29,2,0)</f>
        <v>43600</v>
      </c>
      <c r="D11" s="239">
        <f t="shared" si="0"/>
        <v>1453.3333333333333</v>
      </c>
      <c r="E11" s="246">
        <v>30</v>
      </c>
      <c r="F11" s="241">
        <f>E11/E64</f>
        <v>1.305937663242208E-3</v>
      </c>
      <c r="G11" s="247">
        <v>43600</v>
      </c>
      <c r="H11" s="241">
        <f>G11/G64</f>
        <v>8.6867957656014806E-4</v>
      </c>
      <c r="I11" s="243">
        <f t="shared" si="1"/>
        <v>1453.3333333333333</v>
      </c>
    </row>
    <row r="12" spans="1:9" s="226" customFormat="1">
      <c r="A12" s="37"/>
      <c r="B12" s="34"/>
      <c r="C12" s="34"/>
      <c r="D12" s="239"/>
      <c r="E12" s="247"/>
      <c r="F12" s="248"/>
      <c r="G12" s="247"/>
      <c r="H12" s="248"/>
      <c r="I12" s="243"/>
    </row>
    <row r="13" spans="1:9" s="226" customFormat="1">
      <c r="A13" s="249" t="s">
        <v>8</v>
      </c>
      <c r="B13" s="250">
        <f>SUM(B14:B40)</f>
        <v>9543</v>
      </c>
      <c r="C13" s="250">
        <f>SUM(C14:C40)</f>
        <v>17145239</v>
      </c>
      <c r="D13" s="239">
        <f t="shared" si="0"/>
        <v>1796.629885780153</v>
      </c>
      <c r="E13" s="251">
        <v>9543</v>
      </c>
      <c r="F13" s="241">
        <f>E13/E64</f>
        <v>0.41541877067734634</v>
      </c>
      <c r="G13" s="242">
        <v>17145239</v>
      </c>
      <c r="H13" s="241">
        <f>G13/G64</f>
        <v>0.34159905859042511</v>
      </c>
      <c r="I13" s="243">
        <f t="shared" si="1"/>
        <v>1796.629885780153</v>
      </c>
    </row>
    <row r="14" spans="1:9" s="226" customFormat="1">
      <c r="A14" s="244" t="s">
        <v>247</v>
      </c>
      <c r="B14" s="245">
        <f>VLOOKUP(A14,[8]進出口值表查詢結果!$A$3:$C$29,3,0)</f>
        <v>5353</v>
      </c>
      <c r="C14" s="245">
        <f>VLOOKUP(A14,[8]進出口值表查詢結果!$A$3:$C$29,2,0)</f>
        <v>11704894</v>
      </c>
      <c r="D14" s="239">
        <f t="shared" si="0"/>
        <v>2186.6045208294413</v>
      </c>
      <c r="E14" s="245">
        <v>5353</v>
      </c>
      <c r="F14" s="241">
        <f>E14/E64</f>
        <v>0.2330228103778513</v>
      </c>
      <c r="G14" s="245">
        <v>11704894</v>
      </c>
      <c r="H14" s="241">
        <f>G14/G64</f>
        <v>0.23320647622939031</v>
      </c>
      <c r="I14" s="243">
        <f t="shared" si="1"/>
        <v>2186.6045208294413</v>
      </c>
    </row>
    <row r="15" spans="1:9" s="226" customFormat="1">
      <c r="A15" s="244" t="s">
        <v>248</v>
      </c>
      <c r="B15" s="245">
        <f>VLOOKUP(A15,[8]進出口值表查詢結果!$A$3:$C$29,3,0)</f>
        <v>3180</v>
      </c>
      <c r="C15" s="245">
        <f>VLOOKUP(A15,[8]進出口值表查詢結果!$A$3:$C$29,2,0)</f>
        <v>4360351</v>
      </c>
      <c r="D15" s="239">
        <f t="shared" si="0"/>
        <v>1371.1795597484277</v>
      </c>
      <c r="E15" s="245">
        <v>3180</v>
      </c>
      <c r="F15" s="241">
        <f>E15/E64</f>
        <v>0.13842939230367404</v>
      </c>
      <c r="G15" s="245">
        <v>4360351</v>
      </c>
      <c r="H15" s="241">
        <f>G15/G64</f>
        <v>8.6874950925082975E-2</v>
      </c>
      <c r="I15" s="243">
        <f t="shared" si="1"/>
        <v>1371.1795597484277</v>
      </c>
    </row>
    <row r="16" spans="1:9" s="226" customFormat="1">
      <c r="A16" s="37" t="s">
        <v>9</v>
      </c>
      <c r="B16" s="245">
        <f>VLOOKUP(A16,[8]進出口值表查詢結果!$A$3:$C$29,3,0)</f>
        <v>32</v>
      </c>
      <c r="C16" s="245">
        <f>VLOOKUP(A16,[8]進出口值表查詢結果!$A$3:$C$29,2,0)</f>
        <v>43752</v>
      </c>
      <c r="D16" s="239">
        <f t="shared" si="0"/>
        <v>1367.25</v>
      </c>
      <c r="E16" s="245">
        <v>32</v>
      </c>
      <c r="F16" s="241">
        <f>E16/E64</f>
        <v>1.3930001741250218E-3</v>
      </c>
      <c r="G16" s="245">
        <v>43752</v>
      </c>
      <c r="H16" s="241">
        <f>G16/G64</f>
        <v>8.7170800077200909E-4</v>
      </c>
      <c r="I16" s="243">
        <f t="shared" si="1"/>
        <v>1367.25</v>
      </c>
    </row>
    <row r="17" spans="1:9" s="226" customFormat="1">
      <c r="A17" s="244" t="s">
        <v>249</v>
      </c>
      <c r="B17" s="245">
        <v>0</v>
      </c>
      <c r="C17" s="245">
        <v>0</v>
      </c>
      <c r="D17" s="239">
        <f t="shared" si="0"/>
        <v>0</v>
      </c>
      <c r="E17" s="245">
        <v>0</v>
      </c>
      <c r="F17" s="241">
        <f>E17/E64</f>
        <v>0</v>
      </c>
      <c r="G17" s="245">
        <v>0</v>
      </c>
      <c r="H17" s="241">
        <f>G17/G64</f>
        <v>0</v>
      </c>
      <c r="I17" s="243">
        <f t="shared" si="1"/>
        <v>0</v>
      </c>
    </row>
    <row r="18" spans="1:9" s="226" customFormat="1">
      <c r="A18" s="37" t="s">
        <v>10</v>
      </c>
      <c r="B18" s="245">
        <f>VLOOKUP(A18,[8]進出口值表查詢結果!$A$3:$C$29,3,0)</f>
        <v>277</v>
      </c>
      <c r="C18" s="245">
        <f>VLOOKUP(A18,[8]進出口值表查詢結果!$A$3:$C$29,2,0)</f>
        <v>635634</v>
      </c>
      <c r="D18" s="239">
        <f t="shared" si="0"/>
        <v>2294.707581227437</v>
      </c>
      <c r="E18" s="245">
        <v>277</v>
      </c>
      <c r="F18" s="241">
        <f>E18/E64</f>
        <v>1.2058157757269719E-2</v>
      </c>
      <c r="G18" s="245">
        <v>635634</v>
      </c>
      <c r="H18" s="241">
        <f>G18/G64</f>
        <v>1.2664272338698008E-2</v>
      </c>
      <c r="I18" s="243">
        <f t="shared" si="1"/>
        <v>2294.707581227437</v>
      </c>
    </row>
    <row r="19" spans="1:9" s="226" customFormat="1">
      <c r="A19" s="37" t="s">
        <v>11</v>
      </c>
      <c r="B19" s="245">
        <v>0</v>
      </c>
      <c r="C19" s="245">
        <v>0</v>
      </c>
      <c r="D19" s="239">
        <f t="shared" si="0"/>
        <v>0</v>
      </c>
      <c r="E19" s="245">
        <v>0</v>
      </c>
      <c r="F19" s="241">
        <f>E19/E64</f>
        <v>0</v>
      </c>
      <c r="G19" s="245">
        <v>0</v>
      </c>
      <c r="H19" s="241">
        <f>G19/G64</f>
        <v>0</v>
      </c>
      <c r="I19" s="243">
        <f t="shared" si="1"/>
        <v>0</v>
      </c>
    </row>
    <row r="20" spans="1:9" s="226" customFormat="1">
      <c r="A20" s="244" t="s">
        <v>251</v>
      </c>
      <c r="B20" s="245">
        <f>VLOOKUP(A20,[8]進出口值表查詢結果!$A$3:$C$29,3,0)</f>
        <v>79</v>
      </c>
      <c r="C20" s="245">
        <f>VLOOKUP(A20,[8]進出口值表查詢結果!$A$3:$C$29,2,0)</f>
        <v>154941</v>
      </c>
      <c r="D20" s="239">
        <f t="shared" si="0"/>
        <v>1961.2784810126582</v>
      </c>
      <c r="E20" s="245">
        <v>79</v>
      </c>
      <c r="F20" s="241">
        <f>E20/E64</f>
        <v>3.4389691798711475E-3</v>
      </c>
      <c r="G20" s="245">
        <v>154941</v>
      </c>
      <c r="H20" s="241">
        <f>G20/G64</f>
        <v>3.0870202355918783E-3</v>
      </c>
      <c r="I20" s="243">
        <f t="shared" si="1"/>
        <v>1961.2784810126582</v>
      </c>
    </row>
    <row r="21" spans="1:9" s="226" customFormat="1">
      <c r="A21" s="37" t="s">
        <v>12</v>
      </c>
      <c r="B21" s="245">
        <v>0</v>
      </c>
      <c r="C21" s="245">
        <v>0</v>
      </c>
      <c r="D21" s="239">
        <f t="shared" si="0"/>
        <v>0</v>
      </c>
      <c r="E21" s="245">
        <v>0</v>
      </c>
      <c r="F21" s="241">
        <f>E21/E64</f>
        <v>0</v>
      </c>
      <c r="G21" s="245">
        <v>0</v>
      </c>
      <c r="H21" s="241">
        <f>G21/G64</f>
        <v>0</v>
      </c>
      <c r="I21" s="243">
        <f t="shared" si="1"/>
        <v>0</v>
      </c>
    </row>
    <row r="22" spans="1:9" s="226" customFormat="1">
      <c r="A22" s="244" t="s">
        <v>252</v>
      </c>
      <c r="B22" s="245">
        <v>0</v>
      </c>
      <c r="C22" s="245">
        <v>0</v>
      </c>
      <c r="D22" s="239">
        <f t="shared" si="0"/>
        <v>0</v>
      </c>
      <c r="E22" s="245">
        <v>0</v>
      </c>
      <c r="F22" s="241">
        <f>E22/E64</f>
        <v>0</v>
      </c>
      <c r="G22" s="245">
        <v>0</v>
      </c>
      <c r="H22" s="241">
        <f>G22/G64</f>
        <v>0</v>
      </c>
      <c r="I22" s="243">
        <f t="shared" si="1"/>
        <v>0</v>
      </c>
    </row>
    <row r="23" spans="1:9" s="226" customFormat="1">
      <c r="A23" s="37" t="s">
        <v>13</v>
      </c>
      <c r="B23" s="245">
        <v>0</v>
      </c>
      <c r="C23" s="245">
        <v>0</v>
      </c>
      <c r="D23" s="239">
        <f t="shared" si="0"/>
        <v>0</v>
      </c>
      <c r="E23" s="245">
        <v>0</v>
      </c>
      <c r="F23" s="241">
        <f>E23/E64</f>
        <v>0</v>
      </c>
      <c r="G23" s="245">
        <v>0</v>
      </c>
      <c r="H23" s="241">
        <f>G23/G64</f>
        <v>0</v>
      </c>
      <c r="I23" s="243">
        <f t="shared" si="1"/>
        <v>0</v>
      </c>
    </row>
    <row r="24" spans="1:9" s="226" customFormat="1">
      <c r="A24" s="37" t="s">
        <v>14</v>
      </c>
      <c r="B24" s="245">
        <v>0</v>
      </c>
      <c r="C24" s="245">
        <v>0</v>
      </c>
      <c r="D24" s="239">
        <f t="shared" si="0"/>
        <v>0</v>
      </c>
      <c r="E24" s="245">
        <v>0</v>
      </c>
      <c r="F24" s="241">
        <f>E24/E64</f>
        <v>0</v>
      </c>
      <c r="G24" s="245">
        <v>0</v>
      </c>
      <c r="H24" s="241">
        <f>G24/G64</f>
        <v>0</v>
      </c>
      <c r="I24" s="243">
        <f t="shared" si="1"/>
        <v>0</v>
      </c>
    </row>
    <row r="25" spans="1:9" s="226" customFormat="1">
      <c r="A25" s="37" t="s">
        <v>15</v>
      </c>
      <c r="B25" s="245">
        <f>VLOOKUP(A25,[8]進出口值表查詢結果!$A$3:$C$29,3,0)</f>
        <v>2</v>
      </c>
      <c r="C25" s="245">
        <f>VLOOKUP(A25,[8]進出口值表查詢結果!$A$3:$C$29,2,0)</f>
        <v>9395</v>
      </c>
      <c r="D25" s="239">
        <f t="shared" si="0"/>
        <v>4697.5</v>
      </c>
      <c r="E25" s="245">
        <v>2</v>
      </c>
      <c r="F25" s="241">
        <f>E25/E64</f>
        <v>8.7062510882813865E-5</v>
      </c>
      <c r="G25" s="245">
        <v>9395</v>
      </c>
      <c r="H25" s="241">
        <f>G25/G64</f>
        <v>1.8718450967391263E-4</v>
      </c>
      <c r="I25" s="243">
        <f t="shared" si="1"/>
        <v>4697.5</v>
      </c>
    </row>
    <row r="26" spans="1:9" s="226" customFormat="1">
      <c r="A26" s="244" t="s">
        <v>255</v>
      </c>
      <c r="B26" s="245">
        <f>VLOOKUP(A26,[8]進出口值表查詢結果!$A$3:$C$29,3,0)</f>
        <v>620</v>
      </c>
      <c r="C26" s="245">
        <f>VLOOKUP(A26,[8]進出口值表查詢結果!$A$3:$C$29,2,0)</f>
        <v>236272</v>
      </c>
      <c r="D26" s="239">
        <f t="shared" si="0"/>
        <v>381.08387096774192</v>
      </c>
      <c r="E26" s="245">
        <v>620</v>
      </c>
      <c r="F26" s="241">
        <f>E26/E64</f>
        <v>2.6989378373672296E-2</v>
      </c>
      <c r="G26" s="245">
        <v>236272</v>
      </c>
      <c r="H26" s="241">
        <f>G26/G64</f>
        <v>4.7074463512160386E-3</v>
      </c>
      <c r="I26" s="243">
        <f t="shared" si="1"/>
        <v>381.08387096774192</v>
      </c>
    </row>
    <row r="27" spans="1:9" s="226" customFormat="1">
      <c r="A27" s="244" t="s">
        <v>257</v>
      </c>
      <c r="B27" s="245">
        <v>0</v>
      </c>
      <c r="C27" s="245">
        <v>0</v>
      </c>
      <c r="D27" s="239">
        <f t="shared" si="0"/>
        <v>0</v>
      </c>
      <c r="E27" s="245">
        <v>0</v>
      </c>
      <c r="F27" s="241">
        <f>E27/E64</f>
        <v>0</v>
      </c>
      <c r="G27" s="245">
        <v>0</v>
      </c>
      <c r="H27" s="241">
        <f>G27/G64</f>
        <v>0</v>
      </c>
      <c r="I27" s="243">
        <f t="shared" si="1"/>
        <v>0</v>
      </c>
    </row>
    <row r="28" spans="1:9" s="226" customFormat="1">
      <c r="A28" s="253" t="s">
        <v>258</v>
      </c>
      <c r="B28" s="245">
        <v>0</v>
      </c>
      <c r="C28" s="245">
        <v>0</v>
      </c>
      <c r="D28" s="239">
        <f t="shared" si="0"/>
        <v>0</v>
      </c>
      <c r="E28" s="245">
        <v>0</v>
      </c>
      <c r="F28" s="241">
        <f>E28/E64</f>
        <v>0</v>
      </c>
      <c r="G28" s="245">
        <v>0</v>
      </c>
      <c r="H28" s="241">
        <f>G28/G64</f>
        <v>0</v>
      </c>
      <c r="I28" s="243">
        <f t="shared" si="1"/>
        <v>0</v>
      </c>
    </row>
    <row r="29" spans="1:9" s="226" customFormat="1">
      <c r="A29" s="253" t="s">
        <v>259</v>
      </c>
      <c r="B29" s="245">
        <v>0</v>
      </c>
      <c r="C29" s="245">
        <v>0</v>
      </c>
      <c r="D29" s="239">
        <f t="shared" si="0"/>
        <v>0</v>
      </c>
      <c r="E29" s="245">
        <v>0</v>
      </c>
      <c r="F29" s="241">
        <f>E29/E64</f>
        <v>0</v>
      </c>
      <c r="G29" s="245">
        <v>0</v>
      </c>
      <c r="H29" s="241">
        <f>G29/G64</f>
        <v>0</v>
      </c>
      <c r="I29" s="243">
        <f t="shared" si="1"/>
        <v>0</v>
      </c>
    </row>
    <row r="30" spans="1:9" s="226" customFormat="1">
      <c r="A30" s="253" t="s">
        <v>260</v>
      </c>
      <c r="B30" s="245">
        <v>0</v>
      </c>
      <c r="C30" s="245">
        <v>0</v>
      </c>
      <c r="D30" s="239">
        <f t="shared" si="0"/>
        <v>0</v>
      </c>
      <c r="E30" s="245">
        <v>0</v>
      </c>
      <c r="F30" s="241">
        <f>E30/E64</f>
        <v>0</v>
      </c>
      <c r="G30" s="245">
        <v>0</v>
      </c>
      <c r="H30" s="241">
        <f>G30/G64</f>
        <v>0</v>
      </c>
      <c r="I30" s="243">
        <f t="shared" si="1"/>
        <v>0</v>
      </c>
    </row>
    <row r="31" spans="1:9" s="226" customFormat="1">
      <c r="A31" s="253" t="s">
        <v>261</v>
      </c>
      <c r="B31" s="245">
        <v>0</v>
      </c>
      <c r="C31" s="245">
        <v>0</v>
      </c>
      <c r="D31" s="239">
        <f t="shared" si="0"/>
        <v>0</v>
      </c>
      <c r="E31" s="245">
        <v>0</v>
      </c>
      <c r="F31" s="241">
        <f>E31/E64</f>
        <v>0</v>
      </c>
      <c r="G31" s="245">
        <v>0</v>
      </c>
      <c r="H31" s="241">
        <f>G31/G64</f>
        <v>0</v>
      </c>
      <c r="I31" s="243">
        <f t="shared" si="1"/>
        <v>0</v>
      </c>
    </row>
    <row r="32" spans="1:9" s="226" customFormat="1">
      <c r="A32" s="30" t="s">
        <v>263</v>
      </c>
      <c r="B32" s="245">
        <v>0</v>
      </c>
      <c r="C32" s="245">
        <v>0</v>
      </c>
      <c r="D32" s="239">
        <f t="shared" si="0"/>
        <v>0</v>
      </c>
      <c r="E32" s="245">
        <v>0</v>
      </c>
      <c r="F32" s="241">
        <f>E32/E64</f>
        <v>0</v>
      </c>
      <c r="G32" s="245">
        <v>0</v>
      </c>
      <c r="H32" s="241">
        <f>G32/G64</f>
        <v>0</v>
      </c>
      <c r="I32" s="243">
        <f t="shared" si="1"/>
        <v>0</v>
      </c>
    </row>
    <row r="33" spans="1:9" s="226" customFormat="1">
      <c r="A33" s="253" t="s">
        <v>265</v>
      </c>
      <c r="B33" s="245">
        <v>0</v>
      </c>
      <c r="C33" s="245">
        <v>0</v>
      </c>
      <c r="D33" s="239">
        <f t="shared" si="0"/>
        <v>0</v>
      </c>
      <c r="E33" s="245">
        <v>0</v>
      </c>
      <c r="F33" s="241">
        <f>E33/E64</f>
        <v>0</v>
      </c>
      <c r="G33" s="245">
        <v>0</v>
      </c>
      <c r="H33" s="241">
        <f>G33/G64</f>
        <v>0</v>
      </c>
      <c r="I33" s="243">
        <f t="shared" si="1"/>
        <v>0</v>
      </c>
    </row>
    <row r="34" spans="1:9" s="226" customFormat="1">
      <c r="A34" s="253" t="s">
        <v>266</v>
      </c>
      <c r="B34" s="245">
        <v>0</v>
      </c>
      <c r="C34" s="245">
        <v>0</v>
      </c>
      <c r="D34" s="239">
        <f t="shared" si="0"/>
        <v>0</v>
      </c>
      <c r="E34" s="245">
        <v>0</v>
      </c>
      <c r="F34" s="241">
        <f>E34/E64</f>
        <v>0</v>
      </c>
      <c r="G34" s="245">
        <v>0</v>
      </c>
      <c r="H34" s="241">
        <f>G34/G64</f>
        <v>0</v>
      </c>
      <c r="I34" s="243">
        <f t="shared" si="1"/>
        <v>0</v>
      </c>
    </row>
    <row r="35" spans="1:9" s="226" customFormat="1">
      <c r="A35" s="254" t="s">
        <v>384</v>
      </c>
      <c r="B35" s="245">
        <v>0</v>
      </c>
      <c r="C35" s="245">
        <v>0</v>
      </c>
      <c r="D35" s="239">
        <f t="shared" si="0"/>
        <v>0</v>
      </c>
      <c r="E35" s="245">
        <v>0</v>
      </c>
      <c r="F35" s="241">
        <f>E35/E64</f>
        <v>0</v>
      </c>
      <c r="G35" s="245">
        <v>0</v>
      </c>
      <c r="H35" s="241">
        <f>G35/G64</f>
        <v>0</v>
      </c>
      <c r="I35" s="243">
        <f t="shared" si="1"/>
        <v>0</v>
      </c>
    </row>
    <row r="36" spans="1:9" s="226" customFormat="1">
      <c r="A36" s="253" t="s">
        <v>269</v>
      </c>
      <c r="B36" s="245">
        <v>0</v>
      </c>
      <c r="C36" s="245">
        <v>0</v>
      </c>
      <c r="D36" s="239">
        <f t="shared" si="0"/>
        <v>0</v>
      </c>
      <c r="E36" s="245">
        <v>0</v>
      </c>
      <c r="F36" s="241">
        <f>E36/E64</f>
        <v>0</v>
      </c>
      <c r="G36" s="245">
        <v>0</v>
      </c>
      <c r="H36" s="241">
        <f>G36/G64</f>
        <v>0</v>
      </c>
      <c r="I36" s="243">
        <f t="shared" si="1"/>
        <v>0</v>
      </c>
    </row>
    <row r="37" spans="1:9" s="226" customFormat="1">
      <c r="A37" s="253" t="s">
        <v>385</v>
      </c>
      <c r="B37" s="245">
        <v>0</v>
      </c>
      <c r="C37" s="245">
        <v>0</v>
      </c>
      <c r="D37" s="239">
        <f t="shared" si="0"/>
        <v>0</v>
      </c>
      <c r="E37" s="245">
        <v>0</v>
      </c>
      <c r="F37" s="241">
        <f>E37/E64</f>
        <v>0</v>
      </c>
      <c r="G37" s="245">
        <v>0</v>
      </c>
      <c r="H37" s="241">
        <f>G37/G64</f>
        <v>0</v>
      </c>
      <c r="I37" s="243">
        <f t="shared" si="1"/>
        <v>0</v>
      </c>
    </row>
    <row r="38" spans="1:9" s="226" customFormat="1">
      <c r="A38" s="253" t="s">
        <v>271</v>
      </c>
      <c r="B38" s="245">
        <v>0</v>
      </c>
      <c r="C38" s="245">
        <v>0</v>
      </c>
      <c r="D38" s="239">
        <f t="shared" si="0"/>
        <v>0</v>
      </c>
      <c r="E38" s="245">
        <v>0</v>
      </c>
      <c r="F38" s="241">
        <f>E38/E64</f>
        <v>0</v>
      </c>
      <c r="G38" s="245">
        <v>0</v>
      </c>
      <c r="H38" s="241">
        <f>G38/G64</f>
        <v>0</v>
      </c>
      <c r="I38" s="243">
        <f t="shared" si="1"/>
        <v>0</v>
      </c>
    </row>
    <row r="39" spans="1:9" s="226" customFormat="1">
      <c r="A39" s="253" t="s">
        <v>272</v>
      </c>
      <c r="B39" s="245">
        <v>0</v>
      </c>
      <c r="C39" s="245">
        <v>0</v>
      </c>
      <c r="D39" s="239">
        <f t="shared" si="0"/>
        <v>0</v>
      </c>
      <c r="E39" s="245">
        <v>0</v>
      </c>
      <c r="F39" s="241">
        <f>E39/E64</f>
        <v>0</v>
      </c>
      <c r="G39" s="245">
        <v>0</v>
      </c>
      <c r="H39" s="241">
        <f>G39/G64</f>
        <v>0</v>
      </c>
      <c r="I39" s="243">
        <f t="shared" si="1"/>
        <v>0</v>
      </c>
    </row>
    <row r="40" spans="1:9" s="226" customFormat="1">
      <c r="A40" s="30" t="s">
        <v>273</v>
      </c>
      <c r="B40" s="245">
        <v>0</v>
      </c>
      <c r="C40" s="245">
        <v>0</v>
      </c>
      <c r="D40" s="239">
        <f t="shared" si="0"/>
        <v>0</v>
      </c>
      <c r="E40" s="245">
        <v>0</v>
      </c>
      <c r="F40" s="241">
        <f>E40/E64</f>
        <v>0</v>
      </c>
      <c r="G40" s="245">
        <v>0</v>
      </c>
      <c r="H40" s="241">
        <f>G40/G64</f>
        <v>0</v>
      </c>
      <c r="I40" s="243">
        <f t="shared" si="1"/>
        <v>0</v>
      </c>
    </row>
    <row r="41" spans="1:9" s="226" customFormat="1">
      <c r="A41" s="30"/>
      <c r="B41" s="34"/>
      <c r="C41" s="35"/>
      <c r="D41" s="239"/>
      <c r="E41" s="247"/>
      <c r="F41" s="248"/>
      <c r="G41" s="247"/>
      <c r="H41" s="248"/>
      <c r="I41" s="243"/>
    </row>
    <row r="42" spans="1:9" s="226" customFormat="1">
      <c r="A42" s="252" t="s">
        <v>19</v>
      </c>
      <c r="B42" s="250">
        <f>SUM(B43:B46)</f>
        <v>545</v>
      </c>
      <c r="C42" s="250">
        <f>SUM(C43:C46)</f>
        <v>1060017</v>
      </c>
      <c r="D42" s="239">
        <f t="shared" si="0"/>
        <v>1944.9853211009174</v>
      </c>
      <c r="E42" s="250">
        <v>545</v>
      </c>
      <c r="F42" s="241">
        <f>E42/E64</f>
        <v>2.3724534215566778E-2</v>
      </c>
      <c r="G42" s="250">
        <v>1060017</v>
      </c>
      <c r="H42" s="241">
        <f>G42/G64</f>
        <v>2.1119612814370605E-2</v>
      </c>
      <c r="I42" s="243">
        <f t="shared" si="1"/>
        <v>1944.9853211009174</v>
      </c>
    </row>
    <row r="43" spans="1:9" s="226" customFormat="1">
      <c r="A43" s="244" t="s">
        <v>182</v>
      </c>
      <c r="B43" s="245">
        <f>VLOOKUP(A43,[8]進出口值表查詢結果!$A$3:$C$29,3,0)</f>
        <v>225</v>
      </c>
      <c r="C43" s="245">
        <f>VLOOKUP(A43,[8]進出口值表查詢結果!$A$3:$C$29,2,0)</f>
        <v>485862</v>
      </c>
      <c r="D43" s="239">
        <f t="shared" si="0"/>
        <v>2159.3866666666668</v>
      </c>
      <c r="E43" s="245">
        <v>225</v>
      </c>
      <c r="F43" s="241">
        <f>E43/E64</f>
        <v>9.7945324743165599E-3</v>
      </c>
      <c r="G43" s="245">
        <v>485862</v>
      </c>
      <c r="H43" s="241">
        <f>G43/G64</f>
        <v>9.6802384501529053E-3</v>
      </c>
      <c r="I43" s="243">
        <f t="shared" si="1"/>
        <v>2159.3866666666668</v>
      </c>
    </row>
    <row r="44" spans="1:9" s="226" customFormat="1">
      <c r="A44" s="244" t="s">
        <v>275</v>
      </c>
      <c r="B44" s="245">
        <f>VLOOKUP(A44,[8]進出口值表查詢結果!$A$3:$C$29,3,0)</f>
        <v>320</v>
      </c>
      <c r="C44" s="245">
        <f>VLOOKUP(A44,[8]進出口值表查詢結果!$A$3:$C$29,2,0)</f>
        <v>574155</v>
      </c>
      <c r="D44" s="239">
        <f t="shared" si="0"/>
        <v>1794.234375</v>
      </c>
      <c r="E44" s="245">
        <v>320</v>
      </c>
      <c r="F44" s="241">
        <f>E44/E64</f>
        <v>1.3930001741250218E-2</v>
      </c>
      <c r="G44" s="245">
        <v>574155</v>
      </c>
      <c r="H44" s="241">
        <f>G44/G64</f>
        <v>1.1439374364217702E-2</v>
      </c>
      <c r="I44" s="243">
        <f t="shared" si="1"/>
        <v>1794.234375</v>
      </c>
    </row>
    <row r="45" spans="1:9" s="226" customFormat="1">
      <c r="A45" s="244" t="s">
        <v>276</v>
      </c>
      <c r="B45" s="245">
        <v>0</v>
      </c>
      <c r="C45" s="245">
        <v>0</v>
      </c>
      <c r="D45" s="239">
        <f t="shared" si="0"/>
        <v>0</v>
      </c>
      <c r="E45" s="245">
        <v>0</v>
      </c>
      <c r="F45" s="241">
        <f>E45/E64</f>
        <v>0</v>
      </c>
      <c r="G45" s="245">
        <v>0</v>
      </c>
      <c r="H45" s="241">
        <f>G45/G64</f>
        <v>0</v>
      </c>
      <c r="I45" s="243">
        <f t="shared" si="1"/>
        <v>0</v>
      </c>
    </row>
    <row r="46" spans="1:9" s="226" customFormat="1">
      <c r="A46" s="37" t="s">
        <v>20</v>
      </c>
      <c r="B46" s="245">
        <v>0</v>
      </c>
      <c r="C46" s="245">
        <v>0</v>
      </c>
      <c r="D46" s="239">
        <f t="shared" si="0"/>
        <v>0</v>
      </c>
      <c r="E46" s="245">
        <v>0</v>
      </c>
      <c r="F46" s="241">
        <f>E46/E64</f>
        <v>0</v>
      </c>
      <c r="G46" s="245">
        <v>0</v>
      </c>
      <c r="H46" s="241">
        <f>G46/G64</f>
        <v>0</v>
      </c>
      <c r="I46" s="243">
        <f t="shared" si="1"/>
        <v>0</v>
      </c>
    </row>
    <row r="47" spans="1:9" s="226" customFormat="1">
      <c r="A47" s="37"/>
      <c r="B47" s="245"/>
      <c r="C47" s="35"/>
      <c r="D47" s="239"/>
      <c r="E47" s="247"/>
      <c r="F47" s="248"/>
      <c r="G47" s="247"/>
      <c r="H47" s="248"/>
      <c r="I47" s="243"/>
    </row>
    <row r="48" spans="1:9" s="226" customFormat="1">
      <c r="A48" s="252" t="s">
        <v>21</v>
      </c>
      <c r="B48" s="250">
        <f>SUM(B49:B62)</f>
        <v>2023</v>
      </c>
      <c r="C48" s="250">
        <f>SUM(C49:C62)</f>
        <v>4378869</v>
      </c>
      <c r="D48" s="239">
        <f t="shared" si="0"/>
        <v>2164.5422639644094</v>
      </c>
      <c r="E48" s="250">
        <v>2023</v>
      </c>
      <c r="F48" s="241">
        <f>E48/E64</f>
        <v>8.8063729757966225E-2</v>
      </c>
      <c r="G48" s="250">
        <v>4378869</v>
      </c>
      <c r="H48" s="241">
        <f>G48/G64</f>
        <v>8.7243900658999049E-2</v>
      </c>
      <c r="I48" s="243">
        <f t="shared" si="1"/>
        <v>2164.5422639644094</v>
      </c>
    </row>
    <row r="49" spans="1:9" s="226" customFormat="1">
      <c r="A49" s="252" t="s">
        <v>161</v>
      </c>
      <c r="B49" s="245">
        <f>VLOOKUP(A49,[8]進出口值表查詢結果!$A$3:$C$29,3,0)</f>
        <v>663</v>
      </c>
      <c r="C49" s="245">
        <f>VLOOKUP(A49,[8]進出口值表查詢結果!$A$3:$C$29,2,0)</f>
        <v>1437277</v>
      </c>
      <c r="D49" s="239">
        <f t="shared" si="0"/>
        <v>2167.8386123680243</v>
      </c>
      <c r="E49" s="245">
        <v>663</v>
      </c>
      <c r="F49" s="241">
        <f>E49/E64</f>
        <v>2.8861222357652795E-2</v>
      </c>
      <c r="G49" s="245">
        <v>1437277</v>
      </c>
      <c r="H49" s="241">
        <f>G49/G64</f>
        <v>2.8636082012835778E-2</v>
      </c>
      <c r="I49" s="243">
        <f t="shared" si="1"/>
        <v>2167.8386123680243</v>
      </c>
    </row>
    <row r="50" spans="1:9" s="226" customFormat="1">
      <c r="A50" s="244" t="s">
        <v>386</v>
      </c>
      <c r="B50" s="245">
        <f>VLOOKUP(A50,[8]進出口值表查詢結果!$A$3:$C$29,3,0)</f>
        <v>223</v>
      </c>
      <c r="C50" s="245">
        <f>VLOOKUP(A50,[8]進出口值表查詢結果!$A$3:$C$29,2,0)</f>
        <v>162055</v>
      </c>
      <c r="D50" s="239">
        <f t="shared" si="0"/>
        <v>726.70403587443946</v>
      </c>
      <c r="E50" s="245">
        <v>223</v>
      </c>
      <c r="F50" s="241">
        <f>E50/E64</f>
        <v>9.7074699634337458E-3</v>
      </c>
      <c r="G50" s="245">
        <v>162055</v>
      </c>
      <c r="H50" s="241">
        <f>G50/G64</f>
        <v>3.228758458244376E-3</v>
      </c>
      <c r="I50" s="243">
        <f t="shared" si="1"/>
        <v>726.70403587443946</v>
      </c>
    </row>
    <row r="51" spans="1:9" s="226" customFormat="1">
      <c r="A51" s="244" t="s">
        <v>387</v>
      </c>
      <c r="B51" s="245">
        <v>0</v>
      </c>
      <c r="C51" s="245">
        <v>0</v>
      </c>
      <c r="D51" s="239">
        <f t="shared" si="0"/>
        <v>0</v>
      </c>
      <c r="E51" s="245">
        <v>0</v>
      </c>
      <c r="F51" s="241">
        <f>E51/E64</f>
        <v>0</v>
      </c>
      <c r="G51" s="245">
        <v>0</v>
      </c>
      <c r="H51" s="241">
        <f>G51/G64</f>
        <v>0</v>
      </c>
      <c r="I51" s="243">
        <f t="shared" si="1"/>
        <v>0</v>
      </c>
    </row>
    <row r="52" spans="1:9" s="226" customFormat="1">
      <c r="A52" s="244" t="s">
        <v>299</v>
      </c>
      <c r="B52" s="245">
        <f>VLOOKUP(A52,[8]進出口值表查詢結果!$A$3:$C$29,3,0)</f>
        <v>24</v>
      </c>
      <c r="C52" s="245">
        <f>VLOOKUP(A52,[8]進出口值表查詢結果!$A$3:$C$29,2,0)</f>
        <v>70538</v>
      </c>
      <c r="D52" s="239">
        <f t="shared" si="0"/>
        <v>2939.0833333333335</v>
      </c>
      <c r="E52" s="245">
        <v>24</v>
      </c>
      <c r="F52" s="241">
        <f>E52/E64</f>
        <v>1.0447501305937664E-3</v>
      </c>
      <c r="G52" s="245">
        <v>70538</v>
      </c>
      <c r="H52" s="241">
        <f>G52/G64</f>
        <v>1.4053880727385257E-3</v>
      </c>
      <c r="I52" s="243">
        <f t="shared" si="1"/>
        <v>2939.0833333333335</v>
      </c>
    </row>
    <row r="53" spans="1:9" s="226" customFormat="1">
      <c r="A53" s="37" t="s">
        <v>22</v>
      </c>
      <c r="B53" s="245">
        <f>VLOOKUP(A53,[8]進出口值表查詢結果!$A$3:$C$29,3,0)</f>
        <v>40</v>
      </c>
      <c r="C53" s="245">
        <f>VLOOKUP(A53,[8]進出口值表查詢結果!$A$3:$C$29,2,0)</f>
        <v>123381</v>
      </c>
      <c r="D53" s="239">
        <f t="shared" si="0"/>
        <v>3084.5250000000001</v>
      </c>
      <c r="E53" s="245">
        <v>40</v>
      </c>
      <c r="F53" s="241">
        <f>E53/E64</f>
        <v>1.7412502176562773E-3</v>
      </c>
      <c r="G53" s="245">
        <v>123381</v>
      </c>
      <c r="H53" s="241">
        <f>G53/G64</f>
        <v>2.4582237347607252E-3</v>
      </c>
      <c r="I53" s="243">
        <f t="shared" si="1"/>
        <v>3084.5250000000001</v>
      </c>
    </row>
    <row r="54" spans="1:9" s="226" customFormat="1">
      <c r="A54" s="244" t="s">
        <v>305</v>
      </c>
      <c r="B54" s="245">
        <f>VLOOKUP(A54,[8]進出口值表查詢結果!$A$3:$C$29,3,0)</f>
        <v>6</v>
      </c>
      <c r="C54" s="245">
        <f>VLOOKUP(A54,[8]進出口值表查詢結果!$A$3:$C$29,2,0)</f>
        <v>18851</v>
      </c>
      <c r="D54" s="239">
        <f t="shared" si="0"/>
        <v>3141.8333333333335</v>
      </c>
      <c r="E54" s="245">
        <v>6</v>
      </c>
      <c r="F54" s="241">
        <f>E54/E64</f>
        <v>2.6118753264844159E-4</v>
      </c>
      <c r="G54" s="245">
        <v>18851</v>
      </c>
      <c r="H54" s="241">
        <f>G54/G64</f>
        <v>3.7558437380126949E-4</v>
      </c>
      <c r="I54" s="243">
        <f t="shared" si="1"/>
        <v>3141.8333333333335</v>
      </c>
    </row>
    <row r="55" spans="1:9" s="226" customFormat="1">
      <c r="A55" s="26" t="s">
        <v>388</v>
      </c>
      <c r="B55" s="245">
        <f>VLOOKUP(A55,[8]進出口值表查詢結果!$A$3:$C$29,3,0)</f>
        <v>679</v>
      </c>
      <c r="C55" s="245">
        <f>VLOOKUP(A55,[8]進出口值表查詢結果!$A$3:$C$29,2,0)</f>
        <v>1561812</v>
      </c>
      <c r="D55" s="239">
        <f t="shared" si="0"/>
        <v>2300.1649484536083</v>
      </c>
      <c r="E55" s="245">
        <v>679</v>
      </c>
      <c r="F55" s="241">
        <f>E55/E64</f>
        <v>2.9557722444715304E-2</v>
      </c>
      <c r="G55" s="245">
        <v>1561812</v>
      </c>
      <c r="H55" s="241">
        <f>G55/G64</f>
        <v>3.1117297862994449E-2</v>
      </c>
      <c r="I55" s="243">
        <f t="shared" si="1"/>
        <v>2300.1649484536083</v>
      </c>
    </row>
    <row r="56" spans="1:9" s="226" customFormat="1">
      <c r="A56" s="37" t="s">
        <v>23</v>
      </c>
      <c r="B56" s="245">
        <f>VLOOKUP(A56,[8]進出口值表查詢結果!$A$3:$C$29,3,0)</f>
        <v>10</v>
      </c>
      <c r="C56" s="245">
        <f>VLOOKUP(A56,[8]進出口值表查詢結果!$A$3:$C$29,2,0)</f>
        <v>13287</v>
      </c>
      <c r="D56" s="239">
        <f t="shared" si="0"/>
        <v>1328.7</v>
      </c>
      <c r="E56" s="245">
        <v>10</v>
      </c>
      <c r="F56" s="241">
        <f>E56/E64</f>
        <v>4.3531255441406932E-4</v>
      </c>
      <c r="G56" s="245">
        <v>13287</v>
      </c>
      <c r="H56" s="241">
        <f>G56/G64</f>
        <v>2.647281085723552E-4</v>
      </c>
      <c r="I56" s="243">
        <f t="shared" si="1"/>
        <v>1328.7</v>
      </c>
    </row>
    <row r="57" spans="1:9" s="226" customFormat="1">
      <c r="A57" s="37" t="s">
        <v>241</v>
      </c>
      <c r="B57" s="245">
        <v>0</v>
      </c>
      <c r="C57" s="245">
        <v>0</v>
      </c>
      <c r="D57" s="239">
        <f t="shared" si="0"/>
        <v>0</v>
      </c>
      <c r="E57" s="245">
        <v>0</v>
      </c>
      <c r="F57" s="241">
        <f>E57/E64</f>
        <v>0</v>
      </c>
      <c r="G57" s="245">
        <v>0</v>
      </c>
      <c r="H57" s="241">
        <f>G57/G64</f>
        <v>0</v>
      </c>
      <c r="I57" s="243">
        <f t="shared" si="1"/>
        <v>0</v>
      </c>
    </row>
    <row r="58" spans="1:9" s="226" customFormat="1">
      <c r="A58" s="37" t="s">
        <v>234</v>
      </c>
      <c r="B58" s="245">
        <v>0</v>
      </c>
      <c r="C58" s="245">
        <v>0</v>
      </c>
      <c r="D58" s="239">
        <f t="shared" si="0"/>
        <v>0</v>
      </c>
      <c r="E58" s="245">
        <v>0</v>
      </c>
      <c r="F58" s="241">
        <f>E58/E64</f>
        <v>0</v>
      </c>
      <c r="G58" s="245">
        <v>0</v>
      </c>
      <c r="H58" s="241">
        <f>G58/G64</f>
        <v>0</v>
      </c>
      <c r="I58" s="243">
        <f t="shared" si="1"/>
        <v>0</v>
      </c>
    </row>
    <row r="59" spans="1:9" s="226" customFormat="1">
      <c r="A59" s="37" t="s">
        <v>279</v>
      </c>
      <c r="B59" s="245">
        <v>0</v>
      </c>
      <c r="C59" s="245">
        <v>0</v>
      </c>
      <c r="D59" s="239">
        <f t="shared" si="0"/>
        <v>0</v>
      </c>
      <c r="E59" s="245">
        <v>0</v>
      </c>
      <c r="F59" s="241">
        <f>E59/E64</f>
        <v>0</v>
      </c>
      <c r="G59" s="245">
        <v>0</v>
      </c>
      <c r="H59" s="241">
        <f>G59/G64</f>
        <v>0</v>
      </c>
      <c r="I59" s="243">
        <f t="shared" si="1"/>
        <v>0</v>
      </c>
    </row>
    <row r="60" spans="1:9" s="226" customFormat="1">
      <c r="A60" s="37" t="s">
        <v>284</v>
      </c>
      <c r="B60" s="245">
        <v>0</v>
      </c>
      <c r="C60" s="245">
        <v>0</v>
      </c>
      <c r="D60" s="239">
        <f t="shared" si="0"/>
        <v>0</v>
      </c>
      <c r="E60" s="245">
        <v>0</v>
      </c>
      <c r="F60" s="241">
        <f>E60/E64</f>
        <v>0</v>
      </c>
      <c r="G60" s="245">
        <v>0</v>
      </c>
      <c r="H60" s="241">
        <f>G60/G64</f>
        <v>0</v>
      </c>
      <c r="I60" s="243">
        <f t="shared" si="1"/>
        <v>0</v>
      </c>
    </row>
    <row r="61" spans="1:9" s="226" customFormat="1">
      <c r="A61" s="37" t="s">
        <v>290</v>
      </c>
      <c r="B61" s="245">
        <f>VLOOKUP(A61,[8]進出口值表查詢結果!$A$3:$C$29,3,0)</f>
        <v>202</v>
      </c>
      <c r="C61" s="245">
        <f>VLOOKUP(A61,[8]進出口值表查詢結果!$A$3:$C$29,2,0)</f>
        <v>464244</v>
      </c>
      <c r="D61" s="239">
        <f t="shared" si="0"/>
        <v>2298.2376237623762</v>
      </c>
      <c r="E61" s="245">
        <v>202</v>
      </c>
      <c r="F61" s="241">
        <f>E61/E64</f>
        <v>8.7933135991641997E-3</v>
      </c>
      <c r="G61" s="245">
        <v>464244</v>
      </c>
      <c r="H61" s="241">
        <f>G61/G64</f>
        <v>9.249524801389665E-3</v>
      </c>
      <c r="I61" s="243">
        <f t="shared" si="1"/>
        <v>2298.2376237623762</v>
      </c>
    </row>
    <row r="62" spans="1:9" s="226" customFormat="1">
      <c r="A62" s="37" t="s">
        <v>338</v>
      </c>
      <c r="B62" s="245">
        <f>VLOOKUP(A62,[8]進出口值表查詢結果!$A$3:$C$29,3,0)</f>
        <v>176</v>
      </c>
      <c r="C62" s="245">
        <f>VLOOKUP(A62,[8]進出口值表查詢結果!$A$3:$C$29,2,0)</f>
        <v>527424</v>
      </c>
      <c r="D62" s="239">
        <f t="shared" si="0"/>
        <v>2996.7272727272725</v>
      </c>
      <c r="E62" s="245">
        <v>176</v>
      </c>
      <c r="F62" s="241">
        <f>E62/E64</f>
        <v>7.6615009576876201E-3</v>
      </c>
      <c r="G62" s="245">
        <v>527424</v>
      </c>
      <c r="H62" s="241">
        <f>G62/G64</f>
        <v>1.0508313233661916E-2</v>
      </c>
      <c r="I62" s="243">
        <f t="shared" si="1"/>
        <v>2996.7272727272725</v>
      </c>
    </row>
    <row r="63" spans="1:9" s="226" customFormat="1">
      <c r="A63" s="37" t="s">
        <v>29</v>
      </c>
      <c r="B63" s="34">
        <f>B64-B48-B42-B13-B8</f>
        <v>70</v>
      </c>
      <c r="C63" s="34">
        <f>C64-C48-C42-C13-C8</f>
        <v>184798</v>
      </c>
      <c r="D63" s="239">
        <f t="shared" si="0"/>
        <v>2639.9714285714285</v>
      </c>
      <c r="E63" s="247">
        <v>70</v>
      </c>
      <c r="F63" s="248">
        <f>E63/$E$64</f>
        <v>3.047187880898485E-3</v>
      </c>
      <c r="G63" s="247">
        <v>184798</v>
      </c>
      <c r="H63" s="248">
        <f>G63/$G$64</f>
        <v>3.6818864309440878E-3</v>
      </c>
      <c r="I63" s="243">
        <f t="shared" si="1"/>
        <v>2639.9714285714285</v>
      </c>
    </row>
    <row r="64" spans="1:9" s="226" customFormat="1">
      <c r="A64" s="249" t="s">
        <v>403</v>
      </c>
      <c r="B64" s="245">
        <f>VLOOKUP(A64,[8]進出口值表查詢結果!$A$3:$C$29,3,0)</f>
        <v>22972</v>
      </c>
      <c r="C64" s="245">
        <f>VLOOKUP(A64,[8]進出口值表查詢結果!$A$3:$C$29,2,0)</f>
        <v>50191119</v>
      </c>
      <c r="D64" s="525">
        <f t="shared" ref="D64" si="2">C64/B64</f>
        <v>2184.882422079053</v>
      </c>
      <c r="E64" s="245">
        <v>22972</v>
      </c>
      <c r="F64" s="526">
        <f>E64/$E$64</f>
        <v>1</v>
      </c>
      <c r="G64" s="35">
        <v>50191119</v>
      </c>
      <c r="H64" s="241">
        <f>G64/$G$64</f>
        <v>1</v>
      </c>
      <c r="I64" s="243">
        <f>G64/E64</f>
        <v>2184.882422079053</v>
      </c>
    </row>
    <row r="65" spans="1:9" s="226" customFormat="1" ht="8.25" customHeight="1">
      <c r="A65" s="255"/>
      <c r="B65" s="256"/>
      <c r="C65" s="257"/>
      <c r="D65" s="258"/>
      <c r="E65" s="259"/>
      <c r="F65" s="260"/>
      <c r="G65" s="257"/>
      <c r="H65" s="260"/>
      <c r="I65" s="261"/>
    </row>
    <row r="66" spans="1:9" s="226" customFormat="1" ht="15" customHeight="1">
      <c r="A66" s="262" t="s">
        <v>496</v>
      </c>
      <c r="B66" s="263"/>
      <c r="C66" s="263"/>
      <c r="D66" s="263"/>
    </row>
    <row r="67" spans="1:9" s="226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topLeftCell="A41" zoomScale="85" zoomScaleNormal="85" workbookViewId="0">
      <selection activeCell="C64" sqref="C64"/>
    </sheetView>
  </sheetViews>
  <sheetFormatPr defaultRowHeight="16.5"/>
  <cols>
    <col min="1" max="1" width="19.5" style="269" customWidth="1"/>
    <col min="2" max="2" width="12.125" style="269" customWidth="1"/>
    <col min="3" max="3" width="12.5" style="270" customWidth="1"/>
    <col min="4" max="4" width="13.75" style="271" customWidth="1"/>
    <col min="5" max="5" width="14.625" style="269" customWidth="1"/>
    <col min="6" max="6" width="15.125" style="270" customWidth="1"/>
    <col min="7" max="7" width="12.25" style="303" customWidth="1"/>
    <col min="8" max="8" width="12.5" style="269" customWidth="1"/>
    <col min="9" max="9" width="12.25" style="269" customWidth="1"/>
    <col min="10" max="10" width="11.625" style="269" customWidth="1"/>
    <col min="11" max="256" width="8.875" style="269"/>
    <col min="257" max="257" width="19.5" style="269" customWidth="1"/>
    <col min="258" max="259" width="12.125" style="269" customWidth="1"/>
    <col min="260" max="260" width="13.75" style="269" customWidth="1"/>
    <col min="261" max="261" width="14.625" style="269" customWidth="1"/>
    <col min="262" max="262" width="15.125" style="269" customWidth="1"/>
    <col min="263" max="263" width="12.25" style="269" customWidth="1"/>
    <col min="264" max="264" width="12.5" style="269" customWidth="1"/>
    <col min="265" max="265" width="12.25" style="269" customWidth="1"/>
    <col min="266" max="266" width="11.625" style="269" customWidth="1"/>
    <col min="267" max="512" width="8.875" style="269"/>
    <col min="513" max="513" width="19.5" style="269" customWidth="1"/>
    <col min="514" max="515" width="12.125" style="269" customWidth="1"/>
    <col min="516" max="516" width="13.75" style="269" customWidth="1"/>
    <col min="517" max="517" width="14.625" style="269" customWidth="1"/>
    <col min="518" max="518" width="15.125" style="269" customWidth="1"/>
    <col min="519" max="519" width="12.25" style="269" customWidth="1"/>
    <col min="520" max="520" width="12.5" style="269" customWidth="1"/>
    <col min="521" max="521" width="12.25" style="269" customWidth="1"/>
    <col min="522" max="522" width="11.625" style="269" customWidth="1"/>
    <col min="523" max="768" width="8.875" style="269"/>
    <col min="769" max="769" width="19.5" style="269" customWidth="1"/>
    <col min="770" max="771" width="12.125" style="269" customWidth="1"/>
    <col min="772" max="772" width="13.75" style="269" customWidth="1"/>
    <col min="773" max="773" width="14.625" style="269" customWidth="1"/>
    <col min="774" max="774" width="15.125" style="269" customWidth="1"/>
    <col min="775" max="775" width="12.25" style="269" customWidth="1"/>
    <col min="776" max="776" width="12.5" style="269" customWidth="1"/>
    <col min="777" max="777" width="12.25" style="269" customWidth="1"/>
    <col min="778" max="778" width="11.625" style="269" customWidth="1"/>
    <col min="779" max="1024" width="8.875" style="269"/>
    <col min="1025" max="1025" width="19.5" style="269" customWidth="1"/>
    <col min="1026" max="1027" width="12.125" style="269" customWidth="1"/>
    <col min="1028" max="1028" width="13.75" style="269" customWidth="1"/>
    <col min="1029" max="1029" width="14.625" style="269" customWidth="1"/>
    <col min="1030" max="1030" width="15.125" style="269" customWidth="1"/>
    <col min="1031" max="1031" width="12.25" style="269" customWidth="1"/>
    <col min="1032" max="1032" width="12.5" style="269" customWidth="1"/>
    <col min="1033" max="1033" width="12.25" style="269" customWidth="1"/>
    <col min="1034" max="1034" width="11.625" style="269" customWidth="1"/>
    <col min="1035" max="1280" width="8.875" style="269"/>
    <col min="1281" max="1281" width="19.5" style="269" customWidth="1"/>
    <col min="1282" max="1283" width="12.125" style="269" customWidth="1"/>
    <col min="1284" max="1284" width="13.75" style="269" customWidth="1"/>
    <col min="1285" max="1285" width="14.625" style="269" customWidth="1"/>
    <col min="1286" max="1286" width="15.125" style="269" customWidth="1"/>
    <col min="1287" max="1287" width="12.25" style="269" customWidth="1"/>
    <col min="1288" max="1288" width="12.5" style="269" customWidth="1"/>
    <col min="1289" max="1289" width="12.25" style="269" customWidth="1"/>
    <col min="1290" max="1290" width="11.625" style="269" customWidth="1"/>
    <col min="1291" max="1536" width="8.875" style="269"/>
    <col min="1537" max="1537" width="19.5" style="269" customWidth="1"/>
    <col min="1538" max="1539" width="12.125" style="269" customWidth="1"/>
    <col min="1540" max="1540" width="13.75" style="269" customWidth="1"/>
    <col min="1541" max="1541" width="14.625" style="269" customWidth="1"/>
    <col min="1542" max="1542" width="15.125" style="269" customWidth="1"/>
    <col min="1543" max="1543" width="12.25" style="269" customWidth="1"/>
    <col min="1544" max="1544" width="12.5" style="269" customWidth="1"/>
    <col min="1545" max="1545" width="12.25" style="269" customWidth="1"/>
    <col min="1546" max="1546" width="11.625" style="269" customWidth="1"/>
    <col min="1547" max="1792" width="8.875" style="269"/>
    <col min="1793" max="1793" width="19.5" style="269" customWidth="1"/>
    <col min="1794" max="1795" width="12.125" style="269" customWidth="1"/>
    <col min="1796" max="1796" width="13.75" style="269" customWidth="1"/>
    <col min="1797" max="1797" width="14.625" style="269" customWidth="1"/>
    <col min="1798" max="1798" width="15.125" style="269" customWidth="1"/>
    <col min="1799" max="1799" width="12.25" style="269" customWidth="1"/>
    <col min="1800" max="1800" width="12.5" style="269" customWidth="1"/>
    <col min="1801" max="1801" width="12.25" style="269" customWidth="1"/>
    <col min="1802" max="1802" width="11.625" style="269" customWidth="1"/>
    <col min="1803" max="2048" width="8.875" style="269"/>
    <col min="2049" max="2049" width="19.5" style="269" customWidth="1"/>
    <col min="2050" max="2051" width="12.125" style="269" customWidth="1"/>
    <col min="2052" max="2052" width="13.75" style="269" customWidth="1"/>
    <col min="2053" max="2053" width="14.625" style="269" customWidth="1"/>
    <col min="2054" max="2054" width="15.125" style="269" customWidth="1"/>
    <col min="2055" max="2055" width="12.25" style="269" customWidth="1"/>
    <col min="2056" max="2056" width="12.5" style="269" customWidth="1"/>
    <col min="2057" max="2057" width="12.25" style="269" customWidth="1"/>
    <col min="2058" max="2058" width="11.625" style="269" customWidth="1"/>
    <col min="2059" max="2304" width="8.875" style="269"/>
    <col min="2305" max="2305" width="19.5" style="269" customWidth="1"/>
    <col min="2306" max="2307" width="12.125" style="269" customWidth="1"/>
    <col min="2308" max="2308" width="13.75" style="269" customWidth="1"/>
    <col min="2309" max="2309" width="14.625" style="269" customWidth="1"/>
    <col min="2310" max="2310" width="15.125" style="269" customWidth="1"/>
    <col min="2311" max="2311" width="12.25" style="269" customWidth="1"/>
    <col min="2312" max="2312" width="12.5" style="269" customWidth="1"/>
    <col min="2313" max="2313" width="12.25" style="269" customWidth="1"/>
    <col min="2314" max="2314" width="11.625" style="269" customWidth="1"/>
    <col min="2315" max="2560" width="8.875" style="269"/>
    <col min="2561" max="2561" width="19.5" style="269" customWidth="1"/>
    <col min="2562" max="2563" width="12.125" style="269" customWidth="1"/>
    <col min="2564" max="2564" width="13.75" style="269" customWidth="1"/>
    <col min="2565" max="2565" width="14.625" style="269" customWidth="1"/>
    <col min="2566" max="2566" width="15.125" style="269" customWidth="1"/>
    <col min="2567" max="2567" width="12.25" style="269" customWidth="1"/>
    <col min="2568" max="2568" width="12.5" style="269" customWidth="1"/>
    <col min="2569" max="2569" width="12.25" style="269" customWidth="1"/>
    <col min="2570" max="2570" width="11.625" style="269" customWidth="1"/>
    <col min="2571" max="2816" width="8.875" style="269"/>
    <col min="2817" max="2817" width="19.5" style="269" customWidth="1"/>
    <col min="2818" max="2819" width="12.125" style="269" customWidth="1"/>
    <col min="2820" max="2820" width="13.75" style="269" customWidth="1"/>
    <col min="2821" max="2821" width="14.625" style="269" customWidth="1"/>
    <col min="2822" max="2822" width="15.125" style="269" customWidth="1"/>
    <col min="2823" max="2823" width="12.25" style="269" customWidth="1"/>
    <col min="2824" max="2824" width="12.5" style="269" customWidth="1"/>
    <col min="2825" max="2825" width="12.25" style="269" customWidth="1"/>
    <col min="2826" max="2826" width="11.625" style="269" customWidth="1"/>
    <col min="2827" max="3072" width="8.875" style="269"/>
    <col min="3073" max="3073" width="19.5" style="269" customWidth="1"/>
    <col min="3074" max="3075" width="12.125" style="269" customWidth="1"/>
    <col min="3076" max="3076" width="13.75" style="269" customWidth="1"/>
    <col min="3077" max="3077" width="14.625" style="269" customWidth="1"/>
    <col min="3078" max="3078" width="15.125" style="269" customWidth="1"/>
    <col min="3079" max="3079" width="12.25" style="269" customWidth="1"/>
    <col min="3080" max="3080" width="12.5" style="269" customWidth="1"/>
    <col min="3081" max="3081" width="12.25" style="269" customWidth="1"/>
    <col min="3082" max="3082" width="11.625" style="269" customWidth="1"/>
    <col min="3083" max="3328" width="8.875" style="269"/>
    <col min="3329" max="3329" width="19.5" style="269" customWidth="1"/>
    <col min="3330" max="3331" width="12.125" style="269" customWidth="1"/>
    <col min="3332" max="3332" width="13.75" style="269" customWidth="1"/>
    <col min="3333" max="3333" width="14.625" style="269" customWidth="1"/>
    <col min="3334" max="3334" width="15.125" style="269" customWidth="1"/>
    <col min="3335" max="3335" width="12.25" style="269" customWidth="1"/>
    <col min="3336" max="3336" width="12.5" style="269" customWidth="1"/>
    <col min="3337" max="3337" width="12.25" style="269" customWidth="1"/>
    <col min="3338" max="3338" width="11.625" style="269" customWidth="1"/>
    <col min="3339" max="3584" width="8.875" style="269"/>
    <col min="3585" max="3585" width="19.5" style="269" customWidth="1"/>
    <col min="3586" max="3587" width="12.125" style="269" customWidth="1"/>
    <col min="3588" max="3588" width="13.75" style="269" customWidth="1"/>
    <col min="3589" max="3589" width="14.625" style="269" customWidth="1"/>
    <col min="3590" max="3590" width="15.125" style="269" customWidth="1"/>
    <col min="3591" max="3591" width="12.25" style="269" customWidth="1"/>
    <col min="3592" max="3592" width="12.5" style="269" customWidth="1"/>
    <col min="3593" max="3593" width="12.25" style="269" customWidth="1"/>
    <col min="3594" max="3594" width="11.625" style="269" customWidth="1"/>
    <col min="3595" max="3840" width="8.875" style="269"/>
    <col min="3841" max="3841" width="19.5" style="269" customWidth="1"/>
    <col min="3842" max="3843" width="12.125" style="269" customWidth="1"/>
    <col min="3844" max="3844" width="13.75" style="269" customWidth="1"/>
    <col min="3845" max="3845" width="14.625" style="269" customWidth="1"/>
    <col min="3846" max="3846" width="15.125" style="269" customWidth="1"/>
    <col min="3847" max="3847" width="12.25" style="269" customWidth="1"/>
    <col min="3848" max="3848" width="12.5" style="269" customWidth="1"/>
    <col min="3849" max="3849" width="12.25" style="269" customWidth="1"/>
    <col min="3850" max="3850" width="11.625" style="269" customWidth="1"/>
    <col min="3851" max="4096" width="8.875" style="269"/>
    <col min="4097" max="4097" width="19.5" style="269" customWidth="1"/>
    <col min="4098" max="4099" width="12.125" style="269" customWidth="1"/>
    <col min="4100" max="4100" width="13.75" style="269" customWidth="1"/>
    <col min="4101" max="4101" width="14.625" style="269" customWidth="1"/>
    <col min="4102" max="4102" width="15.125" style="269" customWidth="1"/>
    <col min="4103" max="4103" width="12.25" style="269" customWidth="1"/>
    <col min="4104" max="4104" width="12.5" style="269" customWidth="1"/>
    <col min="4105" max="4105" width="12.25" style="269" customWidth="1"/>
    <col min="4106" max="4106" width="11.625" style="269" customWidth="1"/>
    <col min="4107" max="4352" width="8.875" style="269"/>
    <col min="4353" max="4353" width="19.5" style="269" customWidth="1"/>
    <col min="4354" max="4355" width="12.125" style="269" customWidth="1"/>
    <col min="4356" max="4356" width="13.75" style="269" customWidth="1"/>
    <col min="4357" max="4357" width="14.625" style="269" customWidth="1"/>
    <col min="4358" max="4358" width="15.125" style="269" customWidth="1"/>
    <col min="4359" max="4359" width="12.25" style="269" customWidth="1"/>
    <col min="4360" max="4360" width="12.5" style="269" customWidth="1"/>
    <col min="4361" max="4361" width="12.25" style="269" customWidth="1"/>
    <col min="4362" max="4362" width="11.625" style="269" customWidth="1"/>
    <col min="4363" max="4608" width="8.875" style="269"/>
    <col min="4609" max="4609" width="19.5" style="269" customWidth="1"/>
    <col min="4610" max="4611" width="12.125" style="269" customWidth="1"/>
    <col min="4612" max="4612" width="13.75" style="269" customWidth="1"/>
    <col min="4613" max="4613" width="14.625" style="269" customWidth="1"/>
    <col min="4614" max="4614" width="15.125" style="269" customWidth="1"/>
    <col min="4615" max="4615" width="12.25" style="269" customWidth="1"/>
    <col min="4616" max="4616" width="12.5" style="269" customWidth="1"/>
    <col min="4617" max="4617" width="12.25" style="269" customWidth="1"/>
    <col min="4618" max="4618" width="11.625" style="269" customWidth="1"/>
    <col min="4619" max="4864" width="8.875" style="269"/>
    <col min="4865" max="4865" width="19.5" style="269" customWidth="1"/>
    <col min="4866" max="4867" width="12.125" style="269" customWidth="1"/>
    <col min="4868" max="4868" width="13.75" style="269" customWidth="1"/>
    <col min="4869" max="4869" width="14.625" style="269" customWidth="1"/>
    <col min="4870" max="4870" width="15.125" style="269" customWidth="1"/>
    <col min="4871" max="4871" width="12.25" style="269" customWidth="1"/>
    <col min="4872" max="4872" width="12.5" style="269" customWidth="1"/>
    <col min="4873" max="4873" width="12.25" style="269" customWidth="1"/>
    <col min="4874" max="4874" width="11.625" style="269" customWidth="1"/>
    <col min="4875" max="5120" width="8.875" style="269"/>
    <col min="5121" max="5121" width="19.5" style="269" customWidth="1"/>
    <col min="5122" max="5123" width="12.125" style="269" customWidth="1"/>
    <col min="5124" max="5124" width="13.75" style="269" customWidth="1"/>
    <col min="5125" max="5125" width="14.625" style="269" customWidth="1"/>
    <col min="5126" max="5126" width="15.125" style="269" customWidth="1"/>
    <col min="5127" max="5127" width="12.25" style="269" customWidth="1"/>
    <col min="5128" max="5128" width="12.5" style="269" customWidth="1"/>
    <col min="5129" max="5129" width="12.25" style="269" customWidth="1"/>
    <col min="5130" max="5130" width="11.625" style="269" customWidth="1"/>
    <col min="5131" max="5376" width="8.875" style="269"/>
    <col min="5377" max="5377" width="19.5" style="269" customWidth="1"/>
    <col min="5378" max="5379" width="12.125" style="269" customWidth="1"/>
    <col min="5380" max="5380" width="13.75" style="269" customWidth="1"/>
    <col min="5381" max="5381" width="14.625" style="269" customWidth="1"/>
    <col min="5382" max="5382" width="15.125" style="269" customWidth="1"/>
    <col min="5383" max="5383" width="12.25" style="269" customWidth="1"/>
    <col min="5384" max="5384" width="12.5" style="269" customWidth="1"/>
    <col min="5385" max="5385" width="12.25" style="269" customWidth="1"/>
    <col min="5386" max="5386" width="11.625" style="269" customWidth="1"/>
    <col min="5387" max="5632" width="8.875" style="269"/>
    <col min="5633" max="5633" width="19.5" style="269" customWidth="1"/>
    <col min="5634" max="5635" width="12.125" style="269" customWidth="1"/>
    <col min="5636" max="5636" width="13.75" style="269" customWidth="1"/>
    <col min="5637" max="5637" width="14.625" style="269" customWidth="1"/>
    <col min="5638" max="5638" width="15.125" style="269" customWidth="1"/>
    <col min="5639" max="5639" width="12.25" style="269" customWidth="1"/>
    <col min="5640" max="5640" width="12.5" style="269" customWidth="1"/>
    <col min="5641" max="5641" width="12.25" style="269" customWidth="1"/>
    <col min="5642" max="5642" width="11.625" style="269" customWidth="1"/>
    <col min="5643" max="5888" width="8.875" style="269"/>
    <col min="5889" max="5889" width="19.5" style="269" customWidth="1"/>
    <col min="5890" max="5891" width="12.125" style="269" customWidth="1"/>
    <col min="5892" max="5892" width="13.75" style="269" customWidth="1"/>
    <col min="5893" max="5893" width="14.625" style="269" customWidth="1"/>
    <col min="5894" max="5894" width="15.125" style="269" customWidth="1"/>
    <col min="5895" max="5895" width="12.25" style="269" customWidth="1"/>
    <col min="5896" max="5896" width="12.5" style="269" customWidth="1"/>
    <col min="5897" max="5897" width="12.25" style="269" customWidth="1"/>
    <col min="5898" max="5898" width="11.625" style="269" customWidth="1"/>
    <col min="5899" max="6144" width="8.875" style="269"/>
    <col min="6145" max="6145" width="19.5" style="269" customWidth="1"/>
    <col min="6146" max="6147" width="12.125" style="269" customWidth="1"/>
    <col min="6148" max="6148" width="13.75" style="269" customWidth="1"/>
    <col min="6149" max="6149" width="14.625" style="269" customWidth="1"/>
    <col min="6150" max="6150" width="15.125" style="269" customWidth="1"/>
    <col min="6151" max="6151" width="12.25" style="269" customWidth="1"/>
    <col min="6152" max="6152" width="12.5" style="269" customWidth="1"/>
    <col min="6153" max="6153" width="12.25" style="269" customWidth="1"/>
    <col min="6154" max="6154" width="11.625" style="269" customWidth="1"/>
    <col min="6155" max="6400" width="8.875" style="269"/>
    <col min="6401" max="6401" width="19.5" style="269" customWidth="1"/>
    <col min="6402" max="6403" width="12.125" style="269" customWidth="1"/>
    <col min="6404" max="6404" width="13.75" style="269" customWidth="1"/>
    <col min="6405" max="6405" width="14.625" style="269" customWidth="1"/>
    <col min="6406" max="6406" width="15.125" style="269" customWidth="1"/>
    <col min="6407" max="6407" width="12.25" style="269" customWidth="1"/>
    <col min="6408" max="6408" width="12.5" style="269" customWidth="1"/>
    <col min="6409" max="6409" width="12.25" style="269" customWidth="1"/>
    <col min="6410" max="6410" width="11.625" style="269" customWidth="1"/>
    <col min="6411" max="6656" width="8.875" style="269"/>
    <col min="6657" max="6657" width="19.5" style="269" customWidth="1"/>
    <col min="6658" max="6659" width="12.125" style="269" customWidth="1"/>
    <col min="6660" max="6660" width="13.75" style="269" customWidth="1"/>
    <col min="6661" max="6661" width="14.625" style="269" customWidth="1"/>
    <col min="6662" max="6662" width="15.125" style="269" customWidth="1"/>
    <col min="6663" max="6663" width="12.25" style="269" customWidth="1"/>
    <col min="6664" max="6664" width="12.5" style="269" customWidth="1"/>
    <col min="6665" max="6665" width="12.25" style="269" customWidth="1"/>
    <col min="6666" max="6666" width="11.625" style="269" customWidth="1"/>
    <col min="6667" max="6912" width="8.875" style="269"/>
    <col min="6913" max="6913" width="19.5" style="269" customWidth="1"/>
    <col min="6914" max="6915" width="12.125" style="269" customWidth="1"/>
    <col min="6916" max="6916" width="13.75" style="269" customWidth="1"/>
    <col min="6917" max="6917" width="14.625" style="269" customWidth="1"/>
    <col min="6918" max="6918" width="15.125" style="269" customWidth="1"/>
    <col min="6919" max="6919" width="12.25" style="269" customWidth="1"/>
    <col min="6920" max="6920" width="12.5" style="269" customWidth="1"/>
    <col min="6921" max="6921" width="12.25" style="269" customWidth="1"/>
    <col min="6922" max="6922" width="11.625" style="269" customWidth="1"/>
    <col min="6923" max="7168" width="8.875" style="269"/>
    <col min="7169" max="7169" width="19.5" style="269" customWidth="1"/>
    <col min="7170" max="7171" width="12.125" style="269" customWidth="1"/>
    <col min="7172" max="7172" width="13.75" style="269" customWidth="1"/>
    <col min="7173" max="7173" width="14.625" style="269" customWidth="1"/>
    <col min="7174" max="7174" width="15.125" style="269" customWidth="1"/>
    <col min="7175" max="7175" width="12.25" style="269" customWidth="1"/>
    <col min="7176" max="7176" width="12.5" style="269" customWidth="1"/>
    <col min="7177" max="7177" width="12.25" style="269" customWidth="1"/>
    <col min="7178" max="7178" width="11.625" style="269" customWidth="1"/>
    <col min="7179" max="7424" width="8.875" style="269"/>
    <col min="7425" max="7425" width="19.5" style="269" customWidth="1"/>
    <col min="7426" max="7427" width="12.125" style="269" customWidth="1"/>
    <col min="7428" max="7428" width="13.75" style="269" customWidth="1"/>
    <col min="7429" max="7429" width="14.625" style="269" customWidth="1"/>
    <col min="7430" max="7430" width="15.125" style="269" customWidth="1"/>
    <col min="7431" max="7431" width="12.25" style="269" customWidth="1"/>
    <col min="7432" max="7432" width="12.5" style="269" customWidth="1"/>
    <col min="7433" max="7433" width="12.25" style="269" customWidth="1"/>
    <col min="7434" max="7434" width="11.625" style="269" customWidth="1"/>
    <col min="7435" max="7680" width="8.875" style="269"/>
    <col min="7681" max="7681" width="19.5" style="269" customWidth="1"/>
    <col min="7682" max="7683" width="12.125" style="269" customWidth="1"/>
    <col min="7684" max="7684" width="13.75" style="269" customWidth="1"/>
    <col min="7685" max="7685" width="14.625" style="269" customWidth="1"/>
    <col min="7686" max="7686" width="15.125" style="269" customWidth="1"/>
    <col min="7687" max="7687" width="12.25" style="269" customWidth="1"/>
    <col min="7688" max="7688" width="12.5" style="269" customWidth="1"/>
    <col min="7689" max="7689" width="12.25" style="269" customWidth="1"/>
    <col min="7690" max="7690" width="11.625" style="269" customWidth="1"/>
    <col min="7691" max="7936" width="8.875" style="269"/>
    <col min="7937" max="7937" width="19.5" style="269" customWidth="1"/>
    <col min="7938" max="7939" width="12.125" style="269" customWidth="1"/>
    <col min="7940" max="7940" width="13.75" style="269" customWidth="1"/>
    <col min="7941" max="7941" width="14.625" style="269" customWidth="1"/>
    <col min="7942" max="7942" width="15.125" style="269" customWidth="1"/>
    <col min="7943" max="7943" width="12.25" style="269" customWidth="1"/>
    <col min="7944" max="7944" width="12.5" style="269" customWidth="1"/>
    <col min="7945" max="7945" width="12.25" style="269" customWidth="1"/>
    <col min="7946" max="7946" width="11.625" style="269" customWidth="1"/>
    <col min="7947" max="8192" width="8.875" style="269"/>
    <col min="8193" max="8193" width="19.5" style="269" customWidth="1"/>
    <col min="8194" max="8195" width="12.125" style="269" customWidth="1"/>
    <col min="8196" max="8196" width="13.75" style="269" customWidth="1"/>
    <col min="8197" max="8197" width="14.625" style="269" customWidth="1"/>
    <col min="8198" max="8198" width="15.125" style="269" customWidth="1"/>
    <col min="8199" max="8199" width="12.25" style="269" customWidth="1"/>
    <col min="8200" max="8200" width="12.5" style="269" customWidth="1"/>
    <col min="8201" max="8201" width="12.25" style="269" customWidth="1"/>
    <col min="8202" max="8202" width="11.625" style="269" customWidth="1"/>
    <col min="8203" max="8448" width="8.875" style="269"/>
    <col min="8449" max="8449" width="19.5" style="269" customWidth="1"/>
    <col min="8450" max="8451" width="12.125" style="269" customWidth="1"/>
    <col min="8452" max="8452" width="13.75" style="269" customWidth="1"/>
    <col min="8453" max="8453" width="14.625" style="269" customWidth="1"/>
    <col min="8454" max="8454" width="15.125" style="269" customWidth="1"/>
    <col min="8455" max="8455" width="12.25" style="269" customWidth="1"/>
    <col min="8456" max="8456" width="12.5" style="269" customWidth="1"/>
    <col min="8457" max="8457" width="12.25" style="269" customWidth="1"/>
    <col min="8458" max="8458" width="11.625" style="269" customWidth="1"/>
    <col min="8459" max="8704" width="8.875" style="269"/>
    <col min="8705" max="8705" width="19.5" style="269" customWidth="1"/>
    <col min="8706" max="8707" width="12.125" style="269" customWidth="1"/>
    <col min="8708" max="8708" width="13.75" style="269" customWidth="1"/>
    <col min="8709" max="8709" width="14.625" style="269" customWidth="1"/>
    <col min="8710" max="8710" width="15.125" style="269" customWidth="1"/>
    <col min="8711" max="8711" width="12.25" style="269" customWidth="1"/>
    <col min="8712" max="8712" width="12.5" style="269" customWidth="1"/>
    <col min="8713" max="8713" width="12.25" style="269" customWidth="1"/>
    <col min="8714" max="8714" width="11.625" style="269" customWidth="1"/>
    <col min="8715" max="8960" width="8.875" style="269"/>
    <col min="8961" max="8961" width="19.5" style="269" customWidth="1"/>
    <col min="8962" max="8963" width="12.125" style="269" customWidth="1"/>
    <col min="8964" max="8964" width="13.75" style="269" customWidth="1"/>
    <col min="8965" max="8965" width="14.625" style="269" customWidth="1"/>
    <col min="8966" max="8966" width="15.125" style="269" customWidth="1"/>
    <col min="8967" max="8967" width="12.25" style="269" customWidth="1"/>
    <col min="8968" max="8968" width="12.5" style="269" customWidth="1"/>
    <col min="8969" max="8969" width="12.25" style="269" customWidth="1"/>
    <col min="8970" max="8970" width="11.625" style="269" customWidth="1"/>
    <col min="8971" max="9216" width="8.875" style="269"/>
    <col min="9217" max="9217" width="19.5" style="269" customWidth="1"/>
    <col min="9218" max="9219" width="12.125" style="269" customWidth="1"/>
    <col min="9220" max="9220" width="13.75" style="269" customWidth="1"/>
    <col min="9221" max="9221" width="14.625" style="269" customWidth="1"/>
    <col min="9222" max="9222" width="15.125" style="269" customWidth="1"/>
    <col min="9223" max="9223" width="12.25" style="269" customWidth="1"/>
    <col min="9224" max="9224" width="12.5" style="269" customWidth="1"/>
    <col min="9225" max="9225" width="12.25" style="269" customWidth="1"/>
    <col min="9226" max="9226" width="11.625" style="269" customWidth="1"/>
    <col min="9227" max="9472" width="8.875" style="269"/>
    <col min="9473" max="9473" width="19.5" style="269" customWidth="1"/>
    <col min="9474" max="9475" width="12.125" style="269" customWidth="1"/>
    <col min="9476" max="9476" width="13.75" style="269" customWidth="1"/>
    <col min="9477" max="9477" width="14.625" style="269" customWidth="1"/>
    <col min="9478" max="9478" width="15.125" style="269" customWidth="1"/>
    <col min="9479" max="9479" width="12.25" style="269" customWidth="1"/>
    <col min="9480" max="9480" width="12.5" style="269" customWidth="1"/>
    <col min="9481" max="9481" width="12.25" style="269" customWidth="1"/>
    <col min="9482" max="9482" width="11.625" style="269" customWidth="1"/>
    <col min="9483" max="9728" width="8.875" style="269"/>
    <col min="9729" max="9729" width="19.5" style="269" customWidth="1"/>
    <col min="9730" max="9731" width="12.125" style="269" customWidth="1"/>
    <col min="9732" max="9732" width="13.75" style="269" customWidth="1"/>
    <col min="9733" max="9733" width="14.625" style="269" customWidth="1"/>
    <col min="9734" max="9734" width="15.125" style="269" customWidth="1"/>
    <col min="9735" max="9735" width="12.25" style="269" customWidth="1"/>
    <col min="9736" max="9736" width="12.5" style="269" customWidth="1"/>
    <col min="9737" max="9737" width="12.25" style="269" customWidth="1"/>
    <col min="9738" max="9738" width="11.625" style="269" customWidth="1"/>
    <col min="9739" max="9984" width="8.875" style="269"/>
    <col min="9985" max="9985" width="19.5" style="269" customWidth="1"/>
    <col min="9986" max="9987" width="12.125" style="269" customWidth="1"/>
    <col min="9988" max="9988" width="13.75" style="269" customWidth="1"/>
    <col min="9989" max="9989" width="14.625" style="269" customWidth="1"/>
    <col min="9990" max="9990" width="15.125" style="269" customWidth="1"/>
    <col min="9991" max="9991" width="12.25" style="269" customWidth="1"/>
    <col min="9992" max="9992" width="12.5" style="269" customWidth="1"/>
    <col min="9993" max="9993" width="12.25" style="269" customWidth="1"/>
    <col min="9994" max="9994" width="11.625" style="269" customWidth="1"/>
    <col min="9995" max="10240" width="8.875" style="269"/>
    <col min="10241" max="10241" width="19.5" style="269" customWidth="1"/>
    <col min="10242" max="10243" width="12.125" style="269" customWidth="1"/>
    <col min="10244" max="10244" width="13.75" style="269" customWidth="1"/>
    <col min="10245" max="10245" width="14.625" style="269" customWidth="1"/>
    <col min="10246" max="10246" width="15.125" style="269" customWidth="1"/>
    <col min="10247" max="10247" width="12.25" style="269" customWidth="1"/>
    <col min="10248" max="10248" width="12.5" style="269" customWidth="1"/>
    <col min="10249" max="10249" width="12.25" style="269" customWidth="1"/>
    <col min="10250" max="10250" width="11.625" style="269" customWidth="1"/>
    <col min="10251" max="10496" width="8.875" style="269"/>
    <col min="10497" max="10497" width="19.5" style="269" customWidth="1"/>
    <col min="10498" max="10499" width="12.125" style="269" customWidth="1"/>
    <col min="10500" max="10500" width="13.75" style="269" customWidth="1"/>
    <col min="10501" max="10501" width="14.625" style="269" customWidth="1"/>
    <col min="10502" max="10502" width="15.125" style="269" customWidth="1"/>
    <col min="10503" max="10503" width="12.25" style="269" customWidth="1"/>
    <col min="10504" max="10504" width="12.5" style="269" customWidth="1"/>
    <col min="10505" max="10505" width="12.25" style="269" customWidth="1"/>
    <col min="10506" max="10506" width="11.625" style="269" customWidth="1"/>
    <col min="10507" max="10752" width="8.875" style="269"/>
    <col min="10753" max="10753" width="19.5" style="269" customWidth="1"/>
    <col min="10754" max="10755" width="12.125" style="269" customWidth="1"/>
    <col min="10756" max="10756" width="13.75" style="269" customWidth="1"/>
    <col min="10757" max="10757" width="14.625" style="269" customWidth="1"/>
    <col min="10758" max="10758" width="15.125" style="269" customWidth="1"/>
    <col min="10759" max="10759" width="12.25" style="269" customWidth="1"/>
    <col min="10760" max="10760" width="12.5" style="269" customWidth="1"/>
    <col min="10761" max="10761" width="12.25" style="269" customWidth="1"/>
    <col min="10762" max="10762" width="11.625" style="269" customWidth="1"/>
    <col min="10763" max="11008" width="8.875" style="269"/>
    <col min="11009" max="11009" width="19.5" style="269" customWidth="1"/>
    <col min="11010" max="11011" width="12.125" style="269" customWidth="1"/>
    <col min="11012" max="11012" width="13.75" style="269" customWidth="1"/>
    <col min="11013" max="11013" width="14.625" style="269" customWidth="1"/>
    <col min="11014" max="11014" width="15.125" style="269" customWidth="1"/>
    <col min="11015" max="11015" width="12.25" style="269" customWidth="1"/>
    <col min="11016" max="11016" width="12.5" style="269" customWidth="1"/>
    <col min="11017" max="11017" width="12.25" style="269" customWidth="1"/>
    <col min="11018" max="11018" width="11.625" style="269" customWidth="1"/>
    <col min="11019" max="11264" width="8.875" style="269"/>
    <col min="11265" max="11265" width="19.5" style="269" customWidth="1"/>
    <col min="11266" max="11267" width="12.125" style="269" customWidth="1"/>
    <col min="11268" max="11268" width="13.75" style="269" customWidth="1"/>
    <col min="11269" max="11269" width="14.625" style="269" customWidth="1"/>
    <col min="11270" max="11270" width="15.125" style="269" customWidth="1"/>
    <col min="11271" max="11271" width="12.25" style="269" customWidth="1"/>
    <col min="11272" max="11272" width="12.5" style="269" customWidth="1"/>
    <col min="11273" max="11273" width="12.25" style="269" customWidth="1"/>
    <col min="11274" max="11274" width="11.625" style="269" customWidth="1"/>
    <col min="11275" max="11520" width="8.875" style="269"/>
    <col min="11521" max="11521" width="19.5" style="269" customWidth="1"/>
    <col min="11522" max="11523" width="12.125" style="269" customWidth="1"/>
    <col min="11524" max="11524" width="13.75" style="269" customWidth="1"/>
    <col min="11525" max="11525" width="14.625" style="269" customWidth="1"/>
    <col min="11526" max="11526" width="15.125" style="269" customWidth="1"/>
    <col min="11527" max="11527" width="12.25" style="269" customWidth="1"/>
    <col min="11528" max="11528" width="12.5" style="269" customWidth="1"/>
    <col min="11529" max="11529" width="12.25" style="269" customWidth="1"/>
    <col min="11530" max="11530" width="11.625" style="269" customWidth="1"/>
    <col min="11531" max="11776" width="8.875" style="269"/>
    <col min="11777" max="11777" width="19.5" style="269" customWidth="1"/>
    <col min="11778" max="11779" width="12.125" style="269" customWidth="1"/>
    <col min="11780" max="11780" width="13.75" style="269" customWidth="1"/>
    <col min="11781" max="11781" width="14.625" style="269" customWidth="1"/>
    <col min="11782" max="11782" width="15.125" style="269" customWidth="1"/>
    <col min="11783" max="11783" width="12.25" style="269" customWidth="1"/>
    <col min="11784" max="11784" width="12.5" style="269" customWidth="1"/>
    <col min="11785" max="11785" width="12.25" style="269" customWidth="1"/>
    <col min="11786" max="11786" width="11.625" style="269" customWidth="1"/>
    <col min="11787" max="12032" width="8.875" style="269"/>
    <col min="12033" max="12033" width="19.5" style="269" customWidth="1"/>
    <col min="12034" max="12035" width="12.125" style="269" customWidth="1"/>
    <col min="12036" max="12036" width="13.75" style="269" customWidth="1"/>
    <col min="12037" max="12037" width="14.625" style="269" customWidth="1"/>
    <col min="12038" max="12038" width="15.125" style="269" customWidth="1"/>
    <col min="12039" max="12039" width="12.25" style="269" customWidth="1"/>
    <col min="12040" max="12040" width="12.5" style="269" customWidth="1"/>
    <col min="12041" max="12041" width="12.25" style="269" customWidth="1"/>
    <col min="12042" max="12042" width="11.625" style="269" customWidth="1"/>
    <col min="12043" max="12288" width="8.875" style="269"/>
    <col min="12289" max="12289" width="19.5" style="269" customWidth="1"/>
    <col min="12290" max="12291" width="12.125" style="269" customWidth="1"/>
    <col min="12292" max="12292" width="13.75" style="269" customWidth="1"/>
    <col min="12293" max="12293" width="14.625" style="269" customWidth="1"/>
    <col min="12294" max="12294" width="15.125" style="269" customWidth="1"/>
    <col min="12295" max="12295" width="12.25" style="269" customWidth="1"/>
    <col min="12296" max="12296" width="12.5" style="269" customWidth="1"/>
    <col min="12297" max="12297" width="12.25" style="269" customWidth="1"/>
    <col min="12298" max="12298" width="11.625" style="269" customWidth="1"/>
    <col min="12299" max="12544" width="8.875" style="269"/>
    <col min="12545" max="12545" width="19.5" style="269" customWidth="1"/>
    <col min="12546" max="12547" width="12.125" style="269" customWidth="1"/>
    <col min="12548" max="12548" width="13.75" style="269" customWidth="1"/>
    <col min="12549" max="12549" width="14.625" style="269" customWidth="1"/>
    <col min="12550" max="12550" width="15.125" style="269" customWidth="1"/>
    <col min="12551" max="12551" width="12.25" style="269" customWidth="1"/>
    <col min="12552" max="12552" width="12.5" style="269" customWidth="1"/>
    <col min="12553" max="12553" width="12.25" style="269" customWidth="1"/>
    <col min="12554" max="12554" width="11.625" style="269" customWidth="1"/>
    <col min="12555" max="12800" width="8.875" style="269"/>
    <col min="12801" max="12801" width="19.5" style="269" customWidth="1"/>
    <col min="12802" max="12803" width="12.125" style="269" customWidth="1"/>
    <col min="12804" max="12804" width="13.75" style="269" customWidth="1"/>
    <col min="12805" max="12805" width="14.625" style="269" customWidth="1"/>
    <col min="12806" max="12806" width="15.125" style="269" customWidth="1"/>
    <col min="12807" max="12807" width="12.25" style="269" customWidth="1"/>
    <col min="12808" max="12808" width="12.5" style="269" customWidth="1"/>
    <col min="12809" max="12809" width="12.25" style="269" customWidth="1"/>
    <col min="12810" max="12810" width="11.625" style="269" customWidth="1"/>
    <col min="12811" max="13056" width="8.875" style="269"/>
    <col min="13057" max="13057" width="19.5" style="269" customWidth="1"/>
    <col min="13058" max="13059" width="12.125" style="269" customWidth="1"/>
    <col min="13060" max="13060" width="13.75" style="269" customWidth="1"/>
    <col min="13061" max="13061" width="14.625" style="269" customWidth="1"/>
    <col min="13062" max="13062" width="15.125" style="269" customWidth="1"/>
    <col min="13063" max="13063" width="12.25" style="269" customWidth="1"/>
    <col min="13064" max="13064" width="12.5" style="269" customWidth="1"/>
    <col min="13065" max="13065" width="12.25" style="269" customWidth="1"/>
    <col min="13066" max="13066" width="11.625" style="269" customWidth="1"/>
    <col min="13067" max="13312" width="8.875" style="269"/>
    <col min="13313" max="13313" width="19.5" style="269" customWidth="1"/>
    <col min="13314" max="13315" width="12.125" style="269" customWidth="1"/>
    <col min="13316" max="13316" width="13.75" style="269" customWidth="1"/>
    <col min="13317" max="13317" width="14.625" style="269" customWidth="1"/>
    <col min="13318" max="13318" width="15.125" style="269" customWidth="1"/>
    <col min="13319" max="13319" width="12.25" style="269" customWidth="1"/>
    <col min="13320" max="13320" width="12.5" style="269" customWidth="1"/>
    <col min="13321" max="13321" width="12.25" style="269" customWidth="1"/>
    <col min="13322" max="13322" width="11.625" style="269" customWidth="1"/>
    <col min="13323" max="13568" width="8.875" style="269"/>
    <col min="13569" max="13569" width="19.5" style="269" customWidth="1"/>
    <col min="13570" max="13571" width="12.125" style="269" customWidth="1"/>
    <col min="13572" max="13572" width="13.75" style="269" customWidth="1"/>
    <col min="13573" max="13573" width="14.625" style="269" customWidth="1"/>
    <col min="13574" max="13574" width="15.125" style="269" customWidth="1"/>
    <col min="13575" max="13575" width="12.25" style="269" customWidth="1"/>
    <col min="13576" max="13576" width="12.5" style="269" customWidth="1"/>
    <col min="13577" max="13577" width="12.25" style="269" customWidth="1"/>
    <col min="13578" max="13578" width="11.625" style="269" customWidth="1"/>
    <col min="13579" max="13824" width="8.875" style="269"/>
    <col min="13825" max="13825" width="19.5" style="269" customWidth="1"/>
    <col min="13826" max="13827" width="12.125" style="269" customWidth="1"/>
    <col min="13828" max="13828" width="13.75" style="269" customWidth="1"/>
    <col min="13829" max="13829" width="14.625" style="269" customWidth="1"/>
    <col min="13830" max="13830" width="15.125" style="269" customWidth="1"/>
    <col min="13831" max="13831" width="12.25" style="269" customWidth="1"/>
    <col min="13832" max="13832" width="12.5" style="269" customWidth="1"/>
    <col min="13833" max="13833" width="12.25" style="269" customWidth="1"/>
    <col min="13834" max="13834" width="11.625" style="269" customWidth="1"/>
    <col min="13835" max="14080" width="8.875" style="269"/>
    <col min="14081" max="14081" width="19.5" style="269" customWidth="1"/>
    <col min="14082" max="14083" width="12.125" style="269" customWidth="1"/>
    <col min="14084" max="14084" width="13.75" style="269" customWidth="1"/>
    <col min="14085" max="14085" width="14.625" style="269" customWidth="1"/>
    <col min="14086" max="14086" width="15.125" style="269" customWidth="1"/>
    <col min="14087" max="14087" width="12.25" style="269" customWidth="1"/>
    <col min="14088" max="14088" width="12.5" style="269" customWidth="1"/>
    <col min="14089" max="14089" width="12.25" style="269" customWidth="1"/>
    <col min="14090" max="14090" width="11.625" style="269" customWidth="1"/>
    <col min="14091" max="14336" width="8.875" style="269"/>
    <col min="14337" max="14337" width="19.5" style="269" customWidth="1"/>
    <col min="14338" max="14339" width="12.125" style="269" customWidth="1"/>
    <col min="14340" max="14340" width="13.75" style="269" customWidth="1"/>
    <col min="14341" max="14341" width="14.625" style="269" customWidth="1"/>
    <col min="14342" max="14342" width="15.125" style="269" customWidth="1"/>
    <col min="14343" max="14343" width="12.25" style="269" customWidth="1"/>
    <col min="14344" max="14344" width="12.5" style="269" customWidth="1"/>
    <col min="14345" max="14345" width="12.25" style="269" customWidth="1"/>
    <col min="14346" max="14346" width="11.625" style="269" customWidth="1"/>
    <col min="14347" max="14592" width="8.875" style="269"/>
    <col min="14593" max="14593" width="19.5" style="269" customWidth="1"/>
    <col min="14594" max="14595" width="12.125" style="269" customWidth="1"/>
    <col min="14596" max="14596" width="13.75" style="269" customWidth="1"/>
    <col min="14597" max="14597" width="14.625" style="269" customWidth="1"/>
    <col min="14598" max="14598" width="15.125" style="269" customWidth="1"/>
    <col min="14599" max="14599" width="12.25" style="269" customWidth="1"/>
    <col min="14600" max="14600" width="12.5" style="269" customWidth="1"/>
    <col min="14601" max="14601" width="12.25" style="269" customWidth="1"/>
    <col min="14602" max="14602" width="11.625" style="269" customWidth="1"/>
    <col min="14603" max="14848" width="8.875" style="269"/>
    <col min="14849" max="14849" width="19.5" style="269" customWidth="1"/>
    <col min="14850" max="14851" width="12.125" style="269" customWidth="1"/>
    <col min="14852" max="14852" width="13.75" style="269" customWidth="1"/>
    <col min="14853" max="14853" width="14.625" style="269" customWidth="1"/>
    <col min="14854" max="14854" width="15.125" style="269" customWidth="1"/>
    <col min="14855" max="14855" width="12.25" style="269" customWidth="1"/>
    <col min="14856" max="14856" width="12.5" style="269" customWidth="1"/>
    <col min="14857" max="14857" width="12.25" style="269" customWidth="1"/>
    <col min="14858" max="14858" width="11.625" style="269" customWidth="1"/>
    <col min="14859" max="15104" width="8.875" style="269"/>
    <col min="15105" max="15105" width="19.5" style="269" customWidth="1"/>
    <col min="15106" max="15107" width="12.125" style="269" customWidth="1"/>
    <col min="15108" max="15108" width="13.75" style="269" customWidth="1"/>
    <col min="15109" max="15109" width="14.625" style="269" customWidth="1"/>
    <col min="15110" max="15110" width="15.125" style="269" customWidth="1"/>
    <col min="15111" max="15111" width="12.25" style="269" customWidth="1"/>
    <col min="15112" max="15112" width="12.5" style="269" customWidth="1"/>
    <col min="15113" max="15113" width="12.25" style="269" customWidth="1"/>
    <col min="15114" max="15114" width="11.625" style="269" customWidth="1"/>
    <col min="15115" max="15360" width="8.875" style="269"/>
    <col min="15361" max="15361" width="19.5" style="269" customWidth="1"/>
    <col min="15362" max="15363" width="12.125" style="269" customWidth="1"/>
    <col min="15364" max="15364" width="13.75" style="269" customWidth="1"/>
    <col min="15365" max="15365" width="14.625" style="269" customWidth="1"/>
    <col min="15366" max="15366" width="15.125" style="269" customWidth="1"/>
    <col min="15367" max="15367" width="12.25" style="269" customWidth="1"/>
    <col min="15368" max="15368" width="12.5" style="269" customWidth="1"/>
    <col min="15369" max="15369" width="12.25" style="269" customWidth="1"/>
    <col min="15370" max="15370" width="11.625" style="269" customWidth="1"/>
    <col min="15371" max="15616" width="8.875" style="269"/>
    <col min="15617" max="15617" width="19.5" style="269" customWidth="1"/>
    <col min="15618" max="15619" width="12.125" style="269" customWidth="1"/>
    <col min="15620" max="15620" width="13.75" style="269" customWidth="1"/>
    <col min="15621" max="15621" width="14.625" style="269" customWidth="1"/>
    <col min="15622" max="15622" width="15.125" style="269" customWidth="1"/>
    <col min="15623" max="15623" width="12.25" style="269" customWidth="1"/>
    <col min="15624" max="15624" width="12.5" style="269" customWidth="1"/>
    <col min="15625" max="15625" width="12.25" style="269" customWidth="1"/>
    <col min="15626" max="15626" width="11.625" style="269" customWidth="1"/>
    <col min="15627" max="15872" width="8.875" style="269"/>
    <col min="15873" max="15873" width="19.5" style="269" customWidth="1"/>
    <col min="15874" max="15875" width="12.125" style="269" customWidth="1"/>
    <col min="15876" max="15876" width="13.75" style="269" customWidth="1"/>
    <col min="15877" max="15877" width="14.625" style="269" customWidth="1"/>
    <col min="15878" max="15878" width="15.125" style="269" customWidth="1"/>
    <col min="15879" max="15879" width="12.25" style="269" customWidth="1"/>
    <col min="15880" max="15880" width="12.5" style="269" customWidth="1"/>
    <col min="15881" max="15881" width="12.25" style="269" customWidth="1"/>
    <col min="15882" max="15882" width="11.625" style="269" customWidth="1"/>
    <col min="15883" max="16128" width="8.875" style="269"/>
    <col min="16129" max="16129" width="19.5" style="269" customWidth="1"/>
    <col min="16130" max="16131" width="12.125" style="269" customWidth="1"/>
    <col min="16132" max="16132" width="13.75" style="269" customWidth="1"/>
    <col min="16133" max="16133" width="14.625" style="269" customWidth="1"/>
    <col min="16134" max="16134" width="15.125" style="269" customWidth="1"/>
    <col min="16135" max="16135" width="12.25" style="269" customWidth="1"/>
    <col min="16136" max="16136" width="12.5" style="269" customWidth="1"/>
    <col min="16137" max="16137" width="12.25" style="269" customWidth="1"/>
    <col min="16138" max="16138" width="11.625" style="269" customWidth="1"/>
    <col min="16139" max="16384" width="8.875" style="269"/>
  </cols>
  <sheetData>
    <row r="1" spans="1:10" ht="19.5">
      <c r="A1" s="264" t="s">
        <v>497</v>
      </c>
      <c r="B1" s="265"/>
      <c r="C1" s="266"/>
      <c r="D1" s="267"/>
      <c r="E1" s="265"/>
      <c r="F1" s="266"/>
      <c r="G1" s="268"/>
    </row>
    <row r="2" spans="1:10" ht="6.75" customHeight="1">
      <c r="G2" s="272"/>
    </row>
    <row r="3" spans="1:10" ht="17.25">
      <c r="A3" s="273" t="s">
        <v>155</v>
      </c>
      <c r="B3" s="274"/>
      <c r="C3" s="274"/>
      <c r="D3" s="274"/>
      <c r="E3" s="275"/>
      <c r="F3" s="275"/>
      <c r="G3" s="275"/>
      <c r="H3" s="275"/>
      <c r="I3" s="275"/>
      <c r="J3" s="276"/>
    </row>
    <row r="4" spans="1:10" ht="17.25">
      <c r="A4" s="277" t="s">
        <v>156</v>
      </c>
      <c r="B4" s="278"/>
      <c r="C4" s="278"/>
      <c r="D4" s="278"/>
      <c r="E4" s="279"/>
      <c r="F4" s="279"/>
      <c r="G4" s="279"/>
      <c r="H4" s="279"/>
      <c r="I4" s="279"/>
      <c r="J4" s="280"/>
    </row>
    <row r="5" spans="1:10">
      <c r="A5" s="70" t="s">
        <v>483</v>
      </c>
      <c r="B5" s="8" t="s">
        <v>484</v>
      </c>
      <c r="C5" s="71" t="s">
        <v>485</v>
      </c>
      <c r="D5" s="72" t="s">
        <v>157</v>
      </c>
      <c r="E5" s="8" t="s">
        <v>484</v>
      </c>
      <c r="F5" s="71" t="s">
        <v>485</v>
      </c>
      <c r="G5" s="74" t="s">
        <v>158</v>
      </c>
      <c r="H5" s="8" t="s">
        <v>484</v>
      </c>
      <c r="I5" s="71" t="s">
        <v>485</v>
      </c>
      <c r="J5" s="203" t="s">
        <v>36</v>
      </c>
    </row>
    <row r="6" spans="1:10">
      <c r="A6" s="282"/>
      <c r="B6" s="281" t="s">
        <v>32</v>
      </c>
      <c r="C6" s="500" t="s">
        <v>417</v>
      </c>
      <c r="D6" s="504" t="s">
        <v>1</v>
      </c>
      <c r="E6" s="283" t="s">
        <v>33</v>
      </c>
      <c r="F6" s="505" t="s">
        <v>418</v>
      </c>
      <c r="G6" s="504" t="s">
        <v>1</v>
      </c>
      <c r="H6" s="284" t="s">
        <v>35</v>
      </c>
      <c r="I6" s="507" t="s">
        <v>419</v>
      </c>
      <c r="J6" s="504" t="s">
        <v>1</v>
      </c>
    </row>
    <row r="7" spans="1:10">
      <c r="A7" s="285" t="s">
        <v>4</v>
      </c>
      <c r="B7" s="286"/>
      <c r="C7" s="81"/>
      <c r="D7" s="206"/>
      <c r="E7" s="287"/>
      <c r="F7" s="81"/>
      <c r="G7" s="506"/>
      <c r="H7" s="288"/>
      <c r="I7" s="84"/>
      <c r="J7" s="207"/>
    </row>
    <row r="8" spans="1:10">
      <c r="A8" s="285" t="s">
        <v>5</v>
      </c>
      <c r="B8" s="289">
        <f>SUM(B9:B11)</f>
        <v>10791</v>
      </c>
      <c r="C8" s="501">
        <f>SUM(C9:C11)</f>
        <v>12131</v>
      </c>
      <c r="D8" s="514">
        <f>IF(C8,(B8-C8)/C8,0)</f>
        <v>-0.11046080290165691</v>
      </c>
      <c r="E8" s="290">
        <f>SUM(E9:E11)</f>
        <v>27422196</v>
      </c>
      <c r="F8" s="85">
        <f>SUM(F9:F11)</f>
        <v>25428920</v>
      </c>
      <c r="G8" s="513">
        <f>IF(F8,(E8-F8)/F8,0)</f>
        <v>7.8386183919726043E-2</v>
      </c>
      <c r="H8" s="87">
        <f>IF(B8,E8/B8,0)</f>
        <v>2541.2098971365026</v>
      </c>
      <c r="I8" s="88">
        <f>IF(C8,F8/C8,0)</f>
        <v>2096.193223971643</v>
      </c>
      <c r="J8" s="515">
        <f t="shared" ref="J8:J64" si="0">IF(I8,(H8-I8)/I8,0)</f>
        <v>0.21229754398389361</v>
      </c>
    </row>
    <row r="9" spans="1:10">
      <c r="A9" s="291" t="s">
        <v>162</v>
      </c>
      <c r="B9" s="292">
        <f>電輔車!E9</f>
        <v>10392</v>
      </c>
      <c r="C9" s="89">
        <f>VLOOKUP(A9,[9]進出口值表查詢結果!$A$10:$C$38,3,0)</f>
        <v>11220</v>
      </c>
      <c r="D9" s="514">
        <f t="shared" ref="D9:D64" si="1">IF(C9,(B9-C9)/C9,0)</f>
        <v>-7.3796791443850263E-2</v>
      </c>
      <c r="E9" s="293">
        <f>電輔車!G9</f>
        <v>26361814</v>
      </c>
      <c r="F9" s="90">
        <f>VLOOKUP(A9,[9]進出口值表查詢結果!$A$10:$C$38,2,0)</f>
        <v>23327251</v>
      </c>
      <c r="G9" s="513">
        <f t="shared" ref="G9:G64" si="2">IF(F9,(E9-F9)/F9,0)</f>
        <v>0.13008660986243084</v>
      </c>
      <c r="H9" s="87">
        <f t="shared" ref="H9:H11" si="3">IF(B9,E9/B9,0)</f>
        <v>2536.7411470361817</v>
      </c>
      <c r="I9" s="88">
        <f t="shared" ref="I9:I11" si="4">IF(C9,F9/C9,0)</f>
        <v>2079.0776292335117</v>
      </c>
      <c r="J9" s="515">
        <f t="shared" si="0"/>
        <v>0.22012815268056904</v>
      </c>
    </row>
    <row r="10" spans="1:10">
      <c r="A10" s="294" t="s">
        <v>6</v>
      </c>
      <c r="B10" s="292">
        <f>電輔車!E10</f>
        <v>369</v>
      </c>
      <c r="C10" s="89">
        <f>VLOOKUP(A10,[9]進出口值表查詢結果!$A$10:$C$38,3,0)</f>
        <v>784</v>
      </c>
      <c r="D10" s="514">
        <f t="shared" si="1"/>
        <v>-0.52933673469387754</v>
      </c>
      <c r="E10" s="293">
        <f>電輔車!G10</f>
        <v>1016782</v>
      </c>
      <c r="F10" s="90">
        <f>VLOOKUP(A10,[9]進出口值表查詢結果!$A$10:$C$38,2,0)</f>
        <v>1705943</v>
      </c>
      <c r="G10" s="513">
        <f t="shared" si="2"/>
        <v>-0.40397656897094453</v>
      </c>
      <c r="H10" s="87">
        <f t="shared" si="3"/>
        <v>2755.5067750677508</v>
      </c>
      <c r="I10" s="88">
        <f t="shared" si="4"/>
        <v>2175.9477040816328</v>
      </c>
      <c r="J10" s="515">
        <f t="shared" si="0"/>
        <v>0.26634788598043224</v>
      </c>
    </row>
    <row r="11" spans="1:10">
      <c r="A11" s="294" t="s">
        <v>7</v>
      </c>
      <c r="B11" s="292">
        <f>電輔車!E11</f>
        <v>30</v>
      </c>
      <c r="C11" s="89">
        <f>VLOOKUP(A11,[9]進出口值表查詢結果!$A$10:$C$38,3,0)</f>
        <v>127</v>
      </c>
      <c r="D11" s="514">
        <f t="shared" si="1"/>
        <v>-0.76377952755905509</v>
      </c>
      <c r="E11" s="293">
        <f>電輔車!G11</f>
        <v>43600</v>
      </c>
      <c r="F11" s="90">
        <f>VLOOKUP(A11,[9]進出口值表查詢結果!$A$10:$C$38,2,0)</f>
        <v>395726</v>
      </c>
      <c r="G11" s="513">
        <f t="shared" si="2"/>
        <v>-0.88982275614945694</v>
      </c>
      <c r="H11" s="87">
        <f t="shared" si="3"/>
        <v>1453.3333333333333</v>
      </c>
      <c r="I11" s="88">
        <f t="shared" si="4"/>
        <v>3115.9527559055118</v>
      </c>
      <c r="J11" s="515">
        <f t="shared" si="0"/>
        <v>-0.53358300103270107</v>
      </c>
    </row>
    <row r="12" spans="1:10">
      <c r="A12" s="294"/>
      <c r="B12" s="292"/>
      <c r="C12" s="502"/>
      <c r="D12" s="514"/>
      <c r="E12" s="293"/>
      <c r="F12" s="90"/>
      <c r="G12" s="513"/>
      <c r="H12" s="87"/>
      <c r="I12" s="88"/>
      <c r="J12" s="515"/>
    </row>
    <row r="13" spans="1:10">
      <c r="A13" s="295" t="s">
        <v>8</v>
      </c>
      <c r="B13" s="296">
        <f>SUM(B14:B40)</f>
        <v>9543</v>
      </c>
      <c r="C13" s="503">
        <f>SUM(C14:C40)</f>
        <v>15382</v>
      </c>
      <c r="D13" s="514">
        <f t="shared" si="1"/>
        <v>-0.37959953192042645</v>
      </c>
      <c r="E13" s="296">
        <f>SUM(E14:E40)</f>
        <v>17145239</v>
      </c>
      <c r="F13" s="91">
        <f>SUM(F14:F40)</f>
        <v>27084575</v>
      </c>
      <c r="G13" s="513">
        <f t="shared" si="2"/>
        <v>-0.36697404334385902</v>
      </c>
      <c r="H13" s="87">
        <f t="shared" ref="H13:H18" si="5">IF(B13,E13/B13,0)</f>
        <v>1796.629885780153</v>
      </c>
      <c r="I13" s="88">
        <f t="shared" ref="I13:I18" si="6">IF(C13,F13/C13,0)</f>
        <v>1760.7967104407749</v>
      </c>
      <c r="J13" s="515">
        <f t="shared" si="0"/>
        <v>2.0350546503694996E-2</v>
      </c>
    </row>
    <row r="14" spans="1:10">
      <c r="A14" s="454" t="s">
        <v>247</v>
      </c>
      <c r="B14" s="293">
        <f>電輔車!E14</f>
        <v>5353</v>
      </c>
      <c r="C14" s="89">
        <f>VLOOKUP(A14,[9]進出口值表查詢結果!$A$10:$C$38,3,0)</f>
        <v>10555</v>
      </c>
      <c r="D14" s="514">
        <f t="shared" si="1"/>
        <v>-0.49284699194694459</v>
      </c>
      <c r="E14" s="293">
        <f>電輔車!G14</f>
        <v>11704894</v>
      </c>
      <c r="F14" s="90">
        <f>VLOOKUP(A14,[9]進出口值表查詢結果!$A$10:$C$38,2,0)</f>
        <v>20345469</v>
      </c>
      <c r="G14" s="513">
        <f t="shared" si="2"/>
        <v>-0.42469283947202202</v>
      </c>
      <c r="H14" s="87">
        <f t="shared" si="5"/>
        <v>2186.6045208294413</v>
      </c>
      <c r="I14" s="88">
        <f t="shared" si="6"/>
        <v>1927.5669351018475</v>
      </c>
      <c r="J14" s="515">
        <f t="shared" si="0"/>
        <v>0.1343857798193176</v>
      </c>
    </row>
    <row r="15" spans="1:10">
      <c r="A15" s="454" t="s">
        <v>248</v>
      </c>
      <c r="B15" s="293">
        <f>電輔車!E15</f>
        <v>3180</v>
      </c>
      <c r="C15" s="89">
        <f>VLOOKUP(A15,[9]進出口值表查詢結果!$A$10:$C$38,3,0)</f>
        <v>2281</v>
      </c>
      <c r="D15" s="514">
        <f t="shared" si="1"/>
        <v>0.3941253836036826</v>
      </c>
      <c r="E15" s="293">
        <f>電輔車!G15</f>
        <v>4360351</v>
      </c>
      <c r="F15" s="90">
        <f>VLOOKUP(A15,[9]進出口值表查詢結果!$A$10:$C$38,2,0)</f>
        <v>2791582</v>
      </c>
      <c r="G15" s="513">
        <f t="shared" si="2"/>
        <v>0.56196414792759086</v>
      </c>
      <c r="H15" s="87">
        <f t="shared" si="5"/>
        <v>1371.1795597484277</v>
      </c>
      <c r="I15" s="88">
        <f t="shared" si="6"/>
        <v>1223.8412976764578</v>
      </c>
      <c r="J15" s="515">
        <f t="shared" si="0"/>
        <v>0.12039000673674043</v>
      </c>
    </row>
    <row r="16" spans="1:10">
      <c r="A16" s="455" t="s">
        <v>9</v>
      </c>
      <c r="B16" s="293">
        <f>電輔車!E16</f>
        <v>32</v>
      </c>
      <c r="C16" s="89">
        <f>VLOOKUP(A16,[9]進出口值表查詢結果!$A$10:$C$38,3,0)</f>
        <v>358</v>
      </c>
      <c r="D16" s="514">
        <f t="shared" si="1"/>
        <v>-0.91061452513966479</v>
      </c>
      <c r="E16" s="293">
        <f>電輔車!G16</f>
        <v>43752</v>
      </c>
      <c r="F16" s="90">
        <f>VLOOKUP(A16,[9]進出口值表查詢結果!$A$10:$C$38,2,0)</f>
        <v>761375</v>
      </c>
      <c r="G16" s="513">
        <f t="shared" si="2"/>
        <v>-0.94253554424560826</v>
      </c>
      <c r="H16" s="87">
        <f t="shared" si="5"/>
        <v>1367.25</v>
      </c>
      <c r="I16" s="88">
        <f t="shared" si="6"/>
        <v>2126.7458100558661</v>
      </c>
      <c r="J16" s="515">
        <f t="shared" si="0"/>
        <v>-0.35711640124774263</v>
      </c>
    </row>
    <row r="17" spans="1:10">
      <c r="A17" s="454" t="s">
        <v>249</v>
      </c>
      <c r="B17" s="293">
        <f>電輔車!E17</f>
        <v>0</v>
      </c>
      <c r="C17" s="89">
        <f>VLOOKUP(A17,[9]進出口值表查詢結果!$A$10:$C$38,3,0)</f>
        <v>800</v>
      </c>
      <c r="D17" s="514">
        <f t="shared" si="1"/>
        <v>-1</v>
      </c>
      <c r="E17" s="293">
        <f>電輔車!G17</f>
        <v>0</v>
      </c>
      <c r="F17" s="90">
        <f>VLOOKUP(A17,[9]進出口值表查詢結果!$A$10:$C$38,2,0)</f>
        <v>883643</v>
      </c>
      <c r="G17" s="513">
        <f t="shared" si="2"/>
        <v>-1</v>
      </c>
      <c r="H17" s="87">
        <f t="shared" si="5"/>
        <v>0</v>
      </c>
      <c r="I17" s="88">
        <f t="shared" si="6"/>
        <v>1104.55375</v>
      </c>
      <c r="J17" s="515">
        <f t="shared" si="0"/>
        <v>-1</v>
      </c>
    </row>
    <row r="18" spans="1:10">
      <c r="A18" s="455" t="s">
        <v>10</v>
      </c>
      <c r="B18" s="293">
        <f>電輔車!E18</f>
        <v>277</v>
      </c>
      <c r="C18" s="89">
        <f>VLOOKUP(A18,[9]進出口值表查詢結果!$A$10:$C$38,3,0)</f>
        <v>497</v>
      </c>
      <c r="D18" s="514">
        <f t="shared" si="1"/>
        <v>-0.44265593561368211</v>
      </c>
      <c r="E18" s="293">
        <f>電輔車!G18</f>
        <v>635634</v>
      </c>
      <c r="F18" s="90">
        <f>VLOOKUP(A18,[9]進出口值表查詢結果!$A$10:$C$38,2,0)</f>
        <v>991484</v>
      </c>
      <c r="G18" s="513">
        <f t="shared" si="2"/>
        <v>-0.35890644730525151</v>
      </c>
      <c r="H18" s="87">
        <f t="shared" si="5"/>
        <v>2294.707581227437</v>
      </c>
      <c r="I18" s="88">
        <f t="shared" si="6"/>
        <v>1994.9376257545271</v>
      </c>
      <c r="J18" s="515">
        <f t="shared" si="0"/>
        <v>0.15026532739815898</v>
      </c>
    </row>
    <row r="19" spans="1:10">
      <c r="A19" s="455" t="s">
        <v>11</v>
      </c>
      <c r="B19" s="293">
        <f>電輔車!E19</f>
        <v>0</v>
      </c>
      <c r="C19" s="89">
        <v>0</v>
      </c>
      <c r="D19" s="514">
        <f t="shared" si="1"/>
        <v>0</v>
      </c>
      <c r="E19" s="293">
        <f>電輔車!G19</f>
        <v>0</v>
      </c>
      <c r="F19" s="90">
        <v>0</v>
      </c>
      <c r="G19" s="513">
        <f t="shared" si="2"/>
        <v>0</v>
      </c>
      <c r="H19" s="87">
        <f>IF(B19,E19/B19,0)</f>
        <v>0</v>
      </c>
      <c r="I19" s="88">
        <f>IF(C19,F19/C19,0)</f>
        <v>0</v>
      </c>
      <c r="J19" s="515">
        <f t="shared" si="0"/>
        <v>0</v>
      </c>
    </row>
    <row r="20" spans="1:10">
      <c r="A20" s="454" t="s">
        <v>251</v>
      </c>
      <c r="B20" s="293">
        <f>電輔車!E20</f>
        <v>79</v>
      </c>
      <c r="C20" s="89">
        <f>VLOOKUP(A20,[9]進出口值表查詢結果!$A$10:$C$38,3,0)</f>
        <v>373</v>
      </c>
      <c r="D20" s="514">
        <f t="shared" si="1"/>
        <v>-0.7882037533512064</v>
      </c>
      <c r="E20" s="293">
        <f>電輔車!G20</f>
        <v>154941</v>
      </c>
      <c r="F20" s="90">
        <f>VLOOKUP(A20,[9]進出口值表查詢結果!$A$10:$C$38,2,0)</f>
        <v>750032</v>
      </c>
      <c r="G20" s="513">
        <f t="shared" si="2"/>
        <v>-0.79342081404526743</v>
      </c>
      <c r="H20" s="87">
        <f t="shared" ref="H20:H33" si="7">IF(B20,E20/B20,0)</f>
        <v>1961.2784810126582</v>
      </c>
      <c r="I20" s="88">
        <f t="shared" ref="I20:I33" si="8">IF(C20,F20/C20,0)</f>
        <v>2010.8096514745309</v>
      </c>
      <c r="J20" s="515">
        <f t="shared" si="0"/>
        <v>-2.463245112512338E-2</v>
      </c>
    </row>
    <row r="21" spans="1:10">
      <c r="A21" s="455" t="s">
        <v>12</v>
      </c>
      <c r="B21" s="293">
        <f>電輔車!E21</f>
        <v>0</v>
      </c>
      <c r="C21" s="89">
        <f>VLOOKUP(A21,[9]進出口值表查詢結果!$A$10:$C$38,3,0)</f>
        <v>2</v>
      </c>
      <c r="D21" s="514">
        <f t="shared" si="1"/>
        <v>-1</v>
      </c>
      <c r="E21" s="293">
        <f>電輔車!G21</f>
        <v>0</v>
      </c>
      <c r="F21" s="90">
        <f>VLOOKUP(A21,[9]進出口值表查詢結果!$A$10:$C$38,2,0)</f>
        <v>1093</v>
      </c>
      <c r="G21" s="513">
        <f t="shared" si="2"/>
        <v>-1</v>
      </c>
      <c r="H21" s="87">
        <f t="shared" si="7"/>
        <v>0</v>
      </c>
      <c r="I21" s="88">
        <f t="shared" si="8"/>
        <v>546.5</v>
      </c>
      <c r="J21" s="515">
        <f t="shared" si="0"/>
        <v>-1</v>
      </c>
    </row>
    <row r="22" spans="1:10">
      <c r="A22" s="454" t="s">
        <v>252</v>
      </c>
      <c r="B22" s="293">
        <f>電輔車!E22</f>
        <v>0</v>
      </c>
      <c r="C22" s="89">
        <v>0</v>
      </c>
      <c r="D22" s="514">
        <f t="shared" si="1"/>
        <v>0</v>
      </c>
      <c r="E22" s="293">
        <f>電輔車!G22</f>
        <v>0</v>
      </c>
      <c r="F22" s="90">
        <f>_xlfn.IFNA(VLOOKUP(A22,[3]電同!$C$3:$G$576,3,0),-[4]整車!$B$22)</f>
        <v>0</v>
      </c>
      <c r="G22" s="513">
        <f t="shared" si="2"/>
        <v>0</v>
      </c>
      <c r="H22" s="87">
        <f t="shared" si="7"/>
        <v>0</v>
      </c>
      <c r="I22" s="88">
        <f t="shared" si="8"/>
        <v>0</v>
      </c>
      <c r="J22" s="515">
        <f t="shared" si="0"/>
        <v>0</v>
      </c>
    </row>
    <row r="23" spans="1:10">
      <c r="A23" s="455" t="s">
        <v>13</v>
      </c>
      <c r="B23" s="293">
        <f>電輔車!E23</f>
        <v>0</v>
      </c>
      <c r="C23" s="89">
        <v>0</v>
      </c>
      <c r="D23" s="514">
        <f t="shared" si="1"/>
        <v>0</v>
      </c>
      <c r="E23" s="293">
        <f>電輔車!G23</f>
        <v>0</v>
      </c>
      <c r="F23" s="90">
        <f>_xlfn.IFNA(VLOOKUP(A23,[3]電同!$C$3:$G$576,3,0),-[4]整車!$B$22)</f>
        <v>0</v>
      </c>
      <c r="G23" s="513">
        <f t="shared" si="2"/>
        <v>0</v>
      </c>
      <c r="H23" s="87">
        <f t="shared" si="7"/>
        <v>0</v>
      </c>
      <c r="I23" s="88">
        <f t="shared" si="8"/>
        <v>0</v>
      </c>
      <c r="J23" s="515">
        <f t="shared" si="0"/>
        <v>0</v>
      </c>
    </row>
    <row r="24" spans="1:10">
      <c r="A24" s="455" t="s">
        <v>14</v>
      </c>
      <c r="B24" s="293">
        <f>電輔車!E24</f>
        <v>0</v>
      </c>
      <c r="C24" s="89">
        <v>0</v>
      </c>
      <c r="D24" s="514">
        <f t="shared" si="1"/>
        <v>0</v>
      </c>
      <c r="E24" s="293">
        <f>電輔車!G24</f>
        <v>0</v>
      </c>
      <c r="F24" s="90">
        <f>_xlfn.IFNA(VLOOKUP(A24,[3]電同!$C$3:$G$576,3,0),-[4]整車!$B$22)</f>
        <v>0</v>
      </c>
      <c r="G24" s="513">
        <f t="shared" si="2"/>
        <v>0</v>
      </c>
      <c r="H24" s="87">
        <f t="shared" si="7"/>
        <v>0</v>
      </c>
      <c r="I24" s="88">
        <f t="shared" si="8"/>
        <v>0</v>
      </c>
      <c r="J24" s="515">
        <f t="shared" si="0"/>
        <v>0</v>
      </c>
    </row>
    <row r="25" spans="1:10">
      <c r="A25" s="455" t="s">
        <v>15</v>
      </c>
      <c r="B25" s="293">
        <f>電輔車!E25</f>
        <v>2</v>
      </c>
      <c r="C25" s="89">
        <v>0</v>
      </c>
      <c r="D25" s="514">
        <f t="shared" si="1"/>
        <v>0</v>
      </c>
      <c r="E25" s="293">
        <f>電輔車!G25</f>
        <v>9395</v>
      </c>
      <c r="F25" s="90">
        <v>0</v>
      </c>
      <c r="G25" s="513">
        <f t="shared" si="2"/>
        <v>0</v>
      </c>
      <c r="H25" s="87">
        <f t="shared" si="7"/>
        <v>4697.5</v>
      </c>
      <c r="I25" s="88">
        <f t="shared" si="8"/>
        <v>0</v>
      </c>
      <c r="J25" s="515">
        <f t="shared" si="0"/>
        <v>0</v>
      </c>
    </row>
    <row r="26" spans="1:10">
      <c r="A26" s="454" t="s">
        <v>255</v>
      </c>
      <c r="B26" s="293">
        <f>電輔車!E26</f>
        <v>620</v>
      </c>
      <c r="C26" s="89">
        <f>VLOOKUP(A26,[9]進出口值表查詢結果!$A$10:$C$38,3,0)</f>
        <v>300</v>
      </c>
      <c r="D26" s="514">
        <f t="shared" si="1"/>
        <v>1.0666666666666667</v>
      </c>
      <c r="E26" s="293">
        <f>電輔車!G26</f>
        <v>236272</v>
      </c>
      <c r="F26" s="90">
        <f>VLOOKUP(A26,[9]進出口值表查詢結果!$A$10:$C$38,2,0)</f>
        <v>115681</v>
      </c>
      <c r="G26" s="513">
        <f t="shared" si="2"/>
        <v>1.0424443080540451</v>
      </c>
      <c r="H26" s="87">
        <f t="shared" si="7"/>
        <v>381.08387096774192</v>
      </c>
      <c r="I26" s="88">
        <f t="shared" si="8"/>
        <v>385.60333333333335</v>
      </c>
      <c r="J26" s="515">
        <f t="shared" si="0"/>
        <v>-1.1720496102881468E-2</v>
      </c>
    </row>
    <row r="27" spans="1:10">
      <c r="A27" s="454" t="s">
        <v>257</v>
      </c>
      <c r="B27" s="293">
        <f>電輔車!E27</f>
        <v>0</v>
      </c>
      <c r="C27" s="89">
        <v>0</v>
      </c>
      <c r="D27" s="514">
        <f t="shared" si="1"/>
        <v>0</v>
      </c>
      <c r="E27" s="293">
        <f>電輔車!G27</f>
        <v>0</v>
      </c>
      <c r="F27" s="90">
        <v>0</v>
      </c>
      <c r="G27" s="513">
        <f t="shared" si="2"/>
        <v>0</v>
      </c>
      <c r="H27" s="87">
        <f t="shared" si="7"/>
        <v>0</v>
      </c>
      <c r="I27" s="88">
        <f t="shared" si="8"/>
        <v>0</v>
      </c>
      <c r="J27" s="515">
        <f t="shared" si="0"/>
        <v>0</v>
      </c>
    </row>
    <row r="28" spans="1:10">
      <c r="A28" s="455" t="s">
        <v>258</v>
      </c>
      <c r="B28" s="293">
        <f>電輔車!E28</f>
        <v>0</v>
      </c>
      <c r="C28" s="89">
        <f>VLOOKUP(A28,[9]進出口值表查詢結果!$A$10:$C$38,3,0)</f>
        <v>123</v>
      </c>
      <c r="D28" s="514">
        <f t="shared" si="1"/>
        <v>-1</v>
      </c>
      <c r="E28" s="293">
        <f>電輔車!G28</f>
        <v>0</v>
      </c>
      <c r="F28" s="90">
        <f>VLOOKUP(A28,[9]進出口值表查詢結果!$A$10:$C$38,2,0)</f>
        <v>229049</v>
      </c>
      <c r="G28" s="513">
        <f t="shared" si="2"/>
        <v>-1</v>
      </c>
      <c r="H28" s="87">
        <f t="shared" si="7"/>
        <v>0</v>
      </c>
      <c r="I28" s="88">
        <f t="shared" si="8"/>
        <v>1862.1869918699188</v>
      </c>
      <c r="J28" s="515">
        <f t="shared" si="0"/>
        <v>-1</v>
      </c>
    </row>
    <row r="29" spans="1:10">
      <c r="A29" s="465" t="s">
        <v>259</v>
      </c>
      <c r="B29" s="293">
        <f>電輔車!E29</f>
        <v>0</v>
      </c>
      <c r="C29" s="89">
        <f>VLOOKUP(A29,[9]進出口值表查詢結果!$A$10:$C$38,3,0)</f>
        <v>93</v>
      </c>
      <c r="D29" s="514">
        <f t="shared" si="1"/>
        <v>-1</v>
      </c>
      <c r="E29" s="293">
        <f>電輔車!G29</f>
        <v>0</v>
      </c>
      <c r="F29" s="90">
        <f>VLOOKUP(A29,[9]進出口值表查詢結果!$A$10:$C$38,2,0)</f>
        <v>215167</v>
      </c>
      <c r="G29" s="513">
        <f t="shared" si="2"/>
        <v>-1</v>
      </c>
      <c r="H29" s="87">
        <f t="shared" si="7"/>
        <v>0</v>
      </c>
      <c r="I29" s="88">
        <f t="shared" si="8"/>
        <v>2313.6236559139784</v>
      </c>
      <c r="J29" s="515">
        <f t="shared" si="0"/>
        <v>-1</v>
      </c>
    </row>
    <row r="30" spans="1:10">
      <c r="A30" s="465" t="s">
        <v>260</v>
      </c>
      <c r="B30" s="293">
        <f>電輔車!E30</f>
        <v>0</v>
      </c>
      <c r="C30" s="89">
        <v>0</v>
      </c>
      <c r="D30" s="514">
        <f t="shared" si="1"/>
        <v>0</v>
      </c>
      <c r="E30" s="293">
        <f>電輔車!G30</f>
        <v>0</v>
      </c>
      <c r="F30" s="90">
        <f>_xlfn.IFNA(VLOOKUP(A30,[3]電同!$C$3:$G$576,3,0),-[4]整車!$B$22)</f>
        <v>0</v>
      </c>
      <c r="G30" s="513">
        <f t="shared" si="2"/>
        <v>0</v>
      </c>
      <c r="H30" s="87">
        <f t="shared" si="7"/>
        <v>0</v>
      </c>
      <c r="I30" s="88">
        <f t="shared" si="8"/>
        <v>0</v>
      </c>
      <c r="J30" s="515">
        <f t="shared" si="0"/>
        <v>0</v>
      </c>
    </row>
    <row r="31" spans="1:10">
      <c r="A31" s="465" t="s">
        <v>261</v>
      </c>
      <c r="B31" s="293">
        <f>電輔車!E31</f>
        <v>0</v>
      </c>
      <c r="C31" s="89">
        <v>0</v>
      </c>
      <c r="D31" s="514">
        <f t="shared" si="1"/>
        <v>0</v>
      </c>
      <c r="E31" s="293">
        <f>電輔車!G31</f>
        <v>0</v>
      </c>
      <c r="F31" s="90">
        <f>_xlfn.IFNA(VLOOKUP(A31,[3]電同!$C$3:$G$576,3,0),-[4]整車!$B$22)</f>
        <v>0</v>
      </c>
      <c r="G31" s="513">
        <f t="shared" si="2"/>
        <v>0</v>
      </c>
      <c r="H31" s="87">
        <f t="shared" si="7"/>
        <v>0</v>
      </c>
      <c r="I31" s="88">
        <f t="shared" si="8"/>
        <v>0</v>
      </c>
      <c r="J31" s="515">
        <f t="shared" si="0"/>
        <v>0</v>
      </c>
    </row>
    <row r="32" spans="1:10">
      <c r="A32" s="465" t="s">
        <v>263</v>
      </c>
      <c r="B32" s="293">
        <f>電輔車!E32</f>
        <v>0</v>
      </c>
      <c r="C32" s="89">
        <v>0</v>
      </c>
      <c r="D32" s="514">
        <f t="shared" si="1"/>
        <v>0</v>
      </c>
      <c r="E32" s="293">
        <f>電輔車!G32</f>
        <v>0</v>
      </c>
      <c r="F32" s="90">
        <f>_xlfn.IFNA(VLOOKUP(A32,[3]電同!$C$3:$G$576,3,0),-[4]整車!$B$22)</f>
        <v>0</v>
      </c>
      <c r="G32" s="513">
        <f t="shared" si="2"/>
        <v>0</v>
      </c>
      <c r="H32" s="87">
        <f t="shared" si="7"/>
        <v>0</v>
      </c>
      <c r="I32" s="88">
        <f t="shared" si="8"/>
        <v>0</v>
      </c>
      <c r="J32" s="515">
        <f t="shared" si="0"/>
        <v>0</v>
      </c>
    </row>
    <row r="33" spans="1:10">
      <c r="A33" s="465" t="s">
        <v>265</v>
      </c>
      <c r="B33" s="293">
        <f>電輔車!E33</f>
        <v>0</v>
      </c>
      <c r="C33" s="89">
        <v>0</v>
      </c>
      <c r="D33" s="514">
        <f t="shared" si="1"/>
        <v>0</v>
      </c>
      <c r="E33" s="293">
        <f>電輔車!G33</f>
        <v>0</v>
      </c>
      <c r="F33" s="90">
        <f>_xlfn.IFNA(VLOOKUP(A33,[3]電同!$C$3:$G$576,3,0),-[4]整車!$B$22)</f>
        <v>0</v>
      </c>
      <c r="G33" s="513">
        <f t="shared" si="2"/>
        <v>0</v>
      </c>
      <c r="H33" s="87">
        <f t="shared" si="7"/>
        <v>0</v>
      </c>
      <c r="I33" s="88">
        <f t="shared" si="8"/>
        <v>0</v>
      </c>
      <c r="J33" s="515">
        <f t="shared" si="0"/>
        <v>0</v>
      </c>
    </row>
    <row r="34" spans="1:10">
      <c r="A34" s="465" t="s">
        <v>266</v>
      </c>
      <c r="B34" s="293">
        <f>電輔車!E34</f>
        <v>0</v>
      </c>
      <c r="C34" s="89">
        <v>0</v>
      </c>
      <c r="D34" s="514">
        <f t="shared" si="1"/>
        <v>0</v>
      </c>
      <c r="E34" s="293">
        <f>電輔車!G34</f>
        <v>0</v>
      </c>
      <c r="F34" s="90">
        <f>_xlfn.IFNA(VLOOKUP(A34,[3]電同!$C$3:$G$576,3,0),-[4]整車!$B$22)</f>
        <v>0</v>
      </c>
      <c r="G34" s="513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15">
        <f t="shared" si="0"/>
        <v>0</v>
      </c>
    </row>
    <row r="35" spans="1:10">
      <c r="A35" s="466" t="s">
        <v>384</v>
      </c>
      <c r="B35" s="293">
        <f>電輔車!E35</f>
        <v>0</v>
      </c>
      <c r="C35" s="89">
        <v>0</v>
      </c>
      <c r="D35" s="514">
        <f t="shared" si="1"/>
        <v>0</v>
      </c>
      <c r="E35" s="293">
        <f>電輔車!G35</f>
        <v>0</v>
      </c>
      <c r="F35" s="90">
        <f>_xlfn.IFNA(VLOOKUP(A35,[3]電同!$C$3:$G$576,3,0),-[4]整車!$B$22)</f>
        <v>0</v>
      </c>
      <c r="G35" s="513">
        <f t="shared" si="2"/>
        <v>0</v>
      </c>
      <c r="H35" s="87">
        <f t="shared" si="9"/>
        <v>0</v>
      </c>
      <c r="I35" s="88">
        <f t="shared" si="10"/>
        <v>0</v>
      </c>
      <c r="J35" s="515">
        <f t="shared" si="0"/>
        <v>0</v>
      </c>
    </row>
    <row r="36" spans="1:10">
      <c r="A36" s="465" t="s">
        <v>269</v>
      </c>
      <c r="B36" s="293">
        <f>電輔車!E36</f>
        <v>0</v>
      </c>
      <c r="C36" s="89">
        <v>0</v>
      </c>
      <c r="D36" s="514">
        <f t="shared" si="1"/>
        <v>0</v>
      </c>
      <c r="E36" s="293">
        <f>電輔車!G36</f>
        <v>0</v>
      </c>
      <c r="F36" s="90">
        <f>_xlfn.IFNA(VLOOKUP(A36,[3]電同!$C$3:$G$576,3,0),-[4]整車!$B$22)</f>
        <v>0</v>
      </c>
      <c r="G36" s="513">
        <f t="shared" si="2"/>
        <v>0</v>
      </c>
      <c r="H36" s="87">
        <f t="shared" si="9"/>
        <v>0</v>
      </c>
      <c r="I36" s="88">
        <f t="shared" si="10"/>
        <v>0</v>
      </c>
      <c r="J36" s="515">
        <f t="shared" si="0"/>
        <v>0</v>
      </c>
    </row>
    <row r="37" spans="1:10">
      <c r="A37" s="465" t="s">
        <v>385</v>
      </c>
      <c r="B37" s="293">
        <f>電輔車!E37</f>
        <v>0</v>
      </c>
      <c r="C37" s="89">
        <v>0</v>
      </c>
      <c r="D37" s="514">
        <f t="shared" si="1"/>
        <v>0</v>
      </c>
      <c r="E37" s="293">
        <f>電輔車!G37</f>
        <v>0</v>
      </c>
      <c r="F37" s="90">
        <f>_xlfn.IFNA(VLOOKUP(A37,[3]電同!$C$3:$G$576,3,0),-[4]整車!$B$22)</f>
        <v>0</v>
      </c>
      <c r="G37" s="513">
        <f t="shared" si="2"/>
        <v>0</v>
      </c>
      <c r="H37" s="87">
        <f t="shared" si="9"/>
        <v>0</v>
      </c>
      <c r="I37" s="88">
        <f t="shared" si="10"/>
        <v>0</v>
      </c>
      <c r="J37" s="515">
        <f t="shared" si="0"/>
        <v>0</v>
      </c>
    </row>
    <row r="38" spans="1:10">
      <c r="A38" s="465" t="s">
        <v>271</v>
      </c>
      <c r="B38" s="293">
        <f>電輔車!E38</f>
        <v>0</v>
      </c>
      <c r="C38" s="89">
        <v>0</v>
      </c>
      <c r="D38" s="514">
        <f t="shared" si="1"/>
        <v>0</v>
      </c>
      <c r="E38" s="293">
        <f>電輔車!G38</f>
        <v>0</v>
      </c>
      <c r="F38" s="90">
        <f>_xlfn.IFNA(VLOOKUP(A38,[3]電同!$C$3:$G$576,3,0),-[4]整車!$B$22)</f>
        <v>0</v>
      </c>
      <c r="G38" s="513">
        <f t="shared" si="2"/>
        <v>0</v>
      </c>
      <c r="H38" s="87">
        <f t="shared" si="9"/>
        <v>0</v>
      </c>
      <c r="I38" s="88">
        <f t="shared" si="10"/>
        <v>0</v>
      </c>
      <c r="J38" s="515">
        <f t="shared" si="0"/>
        <v>0</v>
      </c>
    </row>
    <row r="39" spans="1:10">
      <c r="A39" s="465" t="s">
        <v>272</v>
      </c>
      <c r="B39" s="293">
        <f>電輔車!E39</f>
        <v>0</v>
      </c>
      <c r="C39" s="89">
        <v>0</v>
      </c>
      <c r="D39" s="514">
        <f t="shared" si="1"/>
        <v>0</v>
      </c>
      <c r="E39" s="293">
        <f>電輔車!G39</f>
        <v>0</v>
      </c>
      <c r="F39" s="90">
        <f>_xlfn.IFNA(VLOOKUP(A39,[3]電同!$C$3:$G$576,3,0),-[4]整車!$B$22)</f>
        <v>0</v>
      </c>
      <c r="G39" s="513">
        <f t="shared" si="2"/>
        <v>0</v>
      </c>
      <c r="H39" s="87">
        <f t="shared" si="9"/>
        <v>0</v>
      </c>
      <c r="I39" s="88">
        <f t="shared" si="10"/>
        <v>0</v>
      </c>
      <c r="J39" s="515">
        <f t="shared" si="0"/>
        <v>0</v>
      </c>
    </row>
    <row r="40" spans="1:10">
      <c r="A40" s="455" t="s">
        <v>273</v>
      </c>
      <c r="B40" s="293">
        <f>電輔車!E40</f>
        <v>0</v>
      </c>
      <c r="C40" s="89">
        <v>0</v>
      </c>
      <c r="D40" s="514">
        <f t="shared" si="1"/>
        <v>0</v>
      </c>
      <c r="E40" s="293">
        <f>電輔車!G40</f>
        <v>0</v>
      </c>
      <c r="F40" s="90">
        <f>_xlfn.IFNA(VLOOKUP(A40,[3]電同!$C$3:$G$576,3,0),-[4]整車!$B$22)</f>
        <v>0</v>
      </c>
      <c r="G40" s="513">
        <f t="shared" si="2"/>
        <v>0</v>
      </c>
      <c r="H40" s="87">
        <f t="shared" si="9"/>
        <v>0</v>
      </c>
      <c r="I40" s="88">
        <f t="shared" si="10"/>
        <v>0</v>
      </c>
      <c r="J40" s="515">
        <f t="shared" si="0"/>
        <v>0</v>
      </c>
    </row>
    <row r="41" spans="1:10">
      <c r="A41" s="291"/>
      <c r="B41" s="293"/>
      <c r="C41" s="502"/>
      <c r="D41" s="514"/>
      <c r="E41" s="293"/>
      <c r="F41" s="90"/>
      <c r="G41" s="513"/>
      <c r="H41" s="87"/>
      <c r="I41" s="88"/>
      <c r="J41" s="515"/>
    </row>
    <row r="42" spans="1:10">
      <c r="A42" s="297" t="s">
        <v>19</v>
      </c>
      <c r="B42" s="296">
        <f>SUM(B43:B46)</f>
        <v>545</v>
      </c>
      <c r="C42" s="503">
        <f>SUM(C43:C46)</f>
        <v>1172</v>
      </c>
      <c r="D42" s="514">
        <f t="shared" si="1"/>
        <v>-0.53498293515358364</v>
      </c>
      <c r="E42" s="296">
        <f>SUM(E43:E46)</f>
        <v>1060017</v>
      </c>
      <c r="F42" s="85">
        <f>SUM(F43:F46)</f>
        <v>2012855</v>
      </c>
      <c r="G42" s="513">
        <f t="shared" si="2"/>
        <v>-0.47337637336022714</v>
      </c>
      <c r="H42" s="87">
        <f t="shared" si="9"/>
        <v>1944.9853211009174</v>
      </c>
      <c r="I42" s="88">
        <f t="shared" si="10"/>
        <v>1717.453071672355</v>
      </c>
      <c r="J42" s="515">
        <f t="shared" si="0"/>
        <v>0.13248236774644728</v>
      </c>
    </row>
    <row r="43" spans="1:10">
      <c r="A43" s="291" t="s">
        <v>182</v>
      </c>
      <c r="B43" s="293">
        <f>電輔車!E43</f>
        <v>225</v>
      </c>
      <c r="C43" s="89">
        <f>VLOOKUP(A43,[9]進出口值表查詢結果!$A$10:$C$38,3,0)</f>
        <v>962</v>
      </c>
      <c r="D43" s="514">
        <f t="shared" si="1"/>
        <v>-0.76611226611226613</v>
      </c>
      <c r="E43" s="293">
        <f>電輔車!G43</f>
        <v>485862</v>
      </c>
      <c r="F43" s="90">
        <f>VLOOKUP(A43,[9]進出口值表查詢結果!$A$10:$C$38,2,0)</f>
        <v>1679661</v>
      </c>
      <c r="G43" s="513">
        <f t="shared" si="2"/>
        <v>-0.71073805964417824</v>
      </c>
      <c r="H43" s="87">
        <f t="shared" si="9"/>
        <v>2159.3866666666668</v>
      </c>
      <c r="I43" s="88">
        <f t="shared" si="10"/>
        <v>1746.0093555093556</v>
      </c>
      <c r="J43" s="515">
        <f t="shared" si="0"/>
        <v>0.23675549609911364</v>
      </c>
    </row>
    <row r="44" spans="1:10">
      <c r="A44" s="291" t="s">
        <v>275</v>
      </c>
      <c r="B44" s="293">
        <f>電輔車!E44</f>
        <v>320</v>
      </c>
      <c r="C44" s="89">
        <f>VLOOKUP(A44,[9]進出口值表查詢結果!$A$10:$C$38,3,0)</f>
        <v>210</v>
      </c>
      <c r="D44" s="514">
        <f t="shared" si="1"/>
        <v>0.52380952380952384</v>
      </c>
      <c r="E44" s="293">
        <f>電輔車!G44</f>
        <v>574155</v>
      </c>
      <c r="F44" s="90">
        <f>VLOOKUP(A44,[9]進出口值表查詢結果!$A$10:$C$38,2,0)</f>
        <v>333194</v>
      </c>
      <c r="G44" s="513">
        <f t="shared" si="2"/>
        <v>0.72318529145182686</v>
      </c>
      <c r="H44" s="87">
        <f t="shared" si="9"/>
        <v>1794.234375</v>
      </c>
      <c r="I44" s="88">
        <f t="shared" si="10"/>
        <v>1586.6380952380953</v>
      </c>
      <c r="J44" s="515">
        <f t="shared" si="0"/>
        <v>0.13084034751526136</v>
      </c>
    </row>
    <row r="45" spans="1:10">
      <c r="A45" s="291" t="s">
        <v>276</v>
      </c>
      <c r="B45" s="293">
        <f>電輔車!E45</f>
        <v>0</v>
      </c>
      <c r="C45" s="89">
        <v>0</v>
      </c>
      <c r="D45" s="514">
        <f t="shared" si="1"/>
        <v>0</v>
      </c>
      <c r="E45" s="293">
        <f>電輔車!G45</f>
        <v>0</v>
      </c>
      <c r="F45" s="90">
        <f>_xlfn.IFNA(VLOOKUP(A45,[3]電同!$C$3:$G$576,3,0),-[4]整車!$B$22)</f>
        <v>0</v>
      </c>
      <c r="G45" s="513">
        <f t="shared" si="2"/>
        <v>0</v>
      </c>
      <c r="H45" s="87">
        <f t="shared" si="9"/>
        <v>0</v>
      </c>
      <c r="I45" s="88">
        <f t="shared" si="10"/>
        <v>0</v>
      </c>
      <c r="J45" s="515">
        <f t="shared" si="0"/>
        <v>0</v>
      </c>
    </row>
    <row r="46" spans="1:10">
      <c r="A46" s="294" t="s">
        <v>20</v>
      </c>
      <c r="B46" s="293">
        <f>電輔車!E46</f>
        <v>0</v>
      </c>
      <c r="C46" s="89">
        <v>0</v>
      </c>
      <c r="D46" s="514">
        <f t="shared" si="1"/>
        <v>0</v>
      </c>
      <c r="E46" s="293">
        <f>電輔車!G46</f>
        <v>0</v>
      </c>
      <c r="F46" s="90">
        <f>_xlfn.IFNA(VLOOKUP(A46,[3]電同!$C$3:$G$576,3,0),-[4]整車!$B$22)</f>
        <v>0</v>
      </c>
      <c r="G46" s="513">
        <f t="shared" si="2"/>
        <v>0</v>
      </c>
      <c r="H46" s="87">
        <f t="shared" si="9"/>
        <v>0</v>
      </c>
      <c r="I46" s="88">
        <f t="shared" si="10"/>
        <v>0</v>
      </c>
      <c r="J46" s="515">
        <f t="shared" si="0"/>
        <v>0</v>
      </c>
    </row>
    <row r="47" spans="1:10">
      <c r="A47" s="294"/>
      <c r="B47" s="293"/>
      <c r="C47" s="502"/>
      <c r="D47" s="514"/>
      <c r="E47" s="293"/>
      <c r="F47" s="90"/>
      <c r="G47" s="513"/>
      <c r="H47" s="87"/>
      <c r="I47" s="88"/>
      <c r="J47" s="515"/>
    </row>
    <row r="48" spans="1:10">
      <c r="A48" s="297" t="s">
        <v>21</v>
      </c>
      <c r="B48" s="296">
        <f>SUM(B49:B62)</f>
        <v>2023</v>
      </c>
      <c r="C48" s="503">
        <f>SUM(C49:C62)</f>
        <v>2756</v>
      </c>
      <c r="D48" s="514">
        <f t="shared" si="1"/>
        <v>-0.26596516690856314</v>
      </c>
      <c r="E48" s="296">
        <f>SUM(E49:E62)</f>
        <v>4378869</v>
      </c>
      <c r="F48" s="91">
        <f>SUM(F49:F62)</f>
        <v>5498653</v>
      </c>
      <c r="G48" s="513">
        <f t="shared" si="2"/>
        <v>-0.20364696590237646</v>
      </c>
      <c r="H48" s="87">
        <f t="shared" si="9"/>
        <v>2164.5422639644094</v>
      </c>
      <c r="I48" s="88">
        <f t="shared" si="10"/>
        <v>1995.1571117561684</v>
      </c>
      <c r="J48" s="515">
        <f t="shared" si="0"/>
        <v>8.4898152235813387E-2</v>
      </c>
    </row>
    <row r="49" spans="1:10">
      <c r="A49" s="297" t="s">
        <v>161</v>
      </c>
      <c r="B49" s="293">
        <f>電輔車!E49</f>
        <v>663</v>
      </c>
      <c r="C49" s="89">
        <f>VLOOKUP(A49,[9]進出口值表查詢結果!$A$10:$C$38,3,0)</f>
        <v>1427</v>
      </c>
      <c r="D49" s="514">
        <f t="shared" si="1"/>
        <v>-0.53538892782060266</v>
      </c>
      <c r="E49" s="293">
        <f>電輔車!G49</f>
        <v>1437277</v>
      </c>
      <c r="F49" s="90">
        <f>VLOOKUP(A49,[9]進出口值表查詢結果!$A$10:$C$38,2,0)</f>
        <v>2851287</v>
      </c>
      <c r="G49" s="513">
        <f t="shared" si="2"/>
        <v>-0.49591991265698615</v>
      </c>
      <c r="H49" s="87">
        <f t="shared" si="9"/>
        <v>2167.8386123680243</v>
      </c>
      <c r="I49" s="88">
        <f>IF(C49,F49/C49,0)</f>
        <v>1998.0988086895586</v>
      </c>
      <c r="J49" s="515">
        <f t="shared" si="0"/>
        <v>8.4950655563319488E-2</v>
      </c>
    </row>
    <row r="50" spans="1:10">
      <c r="A50" s="454" t="s">
        <v>386</v>
      </c>
      <c r="B50" s="293">
        <f>電輔車!E50</f>
        <v>223</v>
      </c>
      <c r="C50" s="89">
        <f>VLOOKUP(A50,[9]進出口值表查詢結果!$A$10:$C$38,3,0)</f>
        <v>572</v>
      </c>
      <c r="D50" s="514">
        <f t="shared" si="1"/>
        <v>-0.6101398601398601</v>
      </c>
      <c r="E50" s="293">
        <f>電輔車!G50</f>
        <v>162055</v>
      </c>
      <c r="F50" s="90">
        <f>VLOOKUP(A50,[9]進出口值表查詢結果!$A$10:$C$38,2,0)</f>
        <v>645566</v>
      </c>
      <c r="G50" s="513">
        <f t="shared" si="2"/>
        <v>-0.74897221972656558</v>
      </c>
      <c r="H50" s="87">
        <f t="shared" si="9"/>
        <v>726.70403587443946</v>
      </c>
      <c r="I50" s="88">
        <f t="shared" si="10"/>
        <v>1128.6118881118882</v>
      </c>
      <c r="J50" s="515">
        <f t="shared" si="0"/>
        <v>-0.35610811517307395</v>
      </c>
    </row>
    <row r="51" spans="1:10">
      <c r="A51" s="291" t="s">
        <v>222</v>
      </c>
      <c r="B51" s="293">
        <f>電輔車!E51</f>
        <v>0</v>
      </c>
      <c r="C51" s="89">
        <f>VLOOKUP(A51,[9]進出口值表查詢結果!$A$10:$C$38,3,0)</f>
        <v>15</v>
      </c>
      <c r="D51" s="514">
        <f t="shared" si="1"/>
        <v>-1</v>
      </c>
      <c r="E51" s="293">
        <f>電輔車!G51</f>
        <v>0</v>
      </c>
      <c r="F51" s="90">
        <f>VLOOKUP(A51,[9]進出口值表查詢結果!$A$10:$C$38,2,0)</f>
        <v>22976</v>
      </c>
      <c r="G51" s="513">
        <f t="shared" si="2"/>
        <v>-1</v>
      </c>
      <c r="H51" s="87">
        <f t="shared" si="9"/>
        <v>0</v>
      </c>
      <c r="I51" s="88">
        <f t="shared" si="10"/>
        <v>1531.7333333333333</v>
      </c>
      <c r="J51" s="515">
        <f t="shared" si="0"/>
        <v>-1</v>
      </c>
    </row>
    <row r="52" spans="1:10">
      <c r="A52" s="454" t="s">
        <v>299</v>
      </c>
      <c r="B52" s="293">
        <f>電輔車!E52</f>
        <v>24</v>
      </c>
      <c r="C52" s="89">
        <v>0</v>
      </c>
      <c r="D52" s="514">
        <f t="shared" si="1"/>
        <v>0</v>
      </c>
      <c r="E52" s="293">
        <f>電輔車!G52</f>
        <v>70538</v>
      </c>
      <c r="F52" s="90">
        <v>0</v>
      </c>
      <c r="G52" s="513">
        <f t="shared" si="2"/>
        <v>0</v>
      </c>
      <c r="H52" s="87">
        <f t="shared" si="9"/>
        <v>2939.0833333333335</v>
      </c>
      <c r="I52" s="88">
        <f t="shared" si="10"/>
        <v>0</v>
      </c>
      <c r="J52" s="515">
        <f t="shared" si="0"/>
        <v>0</v>
      </c>
    </row>
    <row r="53" spans="1:10">
      <c r="A53" s="455" t="s">
        <v>22</v>
      </c>
      <c r="B53" s="293">
        <f>電輔車!E53</f>
        <v>40</v>
      </c>
      <c r="C53" s="89">
        <v>0</v>
      </c>
      <c r="D53" s="514">
        <f t="shared" si="1"/>
        <v>0</v>
      </c>
      <c r="E53" s="293">
        <f>電輔車!G53</f>
        <v>123381</v>
      </c>
      <c r="F53" s="90">
        <f>_xlfn.IFNA(VLOOKUP(A53,[3]電同!$C$3:$G$756,3,0),-[4]整車!$B$22)</f>
        <v>0</v>
      </c>
      <c r="G53" s="513">
        <f t="shared" si="2"/>
        <v>0</v>
      </c>
      <c r="H53" s="87">
        <f t="shared" si="9"/>
        <v>3084.5250000000001</v>
      </c>
      <c r="I53" s="88">
        <f t="shared" si="10"/>
        <v>0</v>
      </c>
      <c r="J53" s="515">
        <f t="shared" si="0"/>
        <v>0</v>
      </c>
    </row>
    <row r="54" spans="1:10">
      <c r="A54" s="454" t="s">
        <v>305</v>
      </c>
      <c r="B54" s="293">
        <f>電輔車!E54</f>
        <v>6</v>
      </c>
      <c r="C54" s="89">
        <v>0</v>
      </c>
      <c r="D54" s="514">
        <f t="shared" si="1"/>
        <v>0</v>
      </c>
      <c r="E54" s="293">
        <f>電輔車!G54</f>
        <v>18851</v>
      </c>
      <c r="F54" s="90">
        <v>0</v>
      </c>
      <c r="G54" s="513">
        <f t="shared" si="2"/>
        <v>0</v>
      </c>
      <c r="H54" s="87">
        <f t="shared" si="9"/>
        <v>3141.8333333333335</v>
      </c>
      <c r="I54" s="88">
        <f t="shared" si="10"/>
        <v>0</v>
      </c>
      <c r="J54" s="515">
        <f t="shared" si="0"/>
        <v>0</v>
      </c>
    </row>
    <row r="55" spans="1:10">
      <c r="A55" s="455" t="s">
        <v>388</v>
      </c>
      <c r="B55" s="293">
        <f>電輔車!E55</f>
        <v>679</v>
      </c>
      <c r="C55" s="89">
        <f>VLOOKUP(A55,[9]進出口值表查詢結果!$A$10:$C$38,3,0)</f>
        <v>207</v>
      </c>
      <c r="D55" s="514">
        <f t="shared" si="1"/>
        <v>2.2801932367149758</v>
      </c>
      <c r="E55" s="293">
        <f>電輔車!G55</f>
        <v>1561812</v>
      </c>
      <c r="F55" s="90">
        <f>VLOOKUP(A55,[9]進出口值表查詢結果!$A$10:$C$38,2,0)</f>
        <v>531138</v>
      </c>
      <c r="G55" s="513">
        <f t="shared" si="2"/>
        <v>1.9405013386351571</v>
      </c>
      <c r="H55" s="87">
        <f t="shared" si="9"/>
        <v>2300.1649484536083</v>
      </c>
      <c r="I55" s="88">
        <f t="shared" si="10"/>
        <v>2565.8840579710145</v>
      </c>
      <c r="J55" s="515">
        <f t="shared" si="0"/>
        <v>-0.10355850206557068</v>
      </c>
    </row>
    <row r="56" spans="1:10">
      <c r="A56" s="455" t="s">
        <v>23</v>
      </c>
      <c r="B56" s="293">
        <f>電輔車!E56</f>
        <v>10</v>
      </c>
      <c r="C56" s="89">
        <v>0</v>
      </c>
      <c r="D56" s="514">
        <f t="shared" si="1"/>
        <v>0</v>
      </c>
      <c r="E56" s="293">
        <f>電輔車!G56</f>
        <v>13287</v>
      </c>
      <c r="F56" s="90">
        <v>0</v>
      </c>
      <c r="G56" s="513">
        <f t="shared" si="2"/>
        <v>0</v>
      </c>
      <c r="H56" s="87">
        <f t="shared" si="9"/>
        <v>1328.7</v>
      </c>
      <c r="I56" s="88">
        <f t="shared" si="10"/>
        <v>0</v>
      </c>
      <c r="J56" s="515">
        <f t="shared" si="0"/>
        <v>0</v>
      </c>
    </row>
    <row r="57" spans="1:10">
      <c r="A57" s="455" t="s">
        <v>241</v>
      </c>
      <c r="B57" s="293">
        <f>電輔車!E57</f>
        <v>0</v>
      </c>
      <c r="C57" s="89">
        <v>0</v>
      </c>
      <c r="D57" s="514">
        <f t="shared" si="1"/>
        <v>0</v>
      </c>
      <c r="E57" s="293">
        <f>電輔車!G57</f>
        <v>0</v>
      </c>
      <c r="F57" s="90">
        <v>0</v>
      </c>
      <c r="G57" s="513">
        <f t="shared" si="2"/>
        <v>0</v>
      </c>
      <c r="H57" s="87">
        <f t="shared" si="9"/>
        <v>0</v>
      </c>
      <c r="I57" s="88">
        <f t="shared" si="10"/>
        <v>0</v>
      </c>
      <c r="J57" s="515">
        <f t="shared" si="0"/>
        <v>0</v>
      </c>
    </row>
    <row r="58" spans="1:10">
      <c r="A58" s="455" t="s">
        <v>234</v>
      </c>
      <c r="B58" s="293">
        <f>電輔車!E58</f>
        <v>0</v>
      </c>
      <c r="C58" s="89">
        <f>VLOOKUP(A58,[9]進出口值表查詢結果!$A$10:$C$38,3,0)</f>
        <v>274</v>
      </c>
      <c r="D58" s="514">
        <f t="shared" si="1"/>
        <v>-1</v>
      </c>
      <c r="E58" s="293">
        <f>電輔車!G58</f>
        <v>0</v>
      </c>
      <c r="F58" s="90">
        <f>VLOOKUP(A58,[9]進出口值表查詢結果!$A$10:$C$38,2,0)</f>
        <v>717384</v>
      </c>
      <c r="G58" s="513">
        <f t="shared" si="2"/>
        <v>-1</v>
      </c>
      <c r="H58" s="87">
        <f t="shared" si="9"/>
        <v>0</v>
      </c>
      <c r="I58" s="88">
        <f t="shared" si="10"/>
        <v>2618.1897810218979</v>
      </c>
      <c r="J58" s="515">
        <f t="shared" si="0"/>
        <v>-1</v>
      </c>
    </row>
    <row r="59" spans="1:10">
      <c r="A59" s="455" t="s">
        <v>279</v>
      </c>
      <c r="B59" s="293">
        <f>電輔車!E59</f>
        <v>0</v>
      </c>
      <c r="C59" s="89">
        <v>0</v>
      </c>
      <c r="D59" s="514">
        <f t="shared" si="1"/>
        <v>0</v>
      </c>
      <c r="E59" s="293">
        <f>電輔車!G59</f>
        <v>0</v>
      </c>
      <c r="F59" s="90">
        <v>0</v>
      </c>
      <c r="G59" s="513">
        <f t="shared" si="2"/>
        <v>0</v>
      </c>
      <c r="H59" s="87">
        <f t="shared" si="9"/>
        <v>0</v>
      </c>
      <c r="I59" s="88">
        <f t="shared" si="10"/>
        <v>0</v>
      </c>
      <c r="J59" s="515">
        <f t="shared" si="0"/>
        <v>0</v>
      </c>
    </row>
    <row r="60" spans="1:10">
      <c r="A60" s="455" t="s">
        <v>284</v>
      </c>
      <c r="B60" s="293">
        <f>電輔車!E60</f>
        <v>0</v>
      </c>
      <c r="C60" s="89">
        <v>0</v>
      </c>
      <c r="D60" s="514">
        <f t="shared" si="1"/>
        <v>0</v>
      </c>
      <c r="E60" s="293">
        <f>電輔車!G60</f>
        <v>0</v>
      </c>
      <c r="F60" s="90">
        <f>_xlfn.IFNA(VLOOKUP(A60,[3]電同!$C$3:$G$756,3,0),-[4]整車!$B$22)</f>
        <v>0</v>
      </c>
      <c r="G60" s="513">
        <f t="shared" si="2"/>
        <v>0</v>
      </c>
      <c r="H60" s="87">
        <f t="shared" si="9"/>
        <v>0</v>
      </c>
      <c r="I60" s="88">
        <f t="shared" si="10"/>
        <v>0</v>
      </c>
      <c r="J60" s="515">
        <f t="shared" si="0"/>
        <v>0</v>
      </c>
    </row>
    <row r="61" spans="1:10">
      <c r="A61" s="455" t="s">
        <v>290</v>
      </c>
      <c r="B61" s="293">
        <f>電輔車!E61</f>
        <v>202</v>
      </c>
      <c r="C61" s="89">
        <f>VLOOKUP(A61,[9]進出口值表查詢結果!$A$10:$C$38,3,0)</f>
        <v>259</v>
      </c>
      <c r="D61" s="514">
        <f t="shared" si="1"/>
        <v>-0.22007722007722008</v>
      </c>
      <c r="E61" s="293">
        <f>電輔車!G61</f>
        <v>464244</v>
      </c>
      <c r="F61" s="90">
        <f>VLOOKUP(A61,[9]進出口值表查詢結果!$A$10:$C$38,2,0)</f>
        <v>722911</v>
      </c>
      <c r="G61" s="513">
        <f t="shared" si="2"/>
        <v>-0.35781306412545943</v>
      </c>
      <c r="H61" s="87">
        <f t="shared" si="9"/>
        <v>2298.2376237623762</v>
      </c>
      <c r="I61" s="88">
        <f t="shared" si="10"/>
        <v>2791.1621621621621</v>
      </c>
      <c r="J61" s="515">
        <f t="shared" si="0"/>
        <v>-0.17660189905195045</v>
      </c>
    </row>
    <row r="62" spans="1:10">
      <c r="A62" s="455" t="s">
        <v>338</v>
      </c>
      <c r="B62" s="293">
        <f>電輔車!E62</f>
        <v>176</v>
      </c>
      <c r="C62" s="89">
        <f>VLOOKUP(A62,[9]進出口值表查詢結果!$A$10:$C$38,3,0)</f>
        <v>2</v>
      </c>
      <c r="D62" s="514">
        <f t="shared" si="1"/>
        <v>87</v>
      </c>
      <c r="E62" s="293">
        <f>電輔車!G62</f>
        <v>527424</v>
      </c>
      <c r="F62" s="90">
        <f>VLOOKUP(A62,[9]進出口值表查詢結果!$A$10:$C$38,2,0)</f>
        <v>7391</v>
      </c>
      <c r="G62" s="513">
        <f t="shared" si="2"/>
        <v>70.360303071302937</v>
      </c>
      <c r="H62" s="87">
        <f t="shared" si="9"/>
        <v>2996.7272727272725</v>
      </c>
      <c r="I62" s="88">
        <f t="shared" si="10"/>
        <v>3695.5</v>
      </c>
      <c r="J62" s="515">
        <f t="shared" si="0"/>
        <v>-0.18908746509883032</v>
      </c>
    </row>
    <row r="63" spans="1:10">
      <c r="A63" s="294" t="s">
        <v>29</v>
      </c>
      <c r="B63" s="293">
        <f>B64-B48-B42-B13-B8</f>
        <v>70</v>
      </c>
      <c r="C63" s="90">
        <f>C64-C48-C42-C13-C8</f>
        <v>547</v>
      </c>
      <c r="D63" s="514">
        <f t="shared" si="1"/>
        <v>-0.87202925045703839</v>
      </c>
      <c r="E63" s="293">
        <f>E64-E48-E42-E13-E8</f>
        <v>184798</v>
      </c>
      <c r="F63" s="90">
        <f>F64-F48-F42-F13-F8</f>
        <v>1297911</v>
      </c>
      <c r="G63" s="513">
        <f t="shared" si="2"/>
        <v>-0.85761889682728631</v>
      </c>
      <c r="H63" s="87">
        <f t="shared" si="9"/>
        <v>2639.9714285714285</v>
      </c>
      <c r="I63" s="88">
        <f t="shared" si="10"/>
        <v>2372.7806215722121</v>
      </c>
      <c r="J63" s="515">
        <f t="shared" si="0"/>
        <v>0.11260662050677694</v>
      </c>
    </row>
    <row r="64" spans="1:10">
      <c r="A64" s="295" t="s">
        <v>403</v>
      </c>
      <c r="B64" s="296">
        <f>電輔車!E64</f>
        <v>22972</v>
      </c>
      <c r="C64" s="89">
        <f>VLOOKUP(A64,[9]進出口值表查詢結果!$A$10:$C$38,3,0)</f>
        <v>31988</v>
      </c>
      <c r="D64" s="514">
        <f t="shared" si="1"/>
        <v>-0.28185569588595721</v>
      </c>
      <c r="E64" s="293">
        <f>電輔車!G64</f>
        <v>50191119</v>
      </c>
      <c r="F64" s="90">
        <f>VLOOKUP(A64,[9]進出口值表查詢結果!$A$10:$C$38,2,0)</f>
        <v>61322914</v>
      </c>
      <c r="G64" s="513">
        <f t="shared" si="2"/>
        <v>-0.18152749557856954</v>
      </c>
      <c r="H64" s="87">
        <f t="shared" ref="H64" si="11">E64/B64</f>
        <v>2184.882422079053</v>
      </c>
      <c r="I64" s="88">
        <f t="shared" ref="I64" si="12">F64/C64</f>
        <v>1917.0599599849943</v>
      </c>
      <c r="J64" s="515">
        <f t="shared" si="0"/>
        <v>0.13970479154765458</v>
      </c>
    </row>
    <row r="65" spans="1:7">
      <c r="A65" s="298"/>
      <c r="B65" s="299"/>
      <c r="C65" s="300"/>
      <c r="D65" s="301"/>
      <c r="E65" s="299"/>
      <c r="F65" s="300"/>
      <c r="G65" s="301"/>
    </row>
    <row r="66" spans="1:7" ht="13.5" customHeight="1">
      <c r="A66" s="302" t="s">
        <v>59</v>
      </c>
    </row>
  </sheetData>
  <phoneticPr fontId="3" type="noConversion"/>
  <conditionalFormatting sqref="D1:D5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D7:D1048576">
    <cfRule type="cellIs" dxfId="62" priority="43" operator="greaterThanOrEqual">
      <formula>0</formula>
    </cfRule>
    <cfRule type="cellIs" dxfId="61" priority="44" operator="lessThan">
      <formula>0</formula>
    </cfRule>
  </conditionalFormatting>
  <conditionalFormatting sqref="G1:G5">
    <cfRule type="cellIs" dxfId="60" priority="1" operator="greaterThanOrEqual">
      <formula>0</formula>
    </cfRule>
    <cfRule type="cellIs" dxfId="59" priority="2" operator="lessThan">
      <formula>0</formula>
    </cfRule>
  </conditionalFormatting>
  <conditionalFormatting sqref="G7:G1048576 J7:J1048576">
    <cfRule type="cellIs" dxfId="58" priority="5" operator="greaterThanOrEqual">
      <formula>0</formula>
    </cfRule>
    <cfRule type="cellIs" dxfId="57" priority="6" operator="lessThan">
      <formula>0</formula>
    </cfRule>
  </conditionalFormatting>
  <conditionalFormatting sqref="J1:J4">
    <cfRule type="cellIs" dxfId="56" priority="39" operator="greaterThanOrEqual">
      <formula>0</formula>
    </cfRule>
    <cfRule type="cellIs" dxfId="55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3" sqref="A3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0" customFormat="1" ht="19.5">
      <c r="A1" s="179"/>
      <c r="C1" s="181" t="s">
        <v>490</v>
      </c>
    </row>
    <row r="2" spans="1:9" ht="12.75" customHeight="1"/>
    <row r="3" spans="1:9" s="7" customFormat="1" ht="15.75">
      <c r="A3" s="112" t="s">
        <v>525</v>
      </c>
      <c r="B3" s="182"/>
      <c r="C3" s="63"/>
      <c r="D3" s="183"/>
      <c r="E3" s="63"/>
      <c r="F3" s="182"/>
      <c r="G3" s="182"/>
      <c r="H3" s="63"/>
      <c r="I3" s="183"/>
    </row>
    <row r="4" spans="1:9" s="13" customFormat="1">
      <c r="A4" s="8" t="s">
        <v>489</v>
      </c>
      <c r="B4" s="8" t="s">
        <v>421</v>
      </c>
      <c r="C4" s="8" t="s">
        <v>422</v>
      </c>
      <c r="D4" s="9" t="s">
        <v>0</v>
      </c>
      <c r="E4" s="10" t="s">
        <v>423</v>
      </c>
      <c r="F4" s="11" t="s">
        <v>1</v>
      </c>
      <c r="G4" s="8" t="s">
        <v>424</v>
      </c>
      <c r="H4" s="11" t="s">
        <v>1</v>
      </c>
      <c r="I4" s="184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116</v>
      </c>
      <c r="H5" s="8"/>
      <c r="I5" s="185" t="s">
        <v>3</v>
      </c>
    </row>
    <row r="6" spans="1:9" ht="18.600000000000001" customHeight="1">
      <c r="A6" s="172" t="s">
        <v>4</v>
      </c>
      <c r="B6" s="186"/>
      <c r="C6" s="17"/>
      <c r="D6" s="187"/>
      <c r="E6" s="17"/>
      <c r="F6" s="187"/>
      <c r="G6" s="187"/>
      <c r="H6" s="17"/>
      <c r="I6" s="188"/>
    </row>
    <row r="7" spans="1:9">
      <c r="A7" s="20" t="s">
        <v>5</v>
      </c>
      <c r="B7" s="189">
        <f>SUM(B8:B10)</f>
        <v>0</v>
      </c>
      <c r="C7" s="22">
        <f>SUM(C8:C10)</f>
        <v>0</v>
      </c>
      <c r="D7" s="190">
        <f>IF(B7,C7/B7,0)</f>
        <v>0</v>
      </c>
      <c r="E7" s="22">
        <f>SUM(E8:E10)</f>
        <v>0</v>
      </c>
      <c r="F7" s="191">
        <f>E7/$E$68</f>
        <v>0</v>
      </c>
      <c r="G7" s="192">
        <f>SUM(G8:G10)</f>
        <v>0</v>
      </c>
      <c r="H7" s="24">
        <f>G7/$G$68</f>
        <v>0</v>
      </c>
      <c r="I7" s="193">
        <f>IF(E7,G7/E7,0)</f>
        <v>0</v>
      </c>
    </row>
    <row r="8" spans="1:9">
      <c r="A8" s="26" t="s">
        <v>381</v>
      </c>
      <c r="B8" s="194">
        <f>_xlfn.IFNA(VLOOKUP(A8,[3]折!$C$3:$F$95,4,0),-[4]整車!$B$22)</f>
        <v>0</v>
      </c>
      <c r="C8" s="28">
        <f>_xlfn.IFNA(VLOOKUP(A8,[3]折!$C$3:$F$99,3,0),-[4]整車!$B$22)</f>
        <v>0</v>
      </c>
      <c r="D8" s="190">
        <f t="shared" ref="D8:D67" si="0">IF(B8,C8/B8,0)</f>
        <v>0</v>
      </c>
      <c r="E8" s="28">
        <f>_xlfn.IFNA(VLOOKUP(A8,[3]折同!$C$3:$H$352,6,0),-[4]整車!$B$22)</f>
        <v>0</v>
      </c>
      <c r="F8" s="191">
        <f>E8/$E$68</f>
        <v>0</v>
      </c>
      <c r="G8" s="194">
        <f>_xlfn.IFNA(VLOOKUP(A8,[3]折同!$C$3:$H$532,4,0),-[4]整車!$B$22)</f>
        <v>0</v>
      </c>
      <c r="H8" s="24">
        <f>G8/$G$68</f>
        <v>0</v>
      </c>
      <c r="I8" s="193">
        <f t="shared" ref="I8:I67" si="1">IF(E8,G8/E8,0)</f>
        <v>0</v>
      </c>
    </row>
    <row r="9" spans="1:9">
      <c r="A9" s="30" t="s">
        <v>6</v>
      </c>
      <c r="B9" s="194">
        <f>_xlfn.IFNA(VLOOKUP(A9,[3]折!$C$3:$F$95,4,0),-[4]整車!$B$22)</f>
        <v>0</v>
      </c>
      <c r="C9" s="28">
        <f>_xlfn.IFNA(VLOOKUP(A9,[3]折!$C$3:$F$99,3,0),-[4]整車!$B$22)</f>
        <v>0</v>
      </c>
      <c r="D9" s="190">
        <f t="shared" si="0"/>
        <v>0</v>
      </c>
      <c r="E9" s="28">
        <f>_xlfn.IFNA(VLOOKUP(A9,[3]折同!$C$3:$H$352,6,0),-[4]整車!$B$22)</f>
        <v>0</v>
      </c>
      <c r="F9" s="191">
        <f>E9/$E$68</f>
        <v>0</v>
      </c>
      <c r="G9" s="194">
        <f>_xlfn.IFNA(VLOOKUP(A9,[3]折同!$C$3:$H$532,4,0),-[4]整車!$B$22)</f>
        <v>0</v>
      </c>
      <c r="H9" s="24">
        <f>G9/$G$68</f>
        <v>0</v>
      </c>
      <c r="I9" s="193">
        <f t="shared" si="1"/>
        <v>0</v>
      </c>
    </row>
    <row r="10" spans="1:9">
      <c r="A10" s="30" t="s">
        <v>7</v>
      </c>
      <c r="B10" s="194">
        <f>_xlfn.IFNA(VLOOKUP(A10,[3]折!$C$3:$F$95,4,0),-[4]整車!$B$22)</f>
        <v>0</v>
      </c>
      <c r="C10" s="28">
        <f>_xlfn.IFNA(VLOOKUP(A10,[3]折!$C$3:$F$99,3,0),-[4]整車!$B$22)</f>
        <v>0</v>
      </c>
      <c r="D10" s="190">
        <f t="shared" si="0"/>
        <v>0</v>
      </c>
      <c r="E10" s="28">
        <f>_xlfn.IFNA(VLOOKUP(A10,[3]折同!$C$3:$H$352,6,0),-[4]整車!$B$22)</f>
        <v>0</v>
      </c>
      <c r="F10" s="191">
        <f>E10/$E$68</f>
        <v>0</v>
      </c>
      <c r="G10" s="194">
        <f>_xlfn.IFNA(VLOOKUP(A10,[3]折同!$C$3:$H$532,4,0),-[4]整車!$B$22)</f>
        <v>0</v>
      </c>
      <c r="H10" s="24">
        <f>G10/$G$68</f>
        <v>0</v>
      </c>
      <c r="I10" s="193">
        <f t="shared" si="1"/>
        <v>0</v>
      </c>
    </row>
    <row r="11" spans="1:9">
      <c r="A11" s="31"/>
      <c r="B11" s="194"/>
      <c r="C11" s="28"/>
      <c r="D11" s="190"/>
      <c r="E11" s="27"/>
      <c r="F11" s="195"/>
      <c r="G11" s="194"/>
      <c r="H11" s="29"/>
      <c r="I11" s="193"/>
    </row>
    <row r="12" spans="1:9">
      <c r="A12" s="32" t="s">
        <v>8</v>
      </c>
      <c r="B12" s="196">
        <f>SUM(B13:B39)</f>
        <v>0</v>
      </c>
      <c r="C12" s="33">
        <f>SUM(C13:C39)</f>
        <v>0</v>
      </c>
      <c r="D12" s="190">
        <f t="shared" si="0"/>
        <v>0</v>
      </c>
      <c r="E12" s="33">
        <f>SUM(E13:E39)</f>
        <v>0</v>
      </c>
      <c r="F12" s="191">
        <f t="shared" ref="F12:F13" si="2">E12/$E$68</f>
        <v>0</v>
      </c>
      <c r="G12" s="196">
        <f>SUM(G13:G39)</f>
        <v>0</v>
      </c>
      <c r="H12" s="24">
        <f>G12/$G$68</f>
        <v>0</v>
      </c>
      <c r="I12" s="193">
        <f t="shared" si="1"/>
        <v>0</v>
      </c>
    </row>
    <row r="13" spans="1:9">
      <c r="A13" s="454" t="s">
        <v>200</v>
      </c>
      <c r="B13" s="194">
        <f>_xlfn.IFNA(VLOOKUP(A13,[3]折!$C$3:$F$99,4,0),-[4]整車!$B$22)</f>
        <v>0</v>
      </c>
      <c r="C13" s="27">
        <f>_xlfn.IFNA(VLOOKUP(A13,[3]折!$C$3:$F$99,3,0),-[4]整車!$B$22)</f>
        <v>0</v>
      </c>
      <c r="D13" s="190">
        <f t="shared" si="0"/>
        <v>0</v>
      </c>
      <c r="E13" s="27">
        <f>_xlfn.IFNA(VLOOKUP(A13,[3]折同!$C$3:$H$362,6,0),-[4]整車!$B$22)</f>
        <v>0</v>
      </c>
      <c r="F13" s="191">
        <f t="shared" si="2"/>
        <v>0</v>
      </c>
      <c r="G13" s="194">
        <f>_xlfn.IFNA(VLOOKUP(A13,[3]折同!$C$3:$H$312,4,0),-[4]整車!$B$22)</f>
        <v>0</v>
      </c>
      <c r="H13" s="24">
        <f>G13/$G$68</f>
        <v>0</v>
      </c>
      <c r="I13" s="193">
        <f t="shared" si="1"/>
        <v>0</v>
      </c>
    </row>
    <row r="14" spans="1:9">
      <c r="A14" s="454" t="s">
        <v>201</v>
      </c>
      <c r="B14" s="194">
        <f>_xlfn.IFNA(VLOOKUP(A14,[3]折!$C$3:$F$99,4,0),-[4]整車!$B$22)</f>
        <v>0</v>
      </c>
      <c r="C14" s="27">
        <f>_xlfn.IFNA(VLOOKUP(A14,[3]折!$C$3:$F$99,3,0),-[4]整車!$B$22)</f>
        <v>0</v>
      </c>
      <c r="D14" s="190">
        <f t="shared" ref="D14:D39" si="3">IF(B14,C14/B14,0)</f>
        <v>0</v>
      </c>
      <c r="E14" s="27">
        <f>_xlfn.IFNA(VLOOKUP(A14,[3]折同!$C$3:$H$362,6,0),-[4]整車!$B$22)</f>
        <v>0</v>
      </c>
      <c r="F14" s="191">
        <f t="shared" ref="F14:F39" si="4">E14/$E$68</f>
        <v>0</v>
      </c>
      <c r="G14" s="194">
        <f>_xlfn.IFNA(VLOOKUP(A14,[3]折同!$C$3:$H$312,4,0),-[4]整車!$B$22)</f>
        <v>0</v>
      </c>
      <c r="H14" s="24">
        <f t="shared" ref="H14:H39" si="5">G14/$G$68</f>
        <v>0</v>
      </c>
      <c r="I14" s="193">
        <f t="shared" ref="I14:I39" si="6">IF(E14,G14/E14,0)</f>
        <v>0</v>
      </c>
    </row>
    <row r="15" spans="1:9">
      <c r="A15" s="455" t="s">
        <v>9</v>
      </c>
      <c r="B15" s="194"/>
      <c r="C15" s="27"/>
      <c r="D15" s="190">
        <f t="shared" si="3"/>
        <v>0</v>
      </c>
      <c r="E15" s="27"/>
      <c r="F15" s="191">
        <f t="shared" si="4"/>
        <v>0</v>
      </c>
      <c r="G15" s="194"/>
      <c r="H15" s="24">
        <f t="shared" si="5"/>
        <v>0</v>
      </c>
      <c r="I15" s="193">
        <f t="shared" si="6"/>
        <v>0</v>
      </c>
    </row>
    <row r="16" spans="1:9">
      <c r="A16" s="454" t="s">
        <v>202</v>
      </c>
      <c r="B16" s="194">
        <f>_xlfn.IFNA(VLOOKUP(A16,[3]折!$C$3:$F$99,4,0),-[4]整車!$B$22)</f>
        <v>0</v>
      </c>
      <c r="C16" s="27">
        <f>_xlfn.IFNA(VLOOKUP(A16,[3]折!$C$3:$F$99,3,0),-[4]整車!$B$22)</f>
        <v>0</v>
      </c>
      <c r="D16" s="190">
        <f t="shared" si="3"/>
        <v>0</v>
      </c>
      <c r="E16" s="27">
        <f>_xlfn.IFNA(VLOOKUP(A16,[3]折同!$C$3:$H$362,6,0),-[4]整車!$B$22)</f>
        <v>0</v>
      </c>
      <c r="F16" s="191">
        <f t="shared" si="4"/>
        <v>0</v>
      </c>
      <c r="G16" s="194">
        <f>_xlfn.IFNA(VLOOKUP(A16,[3]折同!$C$3:$H$312,4,0),-[4]整車!$B$22)</f>
        <v>0</v>
      </c>
      <c r="H16" s="24">
        <f t="shared" si="5"/>
        <v>0</v>
      </c>
      <c r="I16" s="193">
        <f t="shared" si="6"/>
        <v>0</v>
      </c>
    </row>
    <row r="17" spans="1:9">
      <c r="A17" s="455" t="s">
        <v>10</v>
      </c>
      <c r="B17" s="194">
        <f>_xlfn.IFNA(VLOOKUP(A17,[3]折!$C$3:$F$99,4,0),-[4]整車!$B$22)</f>
        <v>0</v>
      </c>
      <c r="C17" s="27">
        <f>_xlfn.IFNA(VLOOKUP(A17,[3]折!$C$3:$F$99,3,0),-[4]整車!$B$22)</f>
        <v>0</v>
      </c>
      <c r="D17" s="190">
        <f t="shared" si="3"/>
        <v>0</v>
      </c>
      <c r="E17" s="27">
        <f>_xlfn.IFNA(VLOOKUP(A17,[3]折同!$C$3:$H$362,6,0),-[4]整車!$B$22)</f>
        <v>0</v>
      </c>
      <c r="F17" s="191">
        <f t="shared" si="4"/>
        <v>0</v>
      </c>
      <c r="G17" s="194">
        <f>_xlfn.IFNA(VLOOKUP(A17,[3]折同!$C$3:$H$312,4,0),-[4]整車!$B$22)</f>
        <v>0</v>
      </c>
      <c r="H17" s="24">
        <f t="shared" si="5"/>
        <v>0</v>
      </c>
      <c r="I17" s="193">
        <f t="shared" si="6"/>
        <v>0</v>
      </c>
    </row>
    <row r="18" spans="1:9">
      <c r="A18" s="455" t="s">
        <v>11</v>
      </c>
      <c r="B18" s="194">
        <f>_xlfn.IFNA(VLOOKUP(A18,[3]折!$C$3:$F$99,4,0),-[4]整車!$B$22)</f>
        <v>0</v>
      </c>
      <c r="C18" s="27">
        <f>_xlfn.IFNA(VLOOKUP(A18,[3]折!$C$3:$F$99,3,0),-[4]整車!$B$22)</f>
        <v>0</v>
      </c>
      <c r="D18" s="190">
        <f t="shared" si="3"/>
        <v>0</v>
      </c>
      <c r="E18" s="27">
        <f>_xlfn.IFNA(VLOOKUP(A18,[3]折同!$C$3:$H$362,6,0),-[4]整車!$B$22)</f>
        <v>0</v>
      </c>
      <c r="F18" s="191">
        <f t="shared" si="4"/>
        <v>0</v>
      </c>
      <c r="G18" s="194">
        <f>_xlfn.IFNA(VLOOKUP(A18,[3]折同!$C$3:$H$312,4,0),-[4]整車!$B$22)</f>
        <v>0</v>
      </c>
      <c r="H18" s="24">
        <f t="shared" si="5"/>
        <v>0</v>
      </c>
      <c r="I18" s="193">
        <f t="shared" si="6"/>
        <v>0</v>
      </c>
    </row>
    <row r="19" spans="1:9">
      <c r="A19" s="454" t="s">
        <v>203</v>
      </c>
      <c r="B19" s="194">
        <f>_xlfn.IFNA(VLOOKUP(A19,[3]折!$C$3:$F$99,4,0),-[4]整車!$B$22)</f>
        <v>0</v>
      </c>
      <c r="C19" s="27">
        <f>_xlfn.IFNA(VLOOKUP(A19,[3]折!$C$3:$F$99,3,0),-[4]整車!$B$22)</f>
        <v>0</v>
      </c>
      <c r="D19" s="190">
        <f t="shared" si="3"/>
        <v>0</v>
      </c>
      <c r="E19" s="27">
        <f>_xlfn.IFNA(VLOOKUP(A19,[3]折同!$C$3:$H$362,6,0),-[4]整車!$B$22)</f>
        <v>0</v>
      </c>
      <c r="F19" s="191">
        <f t="shared" si="4"/>
        <v>0</v>
      </c>
      <c r="G19" s="194">
        <f>_xlfn.IFNA(VLOOKUP(A19,[3]折同!$C$3:$H$312,4,0),-[4]整車!$B$22)</f>
        <v>0</v>
      </c>
      <c r="H19" s="24">
        <f t="shared" si="5"/>
        <v>0</v>
      </c>
      <c r="I19" s="193">
        <f t="shared" si="6"/>
        <v>0</v>
      </c>
    </row>
    <row r="20" spans="1:9">
      <c r="A20" s="455" t="s">
        <v>12</v>
      </c>
      <c r="B20" s="194">
        <f>_xlfn.IFNA(VLOOKUP(A20,[3]折!$C$3:$F$99,4,0),-[4]整車!$B$22)</f>
        <v>0</v>
      </c>
      <c r="C20" s="27">
        <f>_xlfn.IFNA(VLOOKUP(A20,[3]折!$C$3:$F$99,3,0),-[4]整車!$B$22)</f>
        <v>0</v>
      </c>
      <c r="D20" s="190">
        <f t="shared" si="3"/>
        <v>0</v>
      </c>
      <c r="E20" s="27">
        <f>_xlfn.IFNA(VLOOKUP(A20,[3]折同!$C$3:$H$362,6,0),-[4]整車!$B$22)</f>
        <v>0</v>
      </c>
      <c r="F20" s="191">
        <f t="shared" si="4"/>
        <v>0</v>
      </c>
      <c r="G20" s="194">
        <f>_xlfn.IFNA(VLOOKUP(A20,[3]折同!$C$3:$H$312,4,0),-[4]整車!$B$22)</f>
        <v>0</v>
      </c>
      <c r="H20" s="24">
        <f t="shared" si="5"/>
        <v>0</v>
      </c>
      <c r="I20" s="193">
        <f t="shared" si="6"/>
        <v>0</v>
      </c>
    </row>
    <row r="21" spans="1:9">
      <c r="A21" s="454" t="s">
        <v>205</v>
      </c>
      <c r="B21" s="194">
        <f>_xlfn.IFNA(VLOOKUP(A21,[3]折!$C$3:$F$99,4,0),-[4]整車!$B$22)</f>
        <v>0</v>
      </c>
      <c r="C21" s="27">
        <f>_xlfn.IFNA(VLOOKUP(A21,[3]折!$C$3:$F$99,3,0),-[4]整車!$B$22)</f>
        <v>0</v>
      </c>
      <c r="D21" s="190">
        <f t="shared" si="3"/>
        <v>0</v>
      </c>
      <c r="E21" s="27">
        <f>_xlfn.IFNA(VLOOKUP(A21,[3]折同!$C$3:$H$362,6,0),-[4]整車!$B$22)</f>
        <v>0</v>
      </c>
      <c r="F21" s="191">
        <f t="shared" si="4"/>
        <v>0</v>
      </c>
      <c r="G21" s="194">
        <f>_xlfn.IFNA(VLOOKUP(A21,[3]折同!$C$3:$H$312,4,0),-[4]整車!$B$22)</f>
        <v>0</v>
      </c>
      <c r="H21" s="24">
        <f t="shared" si="5"/>
        <v>0</v>
      </c>
      <c r="I21" s="193">
        <f t="shared" si="6"/>
        <v>0</v>
      </c>
    </row>
    <row r="22" spans="1:9">
      <c r="A22" s="455" t="s">
        <v>13</v>
      </c>
      <c r="B22" s="194">
        <f>_xlfn.IFNA(VLOOKUP(A22,[3]折!$C$3:$F$99,4,0),-[4]整車!$B$22)</f>
        <v>0</v>
      </c>
      <c r="C22" s="27">
        <f>_xlfn.IFNA(VLOOKUP(A22,[3]折!$C$3:$F$99,3,0),-[4]整車!$B$22)</f>
        <v>0</v>
      </c>
      <c r="D22" s="190">
        <f t="shared" si="3"/>
        <v>0</v>
      </c>
      <c r="E22" s="27">
        <f>_xlfn.IFNA(VLOOKUP(A22,[3]折同!$C$3:$H$362,6,0),-[4]整車!$B$22)</f>
        <v>0</v>
      </c>
      <c r="F22" s="191">
        <f t="shared" si="4"/>
        <v>0</v>
      </c>
      <c r="G22" s="194">
        <f>_xlfn.IFNA(VLOOKUP(A22,[3]折同!$C$3:$H$312,4,0),-[4]整車!$B$22)</f>
        <v>0</v>
      </c>
      <c r="H22" s="24">
        <f t="shared" si="5"/>
        <v>0</v>
      </c>
      <c r="I22" s="193">
        <f t="shared" si="6"/>
        <v>0</v>
      </c>
    </row>
    <row r="23" spans="1:9">
      <c r="A23" s="455" t="s">
        <v>14</v>
      </c>
      <c r="B23" s="194">
        <f>_xlfn.IFNA(VLOOKUP(A23,[3]折!$C$3:$F$99,4,0),-[4]整車!$B$22)</f>
        <v>0</v>
      </c>
      <c r="C23" s="27">
        <f>_xlfn.IFNA(VLOOKUP(A23,[3]折!$C$3:$F$99,3,0),-[4]整車!$B$22)</f>
        <v>0</v>
      </c>
      <c r="D23" s="190">
        <f t="shared" si="3"/>
        <v>0</v>
      </c>
      <c r="E23" s="27">
        <f>_xlfn.IFNA(VLOOKUP(A23,[3]折同!$C$3:$H$362,6,0),-[4]整車!$B$22)</f>
        <v>0</v>
      </c>
      <c r="F23" s="191">
        <f t="shared" si="4"/>
        <v>0</v>
      </c>
      <c r="G23" s="194">
        <f>_xlfn.IFNA(VLOOKUP(A23,[3]折同!$C$3:$H$312,4,0),-[4]整車!$B$22)</f>
        <v>0</v>
      </c>
      <c r="H23" s="24">
        <f t="shared" si="5"/>
        <v>0</v>
      </c>
      <c r="I23" s="193">
        <f t="shared" si="6"/>
        <v>0</v>
      </c>
    </row>
    <row r="24" spans="1:9">
      <c r="A24" s="455" t="s">
        <v>15</v>
      </c>
      <c r="B24" s="194">
        <f>_xlfn.IFNA(VLOOKUP(A24,[3]折!$C$3:$F$99,4,0),-[4]整車!$B$22)</f>
        <v>0</v>
      </c>
      <c r="C24" s="27">
        <f>_xlfn.IFNA(VLOOKUP(A24,[3]折!$C$3:$F$99,3,0),-[4]整車!$B$22)</f>
        <v>0</v>
      </c>
      <c r="D24" s="190">
        <f t="shared" si="3"/>
        <v>0</v>
      </c>
      <c r="E24" s="27">
        <f>_xlfn.IFNA(VLOOKUP(A24,[3]折同!$C$3:$H$362,6,0),-[4]整車!$B$22)</f>
        <v>0</v>
      </c>
      <c r="F24" s="191">
        <f t="shared" si="4"/>
        <v>0</v>
      </c>
      <c r="G24" s="194">
        <f>_xlfn.IFNA(VLOOKUP(A24,[3]折同!$C$3:$H$312,4,0),-[4]整車!$B$22)</f>
        <v>0</v>
      </c>
      <c r="H24" s="24">
        <f t="shared" si="5"/>
        <v>0</v>
      </c>
      <c r="I24" s="193">
        <f t="shared" si="6"/>
        <v>0</v>
      </c>
    </row>
    <row r="25" spans="1:9">
      <c r="A25" s="454" t="s">
        <v>206</v>
      </c>
      <c r="B25" s="194">
        <f>_xlfn.IFNA(VLOOKUP(A25,[3]折!$C$3:$F$99,4,0),-[4]整車!$B$22)</f>
        <v>0</v>
      </c>
      <c r="C25" s="27">
        <f>_xlfn.IFNA(VLOOKUP(A25,[3]折!$C$3:$F$99,3,0),-[4]整車!$B$22)</f>
        <v>0</v>
      </c>
      <c r="D25" s="190">
        <f t="shared" si="3"/>
        <v>0</v>
      </c>
      <c r="E25" s="27">
        <f>_xlfn.IFNA(VLOOKUP(A25,[3]折同!$C$3:$H$362,6,0),-[4]整車!$B$22)</f>
        <v>0</v>
      </c>
      <c r="F25" s="191">
        <f t="shared" si="4"/>
        <v>0</v>
      </c>
      <c r="G25" s="194">
        <f>_xlfn.IFNA(VLOOKUP(A25,[3]折同!$C$3:$H$312,4,0),-[4]整車!$B$22)</f>
        <v>0</v>
      </c>
      <c r="H25" s="24">
        <f t="shared" si="5"/>
        <v>0</v>
      </c>
      <c r="I25" s="193">
        <f t="shared" si="6"/>
        <v>0</v>
      </c>
    </row>
    <row r="26" spans="1:9">
      <c r="A26" s="454" t="s">
        <v>207</v>
      </c>
      <c r="B26" s="194">
        <f>_xlfn.IFNA(VLOOKUP(A26,[3]折!$C$3:$F$99,4,0),-[4]整車!$B$22)</f>
        <v>0</v>
      </c>
      <c r="C26" s="27">
        <f>_xlfn.IFNA(VLOOKUP(A26,[3]折!$C$3:$F$99,3,0),-[4]整車!$B$22)</f>
        <v>0</v>
      </c>
      <c r="D26" s="190">
        <f t="shared" si="3"/>
        <v>0</v>
      </c>
      <c r="E26" s="27">
        <f>_xlfn.IFNA(VLOOKUP(A26,[3]折同!$C$3:$H$362,6,0),-[4]整車!$B$22)</f>
        <v>0</v>
      </c>
      <c r="F26" s="191">
        <f t="shared" si="4"/>
        <v>0</v>
      </c>
      <c r="G26" s="194">
        <f>_xlfn.IFNA(VLOOKUP(A26,[3]折同!$C$3:$H$312,4,0),-[4]整車!$B$22)</f>
        <v>0</v>
      </c>
      <c r="H26" s="24">
        <f t="shared" si="5"/>
        <v>0</v>
      </c>
      <c r="I26" s="193">
        <f t="shared" si="6"/>
        <v>0</v>
      </c>
    </row>
    <row r="27" spans="1:9">
      <c r="A27" s="294" t="s">
        <v>208</v>
      </c>
      <c r="B27" s="194">
        <f>_xlfn.IFNA(VLOOKUP(A27,[3]折!$C$3:$F$99,4,0),-[4]整車!$B$22)</f>
        <v>0</v>
      </c>
      <c r="C27" s="27">
        <f>_xlfn.IFNA(VLOOKUP(A27,[3]折!$C$3:$F$99,3,0),-[4]整車!$B$22)</f>
        <v>0</v>
      </c>
      <c r="D27" s="190">
        <f t="shared" si="3"/>
        <v>0</v>
      </c>
      <c r="E27" s="27">
        <f>_xlfn.IFNA(VLOOKUP(A27,[3]折同!$C$3:$H$362,6,0),-[4]整車!$B$22)</f>
        <v>0</v>
      </c>
      <c r="F27" s="191">
        <f t="shared" si="4"/>
        <v>0</v>
      </c>
      <c r="G27" s="194">
        <f>_xlfn.IFNA(VLOOKUP(A27,[3]折同!$C$3:$H$312,4,0),-[4]整車!$B$22)</f>
        <v>0</v>
      </c>
      <c r="H27" s="24">
        <f t="shared" si="5"/>
        <v>0</v>
      </c>
      <c r="I27" s="193">
        <f t="shared" si="6"/>
        <v>0</v>
      </c>
    </row>
    <row r="28" spans="1:9">
      <c r="A28" s="294" t="s">
        <v>209</v>
      </c>
      <c r="B28" s="194">
        <f>_xlfn.IFNA(VLOOKUP(A28,[3]折!$C$3:$F$99,4,0),-[4]整車!$B$22)</f>
        <v>0</v>
      </c>
      <c r="C28" s="27">
        <f>_xlfn.IFNA(VLOOKUP(A28,[3]折!$C$3:$F$99,3,0),-[4]整車!$B$22)</f>
        <v>0</v>
      </c>
      <c r="D28" s="190">
        <f t="shared" si="3"/>
        <v>0</v>
      </c>
      <c r="E28" s="27">
        <f>_xlfn.IFNA(VLOOKUP(A28,[3]折同!$C$3:$H$362,6,0),-[4]整車!$B$22)</f>
        <v>0</v>
      </c>
      <c r="F28" s="191">
        <f t="shared" si="4"/>
        <v>0</v>
      </c>
      <c r="G28" s="194">
        <f>_xlfn.IFNA(VLOOKUP(A28,[3]折同!$C$3:$H$312,4,0),-[4]整車!$B$22)</f>
        <v>0</v>
      </c>
      <c r="H28" s="24">
        <f t="shared" si="5"/>
        <v>0</v>
      </c>
      <c r="I28" s="193">
        <f t="shared" si="6"/>
        <v>0</v>
      </c>
    </row>
    <row r="29" spans="1:9">
      <c r="A29" s="455" t="s">
        <v>210</v>
      </c>
      <c r="B29" s="194">
        <f>_xlfn.IFNA(VLOOKUP(A29,[3]折!$C$3:$F$99,4,0),-[4]整車!$B$22)</f>
        <v>0</v>
      </c>
      <c r="C29" s="27">
        <f>_xlfn.IFNA(VLOOKUP(A29,[3]折!$C$3:$F$99,3,0),-[4]整車!$B$22)</f>
        <v>0</v>
      </c>
      <c r="D29" s="190">
        <f t="shared" si="3"/>
        <v>0</v>
      </c>
      <c r="E29" s="27">
        <f>_xlfn.IFNA(VLOOKUP(A29,[3]折同!$C$3:$H$362,6,0),-[4]整車!$B$22)</f>
        <v>0</v>
      </c>
      <c r="F29" s="191">
        <f t="shared" si="4"/>
        <v>0</v>
      </c>
      <c r="G29" s="194">
        <f>_xlfn.IFNA(VLOOKUP(A29,[3]折同!$C$3:$H$312,4,0),-[4]整車!$B$22)</f>
        <v>0</v>
      </c>
      <c r="H29" s="24">
        <f t="shared" si="5"/>
        <v>0</v>
      </c>
      <c r="I29" s="193">
        <f t="shared" si="6"/>
        <v>0</v>
      </c>
    </row>
    <row r="30" spans="1:9">
      <c r="A30" s="455" t="s">
        <v>211</v>
      </c>
      <c r="B30" s="194">
        <f>_xlfn.IFNA(VLOOKUP(A30,[3]折!$C$3:$F$99,4,0),-[4]整車!$B$22)</f>
        <v>0</v>
      </c>
      <c r="C30" s="27">
        <f>_xlfn.IFNA(VLOOKUP(A30,[3]折!$C$3:$F$99,3,0),-[4]整車!$B$22)</f>
        <v>0</v>
      </c>
      <c r="D30" s="190">
        <f t="shared" si="3"/>
        <v>0</v>
      </c>
      <c r="E30" s="27">
        <f>_xlfn.IFNA(VLOOKUP(A30,[3]折同!$C$3:$H$362,6,0),-[4]整車!$B$22)</f>
        <v>0</v>
      </c>
      <c r="F30" s="191">
        <f t="shared" si="4"/>
        <v>0</v>
      </c>
      <c r="G30" s="194">
        <f>_xlfn.IFNA(VLOOKUP(A30,[3]折同!$C$3:$H$312,4,0),-[4]整車!$B$22)</f>
        <v>0</v>
      </c>
      <c r="H30" s="24">
        <f t="shared" si="5"/>
        <v>0</v>
      </c>
      <c r="I30" s="193">
        <f t="shared" si="6"/>
        <v>0</v>
      </c>
    </row>
    <row r="31" spans="1:9">
      <c r="A31" s="455" t="s">
        <v>16</v>
      </c>
      <c r="B31" s="194">
        <f>_xlfn.IFNA(VLOOKUP(A31,[3]折!$C$3:$F$99,4,0),-[4]整車!$B$22)</f>
        <v>0</v>
      </c>
      <c r="C31" s="27">
        <f>_xlfn.IFNA(VLOOKUP(A31,[3]折!$C$3:$F$99,3,0),-[4]整車!$B$22)</f>
        <v>0</v>
      </c>
      <c r="D31" s="190">
        <f t="shared" si="3"/>
        <v>0</v>
      </c>
      <c r="E31" s="27">
        <f>_xlfn.IFNA(VLOOKUP(A31,[3]折同!$C$3:$H$362,6,0),-[4]整車!$B$22)</f>
        <v>0</v>
      </c>
      <c r="F31" s="191">
        <f t="shared" si="4"/>
        <v>0</v>
      </c>
      <c r="G31" s="194">
        <f>_xlfn.IFNA(VLOOKUP(A31,[3]折同!$C$3:$H$312,4,0),-[4]整車!$B$22)</f>
        <v>0</v>
      </c>
      <c r="H31" s="24">
        <f t="shared" si="5"/>
        <v>0</v>
      </c>
      <c r="I31" s="193">
        <f t="shared" si="6"/>
        <v>0</v>
      </c>
    </row>
    <row r="32" spans="1:9">
      <c r="A32" s="455" t="s">
        <v>17</v>
      </c>
      <c r="B32" s="194">
        <f>_xlfn.IFNA(VLOOKUP(A32,[3]折!$C$3:$F$99,4,0),-[4]整車!$B$22)</f>
        <v>0</v>
      </c>
      <c r="C32" s="27">
        <f>_xlfn.IFNA(VLOOKUP(A32,[3]折!$C$3:$F$99,3,0),-[4]整車!$B$22)</f>
        <v>0</v>
      </c>
      <c r="D32" s="190">
        <f t="shared" si="3"/>
        <v>0</v>
      </c>
      <c r="E32" s="27">
        <f>_xlfn.IFNA(VLOOKUP(A32,[3]折同!$C$3:$H$362,6,0),-[4]整車!$B$22)</f>
        <v>0</v>
      </c>
      <c r="F32" s="191">
        <f t="shared" si="4"/>
        <v>0</v>
      </c>
      <c r="G32" s="194">
        <f>_xlfn.IFNA(VLOOKUP(A32,[3]折同!$C$3:$H$312,4,0),-[4]整車!$B$22)</f>
        <v>0</v>
      </c>
      <c r="H32" s="24">
        <f t="shared" si="5"/>
        <v>0</v>
      </c>
      <c r="I32" s="193">
        <f t="shared" si="6"/>
        <v>0</v>
      </c>
    </row>
    <row r="33" spans="1:9">
      <c r="A33" s="455" t="s">
        <v>212</v>
      </c>
      <c r="B33" s="194">
        <f>_xlfn.IFNA(VLOOKUP(A33,[3]折!$C$3:$F$99,4,0),-[4]整車!$B$22)</f>
        <v>0</v>
      </c>
      <c r="C33" s="27">
        <f>_xlfn.IFNA(VLOOKUP(A33,[3]折!$C$3:$F$99,3,0),-[4]整車!$B$22)</f>
        <v>0</v>
      </c>
      <c r="D33" s="190">
        <f t="shared" si="3"/>
        <v>0</v>
      </c>
      <c r="E33" s="27">
        <f>_xlfn.IFNA(VLOOKUP(A33,[3]折同!$C$3:$H$362,6,0),-[4]整車!$B$22)</f>
        <v>0</v>
      </c>
      <c r="F33" s="191">
        <f t="shared" si="4"/>
        <v>0</v>
      </c>
      <c r="G33" s="194">
        <f>_xlfn.IFNA(VLOOKUP(A33,[3]折同!$C$3:$H$312,4,0),-[4]整車!$B$22)</f>
        <v>0</v>
      </c>
      <c r="H33" s="24">
        <f t="shared" si="5"/>
        <v>0</v>
      </c>
      <c r="I33" s="193">
        <f t="shared" si="6"/>
        <v>0</v>
      </c>
    </row>
    <row r="34" spans="1:9">
      <c r="A34" s="455" t="s">
        <v>213</v>
      </c>
      <c r="B34" s="194">
        <f>_xlfn.IFNA(VLOOKUP(A34,[3]折!$C$3:$F$99,4,0),-[4]整車!$B$22)</f>
        <v>0</v>
      </c>
      <c r="C34" s="27">
        <f>_xlfn.IFNA(VLOOKUP(A34,[3]折!$C$3:$F$99,3,0),-[4]整車!$B$22)</f>
        <v>0</v>
      </c>
      <c r="D34" s="190">
        <f t="shared" si="3"/>
        <v>0</v>
      </c>
      <c r="E34" s="27">
        <f>_xlfn.IFNA(VLOOKUP(A34,[3]折同!$C$3:$H$362,6,0),-[4]整車!$B$22)</f>
        <v>0</v>
      </c>
      <c r="F34" s="191">
        <f t="shared" si="4"/>
        <v>0</v>
      </c>
      <c r="G34" s="194">
        <f>_xlfn.IFNA(VLOOKUP(A34,[3]折同!$C$3:$H$312,4,0),-[4]整車!$B$22)</f>
        <v>0</v>
      </c>
      <c r="H34" s="24">
        <f t="shared" si="5"/>
        <v>0</v>
      </c>
      <c r="I34" s="193">
        <f t="shared" si="6"/>
        <v>0</v>
      </c>
    </row>
    <row r="35" spans="1:9">
      <c r="A35" s="455" t="s">
        <v>214</v>
      </c>
      <c r="B35" s="194">
        <f>_xlfn.IFNA(VLOOKUP(A35,[3]折!$C$3:$F$99,4,0),-[4]整車!$B$22)</f>
        <v>0</v>
      </c>
      <c r="C35" s="27">
        <f>_xlfn.IFNA(VLOOKUP(A35,[3]折!$C$3:$F$99,3,0),-[4]整車!$B$22)</f>
        <v>0</v>
      </c>
      <c r="D35" s="190">
        <f t="shared" si="3"/>
        <v>0</v>
      </c>
      <c r="E35" s="27">
        <f>_xlfn.IFNA(VLOOKUP(A35,[3]折同!$C$3:$H$362,6,0),-[4]整車!$B$22)</f>
        <v>0</v>
      </c>
      <c r="F35" s="191">
        <f t="shared" si="4"/>
        <v>0</v>
      </c>
      <c r="G35" s="194">
        <f>_xlfn.IFNA(VLOOKUP(A35,[3]折同!$C$3:$H$312,4,0),-[4]整車!$B$22)</f>
        <v>0</v>
      </c>
      <c r="H35" s="24">
        <f t="shared" si="5"/>
        <v>0</v>
      </c>
      <c r="I35" s="193">
        <f t="shared" si="6"/>
        <v>0</v>
      </c>
    </row>
    <row r="36" spans="1:9">
      <c r="A36" s="455" t="s">
        <v>382</v>
      </c>
      <c r="B36" s="194">
        <f>_xlfn.IFNA(VLOOKUP(A36,[3]折!$C$3:$F$99,4,0),-[4]整車!$B$22)</f>
        <v>0</v>
      </c>
      <c r="C36" s="27">
        <f>_xlfn.IFNA(VLOOKUP(A36,[3]折!$C$3:$F$99,3,0),-[4]整車!$B$22)</f>
        <v>0</v>
      </c>
      <c r="D36" s="190">
        <f t="shared" si="3"/>
        <v>0</v>
      </c>
      <c r="E36" s="27">
        <f>_xlfn.IFNA(VLOOKUP(A36,[3]折同!$C$3:$H$362,6,0),-[4]整車!$B$22)</f>
        <v>0</v>
      </c>
      <c r="F36" s="191">
        <f t="shared" si="4"/>
        <v>0</v>
      </c>
      <c r="G36" s="194">
        <f>_xlfn.IFNA(VLOOKUP(A36,[3]折同!$C$3:$H$312,4,0),-[4]整車!$B$22)</f>
        <v>0</v>
      </c>
      <c r="H36" s="24">
        <f t="shared" si="5"/>
        <v>0</v>
      </c>
      <c r="I36" s="193">
        <f t="shared" si="6"/>
        <v>0</v>
      </c>
    </row>
    <row r="37" spans="1:9">
      <c r="A37" s="455" t="s">
        <v>216</v>
      </c>
      <c r="B37" s="194">
        <f>_xlfn.IFNA(VLOOKUP(A37,[3]折!$C$3:$F$99,4,0),-[4]整車!$B$22)</f>
        <v>0</v>
      </c>
      <c r="C37" s="27">
        <f>_xlfn.IFNA(VLOOKUP(A37,[3]折!$C$3:$F$99,3,0),-[4]整車!$B$22)</f>
        <v>0</v>
      </c>
      <c r="D37" s="190">
        <f t="shared" si="3"/>
        <v>0</v>
      </c>
      <c r="E37" s="27">
        <f>_xlfn.IFNA(VLOOKUP(A37,[3]折同!$C$3:$H$362,6,0),-[4]整車!$B$22)</f>
        <v>0</v>
      </c>
      <c r="F37" s="191">
        <f t="shared" si="4"/>
        <v>0</v>
      </c>
      <c r="G37" s="194">
        <f>_xlfn.IFNA(VLOOKUP(A37,[3]折同!$C$3:$H$312,4,0),-[4]整車!$B$22)</f>
        <v>0</v>
      </c>
      <c r="H37" s="24">
        <f t="shared" si="5"/>
        <v>0</v>
      </c>
      <c r="I37" s="193">
        <f t="shared" si="6"/>
        <v>0</v>
      </c>
    </row>
    <row r="38" spans="1:9">
      <c r="A38" s="455" t="s">
        <v>217</v>
      </c>
      <c r="B38" s="194">
        <f>_xlfn.IFNA(VLOOKUP(A38,[3]折!$C$3:$F$99,4,0),-[4]整車!$B$22)</f>
        <v>0</v>
      </c>
      <c r="C38" s="27">
        <f>_xlfn.IFNA(VLOOKUP(A38,[3]折!$C$3:$F$99,3,0),-[4]整車!$B$22)</f>
        <v>0</v>
      </c>
      <c r="D38" s="190">
        <f t="shared" si="3"/>
        <v>0</v>
      </c>
      <c r="E38" s="27">
        <f>_xlfn.IFNA(VLOOKUP(A38,[3]折同!$C$3:$H$362,6,0),-[4]整車!$B$22)</f>
        <v>0</v>
      </c>
      <c r="F38" s="191">
        <f t="shared" si="4"/>
        <v>0</v>
      </c>
      <c r="G38" s="194">
        <f>_xlfn.IFNA(VLOOKUP(A38,[3]折同!$C$3:$H$312,4,0),-[4]整車!$B$22)</f>
        <v>0</v>
      </c>
      <c r="H38" s="24">
        <f t="shared" si="5"/>
        <v>0</v>
      </c>
      <c r="I38" s="193">
        <f t="shared" si="6"/>
        <v>0</v>
      </c>
    </row>
    <row r="39" spans="1:9">
      <c r="A39" s="455" t="s">
        <v>18</v>
      </c>
      <c r="B39" s="194">
        <f>_xlfn.IFNA(VLOOKUP(A39,[3]折!$C$3:$F$99,4,0),-[4]整車!$B$22)</f>
        <v>0</v>
      </c>
      <c r="C39" s="27">
        <f>_xlfn.IFNA(VLOOKUP(A39,[3]折!$C$3:$F$99,3,0),-[4]整車!$B$22)</f>
        <v>0</v>
      </c>
      <c r="D39" s="190">
        <f t="shared" si="3"/>
        <v>0</v>
      </c>
      <c r="E39" s="27">
        <f>_xlfn.IFNA(VLOOKUP(A39,[3]折同!$C$3:$H$362,6,0),-[4]整車!$B$22)</f>
        <v>0</v>
      </c>
      <c r="F39" s="191">
        <f t="shared" si="4"/>
        <v>0</v>
      </c>
      <c r="G39" s="194">
        <f>_xlfn.IFNA(VLOOKUP(A39,[3]折同!$C$3:$H$312,4,0),-[4]整車!$B$22)</f>
        <v>0</v>
      </c>
      <c r="H39" s="24">
        <f t="shared" si="5"/>
        <v>0</v>
      </c>
      <c r="I39" s="193">
        <f t="shared" si="6"/>
        <v>0</v>
      </c>
    </row>
    <row r="40" spans="1:9">
      <c r="A40" s="30"/>
      <c r="B40" s="194"/>
      <c r="C40" s="27"/>
      <c r="D40" s="190"/>
      <c r="E40" s="27"/>
      <c r="F40" s="195"/>
      <c r="G40" s="194"/>
      <c r="H40" s="24"/>
      <c r="I40" s="193"/>
    </row>
    <row r="41" spans="1:9" ht="15.6" customHeight="1">
      <c r="A41" s="36" t="s">
        <v>19</v>
      </c>
      <c r="B41" s="196">
        <f>SUM(B42:B45)</f>
        <v>0</v>
      </c>
      <c r="C41" s="33">
        <f>SUM(C42:C45)</f>
        <v>0</v>
      </c>
      <c r="D41" s="190">
        <f t="shared" si="0"/>
        <v>0</v>
      </c>
      <c r="E41" s="33">
        <f>SUM(E42:E45)</f>
        <v>0</v>
      </c>
      <c r="F41" s="191">
        <f>E41/$E$68</f>
        <v>0</v>
      </c>
      <c r="G41" s="196">
        <f>SUM(G42:G45)</f>
        <v>0</v>
      </c>
      <c r="H41" s="24">
        <f t="shared" ref="H41:H42" si="7">G41/$G$68</f>
        <v>0</v>
      </c>
      <c r="I41" s="193">
        <f t="shared" si="1"/>
        <v>0</v>
      </c>
    </row>
    <row r="42" spans="1:9">
      <c r="A42" s="454" t="s">
        <v>218</v>
      </c>
      <c r="B42" s="194">
        <f>_xlfn.IFNA(VLOOKUP(A42,[3]折!$C$3:$F$99,4,0),-[4]整車!$B$22)</f>
        <v>0</v>
      </c>
      <c r="C42" s="27">
        <f>_xlfn.IFNA(VLOOKUP(A42,[3]折!$C$3:$F$99,3,0),-[4]整車!$B$22)</f>
        <v>0</v>
      </c>
      <c r="D42" s="190">
        <f t="shared" si="0"/>
        <v>0</v>
      </c>
      <c r="E42" s="27">
        <f>_xlfn.IFNA(VLOOKUP(A42,[3]折同!$C$3:$H$362,6,0),-[4]整車!$B$22)</f>
        <v>0</v>
      </c>
      <c r="F42" s="191">
        <f>E42/$E$68</f>
        <v>0</v>
      </c>
      <c r="G42" s="194">
        <f>_xlfn.IFNA(VLOOKUP(A42,[3]折同!$C$3:$H$32,4,0),-[4]整車!$B$22)</f>
        <v>0</v>
      </c>
      <c r="H42" s="24">
        <f t="shared" si="7"/>
        <v>0</v>
      </c>
      <c r="I42" s="193">
        <f t="shared" si="1"/>
        <v>0</v>
      </c>
    </row>
    <row r="43" spans="1:9">
      <c r="A43" s="454" t="s">
        <v>219</v>
      </c>
      <c r="B43" s="194">
        <f>_xlfn.IFNA(VLOOKUP(A43,[3]折!$C$3:$F$99,4,0),-[4]整車!$B$22)</f>
        <v>0</v>
      </c>
      <c r="C43" s="27">
        <f>_xlfn.IFNA(VLOOKUP(A43,[3]折!$C$3:$F$99,3,0),-[4]整車!$B$22)</f>
        <v>0</v>
      </c>
      <c r="D43" s="190">
        <f t="shared" ref="D43:D45" si="8">IF(B43,C43/B43,0)</f>
        <v>0</v>
      </c>
      <c r="E43" s="27">
        <f>_xlfn.IFNA(VLOOKUP(A43,[3]折同!$C$3:$H$362,6,0),-[4]整車!$B$22)</f>
        <v>0</v>
      </c>
      <c r="F43" s="191">
        <f t="shared" ref="F43:F45" si="9">E43/$E$68</f>
        <v>0</v>
      </c>
      <c r="G43" s="194">
        <f>_xlfn.IFNA(VLOOKUP(A43,[3]折同!$C$3:$H$32,4,0),-[4]整車!$B$22)</f>
        <v>0</v>
      </c>
      <c r="H43" s="24">
        <f t="shared" ref="H43:H45" si="10">G43/$G$68</f>
        <v>0</v>
      </c>
      <c r="I43" s="193">
        <f t="shared" ref="I43:I45" si="11">IF(E43,G43/E43,0)</f>
        <v>0</v>
      </c>
    </row>
    <row r="44" spans="1:9">
      <c r="A44" s="454" t="s">
        <v>220</v>
      </c>
      <c r="B44" s="194">
        <f>_xlfn.IFNA(VLOOKUP(A44,[3]折!$C$3:$F$99,4,0),-[4]整車!$B$22)</f>
        <v>0</v>
      </c>
      <c r="C44" s="27">
        <f>_xlfn.IFNA(VLOOKUP(A44,[3]折!$C$3:$F$99,3,0),-[4]整車!$B$22)</f>
        <v>0</v>
      </c>
      <c r="D44" s="190">
        <f t="shared" si="8"/>
        <v>0</v>
      </c>
      <c r="E44" s="27">
        <f>_xlfn.IFNA(VLOOKUP(A44,[3]折同!$C$3:$H$362,6,0),-[4]整車!$B$22)</f>
        <v>0</v>
      </c>
      <c r="F44" s="191">
        <f t="shared" si="9"/>
        <v>0</v>
      </c>
      <c r="G44" s="194">
        <f>_xlfn.IFNA(VLOOKUP(A44,[3]折同!$C$3:$H$32,4,0),-[4]整車!$B$22)</f>
        <v>0</v>
      </c>
      <c r="H44" s="24">
        <f t="shared" si="10"/>
        <v>0</v>
      </c>
      <c r="I44" s="193">
        <f t="shared" si="11"/>
        <v>0</v>
      </c>
    </row>
    <row r="45" spans="1:9">
      <c r="A45" s="30" t="s">
        <v>20</v>
      </c>
      <c r="B45" s="194">
        <f>_xlfn.IFNA(VLOOKUP(A45,[3]折!$C$3:$F$99,4,0),-[4]整車!$B$22)</f>
        <v>0</v>
      </c>
      <c r="C45" s="27">
        <f>_xlfn.IFNA(VLOOKUP(A45,[3]折!$C$3:$F$99,3,0),-[4]整車!$B$22)</f>
        <v>0</v>
      </c>
      <c r="D45" s="190">
        <f t="shared" si="8"/>
        <v>0</v>
      </c>
      <c r="E45" s="27">
        <f>_xlfn.IFNA(VLOOKUP(A45,[3]折同!$C$3:$H$362,6,0),-[4]整車!$B$22)</f>
        <v>0</v>
      </c>
      <c r="F45" s="191">
        <f t="shared" si="9"/>
        <v>0</v>
      </c>
      <c r="G45" s="194">
        <f>_xlfn.IFNA(VLOOKUP(A45,[3]折同!$C$3:$H$32,4,0),-[4]整車!$B$22)</f>
        <v>0</v>
      </c>
      <c r="H45" s="24">
        <f t="shared" si="10"/>
        <v>0</v>
      </c>
      <c r="I45" s="193">
        <f t="shared" si="11"/>
        <v>0</v>
      </c>
    </row>
    <row r="46" spans="1:9" ht="16.899999999999999" customHeight="1">
      <c r="A46" s="30"/>
      <c r="B46" s="194"/>
      <c r="C46" s="27"/>
      <c r="D46" s="190"/>
      <c r="E46" s="27"/>
      <c r="F46" s="195"/>
      <c r="G46" s="194"/>
      <c r="H46" s="24"/>
      <c r="I46" s="193"/>
    </row>
    <row r="47" spans="1:9">
      <c r="A47" s="36" t="s">
        <v>21</v>
      </c>
      <c r="B47" s="196">
        <f>SUM(B48:B66)</f>
        <v>0</v>
      </c>
      <c r="C47" s="33">
        <f>SUM(C48:C66)</f>
        <v>0</v>
      </c>
      <c r="D47" s="190">
        <f t="shared" si="0"/>
        <v>0</v>
      </c>
      <c r="E47" s="33">
        <f>SUM(E48:E66)</f>
        <v>0</v>
      </c>
      <c r="F47" s="191">
        <f>E47/$E$68</f>
        <v>0</v>
      </c>
      <c r="G47" s="196">
        <f>SUM(G48:G66)</f>
        <v>0</v>
      </c>
      <c r="H47" s="24">
        <f>G47/$G$68</f>
        <v>0</v>
      </c>
      <c r="I47" s="193">
        <f t="shared" si="1"/>
        <v>0</v>
      </c>
    </row>
    <row r="48" spans="1:9">
      <c r="A48" s="486" t="s">
        <v>161</v>
      </c>
      <c r="B48" s="194">
        <f>_xlfn.IFNA(VLOOKUP(A48,[3]折!$C$3:$F$99,4,0),-[4]整車!$B$22)</f>
        <v>0</v>
      </c>
      <c r="C48" s="27">
        <f>_xlfn.IFNA(VLOOKUP(A48,[3]折!$C$3:$F$99,3,0),-[4]整車!$B$22)</f>
        <v>0</v>
      </c>
      <c r="D48" s="190">
        <f t="shared" si="0"/>
        <v>0</v>
      </c>
      <c r="E48" s="27">
        <f>_xlfn.IFNA(VLOOKUP(A48,[3]折同!$C$3:$H$362,6,0),-[4]整車!$B$22)</f>
        <v>0</v>
      </c>
      <c r="F48" s="191">
        <f t="shared" ref="F48" si="12">E48/$E$68</f>
        <v>0</v>
      </c>
      <c r="G48" s="194">
        <f>_xlfn.IFNA(VLOOKUP(A48,[3]折同!$C$3:$H$362,4,0),-[4]整車!$B$22)</f>
        <v>0</v>
      </c>
      <c r="H48" s="24">
        <f>G48/$G$68</f>
        <v>0</v>
      </c>
      <c r="I48" s="193">
        <f t="shared" si="1"/>
        <v>0</v>
      </c>
    </row>
    <row r="49" spans="1:10">
      <c r="A49" s="454" t="s">
        <v>221</v>
      </c>
      <c r="B49" s="194">
        <v>0</v>
      </c>
      <c r="C49" s="27">
        <v>0</v>
      </c>
      <c r="D49" s="190">
        <f t="shared" ref="D49:D66" si="13">IF(B49,C49/B49,0)</f>
        <v>0</v>
      </c>
      <c r="E49" s="27">
        <v>0</v>
      </c>
      <c r="F49" s="191">
        <f t="shared" ref="F49:F66" si="14">E49/$E$68</f>
        <v>0</v>
      </c>
      <c r="G49" s="194">
        <v>0</v>
      </c>
      <c r="H49" s="24">
        <f t="shared" ref="H49:H66" si="15">G49/$G$68</f>
        <v>0</v>
      </c>
      <c r="I49" s="193">
        <f t="shared" ref="I49:I66" si="16">IF(E49,G49/E49,0)</f>
        <v>0</v>
      </c>
    </row>
    <row r="50" spans="1:10">
      <c r="A50" s="291" t="s">
        <v>222</v>
      </c>
      <c r="B50" s="194">
        <f>_xlfn.IFNA(VLOOKUP(A50,[3]折!$C$3:$F$99,4,0),-[4]整車!$B$22)</f>
        <v>0</v>
      </c>
      <c r="C50" s="27">
        <f>_xlfn.IFNA(VLOOKUP(A50,[3]折!$C$3:$F$99,3,0),-[4]整車!$B$22)</f>
        <v>0</v>
      </c>
      <c r="D50" s="190">
        <f t="shared" si="13"/>
        <v>0</v>
      </c>
      <c r="E50" s="27">
        <f>_xlfn.IFNA(VLOOKUP(A50,[3]折同!$C$3:$H$362,6,0),-[4]整車!$B$22)</f>
        <v>0</v>
      </c>
      <c r="F50" s="191">
        <f t="shared" si="14"/>
        <v>0</v>
      </c>
      <c r="G50" s="194">
        <f>_xlfn.IFNA(VLOOKUP(A50,[3]折同!$C$3:$H$362,4,0),-[4]整車!$B$22)</f>
        <v>0</v>
      </c>
      <c r="H50" s="24">
        <f t="shared" si="15"/>
        <v>0</v>
      </c>
      <c r="I50" s="193">
        <f t="shared" si="16"/>
        <v>0</v>
      </c>
      <c r="J50" s="487"/>
    </row>
    <row r="51" spans="1:10">
      <c r="A51" s="454" t="s">
        <v>223</v>
      </c>
      <c r="B51" s="194">
        <f>_xlfn.IFNA(VLOOKUP(A51,[3]折!$C$3:$F$99,4,0),-[4]整車!$B$22)</f>
        <v>0</v>
      </c>
      <c r="C51" s="27">
        <f>_xlfn.IFNA(VLOOKUP(A51,[3]折!$C$3:$F$99,3,0),-[4]整車!$B$22)</f>
        <v>0</v>
      </c>
      <c r="D51" s="190">
        <f t="shared" si="13"/>
        <v>0</v>
      </c>
      <c r="E51" s="27">
        <f>_xlfn.IFNA(VLOOKUP(A51,[3]折同!$C$3:$H$362,6,0),-[4]整車!$B$22)</f>
        <v>0</v>
      </c>
      <c r="F51" s="191">
        <f t="shared" si="14"/>
        <v>0</v>
      </c>
      <c r="G51" s="194">
        <f>_xlfn.IFNA(VLOOKUP(A51,[3]折同!$C$3:$H$362,4,0),-[4]整車!$B$22)</f>
        <v>0</v>
      </c>
      <c r="H51" s="24">
        <f t="shared" si="15"/>
        <v>0</v>
      </c>
      <c r="I51" s="193">
        <f t="shared" si="16"/>
        <v>0</v>
      </c>
    </row>
    <row r="52" spans="1:10">
      <c r="A52" s="455" t="s">
        <v>22</v>
      </c>
      <c r="B52" s="194">
        <f>_xlfn.IFNA(VLOOKUP(A52,[3]折!$C$3:$F$99,4,0),-[4]整車!$B$22)</f>
        <v>0</v>
      </c>
      <c r="C52" s="27">
        <f>_xlfn.IFNA(VLOOKUP(A52,[3]折!$C$3:$F$99,3,0),-[4]整車!$B$22)</f>
        <v>0</v>
      </c>
      <c r="D52" s="190">
        <f t="shared" si="13"/>
        <v>0</v>
      </c>
      <c r="E52" s="27">
        <f>_xlfn.IFNA(VLOOKUP(A52,[3]折同!$C$3:$H$362,6,0),-[4]整車!$B$22)</f>
        <v>0</v>
      </c>
      <c r="F52" s="191">
        <f t="shared" si="14"/>
        <v>0</v>
      </c>
      <c r="G52" s="194">
        <f>_xlfn.IFNA(VLOOKUP(A52,[3]折同!$C$3:$H$362,4,0),-[4]整車!$B$22)</f>
        <v>0</v>
      </c>
      <c r="H52" s="24">
        <f t="shared" si="15"/>
        <v>0</v>
      </c>
      <c r="I52" s="193">
        <f t="shared" si="16"/>
        <v>0</v>
      </c>
    </row>
    <row r="53" spans="1:10">
      <c r="A53" s="454" t="s">
        <v>224</v>
      </c>
      <c r="B53" s="194">
        <f>_xlfn.IFNA(VLOOKUP(A53,[3]折!$C$3:$F$99,4,0),-[4]整車!$B$22)</f>
        <v>0</v>
      </c>
      <c r="C53" s="27">
        <f>_xlfn.IFNA(VLOOKUP(A53,[3]折!$C$3:$F$99,3,0),-[4]整車!$B$22)</f>
        <v>0</v>
      </c>
      <c r="D53" s="190">
        <f t="shared" si="13"/>
        <v>0</v>
      </c>
      <c r="E53" s="27">
        <f>_xlfn.IFNA(VLOOKUP(A53,[3]折同!$C$3:$H$362,6,0),-[4]整車!$B$22)</f>
        <v>0</v>
      </c>
      <c r="F53" s="191">
        <f t="shared" si="14"/>
        <v>0</v>
      </c>
      <c r="G53" s="194">
        <f>_xlfn.IFNA(VLOOKUP(A53,[3]折同!$C$3:$H$362,4,0),-[4]整車!$B$22)</f>
        <v>0</v>
      </c>
      <c r="H53" s="24">
        <f t="shared" si="15"/>
        <v>0</v>
      </c>
      <c r="I53" s="193">
        <f t="shared" si="16"/>
        <v>0</v>
      </c>
    </row>
    <row r="54" spans="1:10">
      <c r="A54" s="455" t="s">
        <v>225</v>
      </c>
      <c r="B54" s="194">
        <f>_xlfn.IFNA(VLOOKUP(A54,[3]折!$C$3:$F$99,4,0),-[4]整車!$B$22)</f>
        <v>0</v>
      </c>
      <c r="C54" s="27">
        <f>_xlfn.IFNA(VLOOKUP(A54,[3]折!$C$3:$F$99,3,0),-[4]整車!$B$22)</f>
        <v>0</v>
      </c>
      <c r="D54" s="190">
        <f t="shared" si="13"/>
        <v>0</v>
      </c>
      <c r="E54" s="27">
        <f>_xlfn.IFNA(VLOOKUP(A54,[3]折同!$C$3:$H$362,6,0),-[4]整車!$B$22)</f>
        <v>0</v>
      </c>
      <c r="F54" s="191">
        <f t="shared" si="14"/>
        <v>0</v>
      </c>
      <c r="G54" s="194">
        <f>_xlfn.IFNA(VLOOKUP(A54,[3]折同!$C$3:$H$362,4,0),-[4]整車!$B$22)</f>
        <v>0</v>
      </c>
      <c r="H54" s="24">
        <f t="shared" si="15"/>
        <v>0</v>
      </c>
      <c r="I54" s="193">
        <f t="shared" si="16"/>
        <v>0</v>
      </c>
    </row>
    <row r="55" spans="1:10">
      <c r="A55" s="455" t="s">
        <v>23</v>
      </c>
      <c r="B55" s="194">
        <f>_xlfn.IFNA(VLOOKUP(A55,[3]折!$C$3:$F$99,4,0),-[4]整車!$B$22)</f>
        <v>0</v>
      </c>
      <c r="C55" s="27">
        <f>_xlfn.IFNA(VLOOKUP(A55,[3]折!$C$3:$F$99,3,0),-[4]整車!$B$22)</f>
        <v>0</v>
      </c>
      <c r="D55" s="190">
        <f t="shared" si="13"/>
        <v>0</v>
      </c>
      <c r="E55" s="27">
        <f>_xlfn.IFNA(VLOOKUP(A55,[3]折同!$C$3:$H$362,6,0),-[4]整車!$B$22)</f>
        <v>0</v>
      </c>
      <c r="F55" s="191">
        <f t="shared" si="14"/>
        <v>0</v>
      </c>
      <c r="G55" s="194">
        <f>_xlfn.IFNA(VLOOKUP(A55,[3]折同!$C$3:$H$362,4,0),-[4]整車!$B$22)</f>
        <v>0</v>
      </c>
      <c r="H55" s="24">
        <f t="shared" si="15"/>
        <v>0</v>
      </c>
      <c r="I55" s="193">
        <f t="shared" si="16"/>
        <v>0</v>
      </c>
    </row>
    <row r="56" spans="1:10">
      <c r="A56" s="455" t="s">
        <v>226</v>
      </c>
      <c r="B56" s="194">
        <v>0</v>
      </c>
      <c r="C56" s="27">
        <v>0</v>
      </c>
      <c r="D56" s="190">
        <f t="shared" si="13"/>
        <v>0</v>
      </c>
      <c r="E56" s="27">
        <v>0</v>
      </c>
      <c r="F56" s="191">
        <f t="shared" si="14"/>
        <v>0</v>
      </c>
      <c r="G56" s="194">
        <v>0</v>
      </c>
      <c r="H56" s="24">
        <f t="shared" si="15"/>
        <v>0</v>
      </c>
      <c r="I56" s="193">
        <f t="shared" si="16"/>
        <v>0</v>
      </c>
    </row>
    <row r="57" spans="1:10">
      <c r="A57" s="457" t="s">
        <v>227</v>
      </c>
      <c r="B57" s="194">
        <v>0</v>
      </c>
      <c r="C57" s="27">
        <v>0</v>
      </c>
      <c r="D57" s="190">
        <f t="shared" si="13"/>
        <v>0</v>
      </c>
      <c r="E57" s="27">
        <v>0</v>
      </c>
      <c r="F57" s="191">
        <f t="shared" si="14"/>
        <v>0</v>
      </c>
      <c r="G57" s="194">
        <v>0</v>
      </c>
      <c r="H57" s="24">
        <f t="shared" si="15"/>
        <v>0</v>
      </c>
      <c r="I57" s="193">
        <f t="shared" si="16"/>
        <v>0</v>
      </c>
    </row>
    <row r="58" spans="1:10">
      <c r="A58" s="294" t="s">
        <v>383</v>
      </c>
      <c r="B58" s="194">
        <v>0</v>
      </c>
      <c r="C58" s="27">
        <v>0</v>
      </c>
      <c r="D58" s="190">
        <f t="shared" si="13"/>
        <v>0</v>
      </c>
      <c r="E58" s="194">
        <v>0</v>
      </c>
      <c r="F58" s="191">
        <f t="shared" si="14"/>
        <v>0</v>
      </c>
      <c r="G58" s="27">
        <v>0</v>
      </c>
      <c r="H58" s="24">
        <f t="shared" si="15"/>
        <v>0</v>
      </c>
      <c r="I58" s="193">
        <f t="shared" si="16"/>
        <v>0</v>
      </c>
    </row>
    <row r="59" spans="1:10">
      <c r="A59" s="455" t="s">
        <v>24</v>
      </c>
      <c r="B59" s="194">
        <v>0</v>
      </c>
      <c r="C59" s="27">
        <v>0</v>
      </c>
      <c r="D59" s="190">
        <f t="shared" si="13"/>
        <v>0</v>
      </c>
      <c r="E59" s="27">
        <v>0</v>
      </c>
      <c r="F59" s="191">
        <f t="shared" si="14"/>
        <v>0</v>
      </c>
      <c r="G59" s="194">
        <v>0</v>
      </c>
      <c r="H59" s="24">
        <f t="shared" si="15"/>
        <v>0</v>
      </c>
      <c r="I59" s="193">
        <f t="shared" si="16"/>
        <v>0</v>
      </c>
    </row>
    <row r="60" spans="1:10">
      <c r="A60" s="455" t="s">
        <v>25</v>
      </c>
      <c r="B60" s="194">
        <f>_xlfn.IFNA(VLOOKUP(A60,[3]折!$C$3:$F$99,4,0),-[4]整車!$B$22)</f>
        <v>0</v>
      </c>
      <c r="C60" s="27">
        <f>_xlfn.IFNA(VLOOKUP(A60,[3]折!$C$3:$F$99,3,0),-[4]整車!$B$22)</f>
        <v>0</v>
      </c>
      <c r="D60" s="190">
        <f t="shared" si="13"/>
        <v>0</v>
      </c>
      <c r="E60" s="27">
        <f>_xlfn.IFNA(VLOOKUP(A60,[3]折同!$C$3:$H$362,6,0),-[4]整車!$B$22)</f>
        <v>0</v>
      </c>
      <c r="F60" s="191">
        <f t="shared" si="14"/>
        <v>0</v>
      </c>
      <c r="G60" s="194">
        <f>_xlfn.IFNA(VLOOKUP(A60,[3]折同!$C$3:$H$362,4,0),-[4]整車!$B$22)</f>
        <v>0</v>
      </c>
      <c r="H60" s="24">
        <f t="shared" si="15"/>
        <v>0</v>
      </c>
      <c r="I60" s="193">
        <f t="shared" si="16"/>
        <v>0</v>
      </c>
    </row>
    <row r="61" spans="1:10">
      <c r="A61" s="455" t="s">
        <v>26</v>
      </c>
      <c r="B61" s="194">
        <f>_xlfn.IFNA(VLOOKUP(A61,[3]折!$C$3:$F$99,4,0),-[4]整車!$B$22)</f>
        <v>0</v>
      </c>
      <c r="C61" s="27">
        <f>_xlfn.IFNA(VLOOKUP(A61,[3]折!$C$3:$F$99,3,0),-[4]整車!$B$22)</f>
        <v>0</v>
      </c>
      <c r="D61" s="190">
        <f t="shared" si="13"/>
        <v>0</v>
      </c>
      <c r="E61" s="27">
        <f>_xlfn.IFNA(VLOOKUP(A61,[3]折同!$C$3:$H$362,6,0),-[4]整車!$B$22)</f>
        <v>0</v>
      </c>
      <c r="F61" s="191">
        <f t="shared" si="14"/>
        <v>0</v>
      </c>
      <c r="G61" s="194">
        <f>_xlfn.IFNA(VLOOKUP(A61,[3]折同!$C$3:$H$362,4,0),-[4]整車!$B$22)</f>
        <v>0</v>
      </c>
      <c r="H61" s="24">
        <f t="shared" si="15"/>
        <v>0</v>
      </c>
      <c r="I61" s="193">
        <f t="shared" si="16"/>
        <v>0</v>
      </c>
    </row>
    <row r="62" spans="1:10">
      <c r="A62" s="294" t="s">
        <v>228</v>
      </c>
      <c r="B62" s="194">
        <f>_xlfn.IFNA(VLOOKUP(A62,[3]折!$C$3:$F$99,4,0),-[4]整車!$B$22)</f>
        <v>0</v>
      </c>
      <c r="C62" s="27">
        <f>_xlfn.IFNA(VLOOKUP(A62,[3]折!$C$3:$F$99,3,0),-[4]整車!$B$22)</f>
        <v>0</v>
      </c>
      <c r="D62" s="190">
        <f t="shared" si="13"/>
        <v>0</v>
      </c>
      <c r="E62" s="27">
        <f>_xlfn.IFNA(VLOOKUP(A62,[3]折同!$C$3:$H$362,6,0),-[4]整車!$B$22)</f>
        <v>0</v>
      </c>
      <c r="F62" s="191">
        <f t="shared" si="14"/>
        <v>0</v>
      </c>
      <c r="G62" s="194">
        <f>_xlfn.IFNA(VLOOKUP(A62,[3]折同!$C$3:$H$362,4,0),-[4]整車!$B$22)</f>
        <v>0</v>
      </c>
      <c r="H62" s="24">
        <f t="shared" si="15"/>
        <v>0</v>
      </c>
      <c r="I62" s="193">
        <f t="shared" si="16"/>
        <v>0</v>
      </c>
    </row>
    <row r="63" spans="1:10">
      <c r="A63" s="455" t="s">
        <v>27</v>
      </c>
      <c r="B63" s="194">
        <f>_xlfn.IFNA(VLOOKUP(A63,[3]折!$C$3:$F$99,4,0),-[4]整車!$B$22)</f>
        <v>0</v>
      </c>
      <c r="C63" s="27">
        <f>_xlfn.IFNA(VLOOKUP(A63,[3]折!$C$3:$F$99,3,0),-[4]整車!$B$22)</f>
        <v>0</v>
      </c>
      <c r="D63" s="190">
        <f t="shared" si="13"/>
        <v>0</v>
      </c>
      <c r="E63" s="27">
        <f>_xlfn.IFNA(VLOOKUP(A63,[3]折同!$C$3:$H$362,6,0),-[4]整車!$B$22)</f>
        <v>0</v>
      </c>
      <c r="F63" s="191">
        <f t="shared" si="14"/>
        <v>0</v>
      </c>
      <c r="G63" s="194">
        <f>_xlfn.IFNA(VLOOKUP(A63,[3]折同!$C$3:$H$362,4,0),-[4]整車!$B$22)</f>
        <v>0</v>
      </c>
      <c r="H63" s="24">
        <f t="shared" si="15"/>
        <v>0</v>
      </c>
      <c r="I63" s="193">
        <f t="shared" si="16"/>
        <v>0</v>
      </c>
    </row>
    <row r="64" spans="1:10" ht="15.75" customHeight="1">
      <c r="A64" s="294" t="s">
        <v>229</v>
      </c>
      <c r="B64" s="194">
        <f>_xlfn.IFNA(VLOOKUP(A64,[3]折!$C$3:$F$99,4,0),-[4]整車!$B$22)</f>
        <v>0</v>
      </c>
      <c r="C64" s="27">
        <f>_xlfn.IFNA(VLOOKUP(A64,[3]折!$C$3:$F$99,3,0),-[4]整車!$B$22)</f>
        <v>0</v>
      </c>
      <c r="D64" s="190">
        <f t="shared" si="13"/>
        <v>0</v>
      </c>
      <c r="E64" s="27">
        <f>_xlfn.IFNA(VLOOKUP(A64,[3]折同!$C$3:$H$362,6,0),-[4]整車!$B$22)</f>
        <v>0</v>
      </c>
      <c r="F64" s="191">
        <f t="shared" si="14"/>
        <v>0</v>
      </c>
      <c r="G64" s="194">
        <f>_xlfn.IFNA(VLOOKUP(A64,[3]折同!$C$3:$H$362,4,0),-[4]整車!$B$22)</f>
        <v>0</v>
      </c>
      <c r="H64" s="24">
        <f t="shared" si="15"/>
        <v>0</v>
      </c>
      <c r="I64" s="193">
        <f t="shared" si="16"/>
        <v>0</v>
      </c>
    </row>
    <row r="65" spans="1:9">
      <c r="A65" s="455" t="s">
        <v>28</v>
      </c>
      <c r="B65" s="194">
        <f>_xlfn.IFNA(VLOOKUP(A65,[3]折!$C$3:$F$99,4,0),-[4]整車!$B$22)</f>
        <v>0</v>
      </c>
      <c r="C65" s="27">
        <f>_xlfn.IFNA(VLOOKUP(A65,[3]折!$C$3:$F$99,3,0),-[4]整車!$B$22)</f>
        <v>0</v>
      </c>
      <c r="D65" s="190">
        <f t="shared" si="13"/>
        <v>0</v>
      </c>
      <c r="E65" s="27">
        <f>_xlfn.IFNA(VLOOKUP(A65,[3]折同!$C$3:$H$362,6,0),-[4]整車!$B$22)</f>
        <v>0</v>
      </c>
      <c r="F65" s="191">
        <f t="shared" si="14"/>
        <v>0</v>
      </c>
      <c r="G65" s="194">
        <f>_xlfn.IFNA(VLOOKUP(A65,[3]折同!$C$3:$H$362,4,0),-[4]整車!$B$22)</f>
        <v>0</v>
      </c>
      <c r="H65" s="24">
        <f t="shared" si="15"/>
        <v>0</v>
      </c>
      <c r="I65" s="193">
        <f t="shared" si="16"/>
        <v>0</v>
      </c>
    </row>
    <row r="66" spans="1:9">
      <c r="A66" s="294" t="s">
        <v>230</v>
      </c>
      <c r="B66" s="194">
        <v>0</v>
      </c>
      <c r="C66" s="27">
        <v>0</v>
      </c>
      <c r="D66" s="190">
        <f t="shared" si="13"/>
        <v>0</v>
      </c>
      <c r="E66" s="27"/>
      <c r="F66" s="191">
        <f t="shared" si="14"/>
        <v>0</v>
      </c>
      <c r="G66" s="194"/>
      <c r="H66" s="24">
        <f t="shared" si="15"/>
        <v>0</v>
      </c>
      <c r="I66" s="193">
        <f t="shared" si="16"/>
        <v>0</v>
      </c>
    </row>
    <row r="67" spans="1:9">
      <c r="A67" s="30" t="s">
        <v>29</v>
      </c>
      <c r="B67" s="194">
        <f>B68-B7-B12-B41-B47</f>
        <v>1</v>
      </c>
      <c r="C67" s="27">
        <f>C68-C47-C41-C12-C7</f>
        <v>122</v>
      </c>
      <c r="D67" s="190">
        <f t="shared" si="0"/>
        <v>122</v>
      </c>
      <c r="E67" s="27">
        <f>E68-E47-E41-E12-E7</f>
        <v>1</v>
      </c>
      <c r="F67" s="191">
        <f t="shared" ref="F67:F68" si="17">E67/$E$68</f>
        <v>1</v>
      </c>
      <c r="G67" s="194">
        <f>G68-G47-G41-G12-G7</f>
        <v>122</v>
      </c>
      <c r="H67" s="24">
        <f t="shared" ref="H67:H68" si="18">G67/$G$68</f>
        <v>1</v>
      </c>
      <c r="I67" s="193">
        <f t="shared" si="1"/>
        <v>122</v>
      </c>
    </row>
    <row r="68" spans="1:9">
      <c r="A68" s="32" t="s">
        <v>402</v>
      </c>
      <c r="B68" s="196">
        <v>1</v>
      </c>
      <c r="C68" s="33">
        <v>122</v>
      </c>
      <c r="D68" s="190">
        <f t="shared" ref="D68" si="19">C68/B68</f>
        <v>122</v>
      </c>
      <c r="E68" s="196">
        <v>1</v>
      </c>
      <c r="F68" s="191">
        <f t="shared" si="17"/>
        <v>1</v>
      </c>
      <c r="G68" s="33">
        <v>122</v>
      </c>
      <c r="H68" s="24">
        <f t="shared" si="18"/>
        <v>1</v>
      </c>
      <c r="I68" s="193">
        <f t="shared" ref="I68" si="20">G68/E68</f>
        <v>122</v>
      </c>
    </row>
    <row r="69" spans="1:9" ht="6.75" customHeight="1">
      <c r="A69" s="38"/>
      <c r="B69" s="197"/>
      <c r="C69" s="39"/>
      <c r="D69" s="198"/>
      <c r="E69" s="39"/>
      <c r="F69" s="199"/>
      <c r="G69" s="197"/>
      <c r="H69" s="41"/>
      <c r="I69" s="198"/>
    </row>
    <row r="70" spans="1:9">
      <c r="A70" s="55" t="s">
        <v>491</v>
      </c>
      <c r="B70" s="200"/>
      <c r="C70" s="39"/>
      <c r="D70" s="200"/>
      <c r="E70" s="13"/>
      <c r="F70" s="200"/>
      <c r="G70" s="200"/>
      <c r="H70" s="13"/>
      <c r="I70" s="200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2025-04-11T10:07:53Z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